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6년 경영계획 수립 - 2025.07.24\★★★★ 시뮬레이션 작업파일(26년 월별작업) - 2026.01.27\"/>
    </mc:Choice>
  </mc:AlternateContent>
  <xr:revisionPtr revIDLastSave="0" documentId="8_{C628EF65-F903-42E0-BFF0-C58597B28B84}" xr6:coauthVersionLast="47" xr6:coauthVersionMax="47" xr10:uidLastSave="{00000000-0000-0000-0000-000000000000}"/>
  <bookViews>
    <workbookView xWindow="-110" yWindow="-110" windowWidth="25820" windowHeight="15500" tabRatio="720" xr2:uid="{00000000-000D-0000-FFFF-FFFF00000000}"/>
  </bookViews>
  <sheets>
    <sheet name="전사 손익계산서" sheetId="9" r:id="rId1"/>
    <sheet name="영역별" sheetId="23" r:id="rId2"/>
    <sheet name="유통플랫폼" sheetId="14" r:id="rId3"/>
    <sheet name="무선" sheetId="2" r:id="rId4"/>
    <sheet name="유선" sheetId="3" r:id="rId5"/>
    <sheet name="기타수익" sheetId="13" r:id="rId6"/>
    <sheet name="인건비" sheetId="4" r:id="rId7"/>
    <sheet name="인프라" sheetId="5" r:id="rId8"/>
    <sheet name="기타운영비" sheetId="10" r:id="rId9"/>
    <sheet name="감가상각비" sheetId="11" r:id="rId10"/>
    <sheet name="무선 CAPA" sheetId="21" r:id="rId11"/>
    <sheet name="참고. 주요Key" sheetId="24" r:id="rId12"/>
    <sheet name="참고. YoY" sheetId="28" r:id="rId13"/>
    <sheet name="참고. 분기별" sheetId="30" r:id="rId14"/>
    <sheet name="유통플랫폼 중기 최초 계획" sheetId="22" state="hidden" r:id="rId15"/>
  </sheets>
  <definedNames>
    <definedName name="_xlnm.Print_Area" localSheetId="10">'무선 CAPA'!$B$2:$Q$44</definedName>
    <definedName name="_xlnm.Print_Area" localSheetId="1">영역별!$C$2:$H$28</definedName>
    <definedName name="_xlnm.Print_Area" localSheetId="2">유통플랫폼!$A$1:$O$102</definedName>
    <definedName name="_xlnm.Print_Area" localSheetId="14">'유통플랫폼 중기 최초 계획'!$B$2:$L$43</definedName>
    <definedName name="_xlnm.Print_Area" localSheetId="0">'전사 손익계산서'!$B$10:$DC$52</definedName>
    <definedName name="_xlnm.Print_Area" localSheetId="12">'참고. YoY'!$B$2:$H$44</definedName>
    <definedName name="_xlnm.Print_Area" localSheetId="13">'참고. 분기별'!$B$5:$N$10</definedName>
    <definedName name="_xlnm.Print_Area" localSheetId="11">'참고. 주요Key'!$B$2:$J$38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F26" i="4" l="1"/>
  <c r="BS26" i="4"/>
  <c r="CF25" i="4"/>
  <c r="BS25" i="4"/>
  <c r="BD84" i="9" l="1"/>
  <c r="CQ294" i="2" l="1"/>
  <c r="CN294" i="2"/>
  <c r="DC8" i="9"/>
  <c r="DB8" i="9"/>
  <c r="DA8" i="9"/>
  <c r="CZ8" i="9"/>
  <c r="CY8" i="9"/>
  <c r="CX8" i="9"/>
  <c r="CW8" i="9"/>
  <c r="CV8" i="9"/>
  <c r="CU8" i="9"/>
  <c r="CT8" i="9"/>
  <c r="CS8" i="9"/>
  <c r="DC7" i="9"/>
  <c r="DB7" i="9"/>
  <c r="DA7" i="9"/>
  <c r="CZ7" i="9"/>
  <c r="CY7" i="9"/>
  <c r="CX7" i="9"/>
  <c r="CW7" i="9"/>
  <c r="CV7" i="9"/>
  <c r="CU7" i="9"/>
  <c r="CT7" i="9"/>
  <c r="CS7" i="9"/>
  <c r="CR8" i="9"/>
  <c r="CR7" i="9"/>
  <c r="CQ302" i="2"/>
  <c r="CP302" i="2"/>
  <c r="CR43" i="4" l="1"/>
  <c r="CI34" i="4" l="1"/>
  <c r="CH34" i="4"/>
  <c r="CM302" i="2" l="1"/>
  <c r="CL302" i="2"/>
  <c r="CF36" i="4"/>
  <c r="CP25" i="10"/>
  <c r="CQ25" i="10"/>
  <c r="CL266" i="2"/>
  <c r="CF266" i="2"/>
  <c r="CG230" i="2"/>
  <c r="CF230" i="2"/>
  <c r="CG206" i="2"/>
  <c r="CF206" i="2"/>
  <c r="CP230" i="2"/>
  <c r="CM284" i="2"/>
  <c r="CG284" i="2"/>
  <c r="CQ230" i="2" l="1"/>
  <c r="CQ9" i="10"/>
  <c r="CE9" i="10"/>
  <c r="CF302" i="2" l="1"/>
  <c r="CO230" i="2"/>
  <c r="CJ230" i="2"/>
  <c r="CI230" i="2"/>
  <c r="CL206" i="2"/>
  <c r="CH206" i="2"/>
  <c r="CQ125" i="2"/>
  <c r="CQ266" i="2"/>
  <c r="CN266" i="2"/>
  <c r="CG294" i="2"/>
  <c r="CP294" i="2"/>
  <c r="CO294" i="2"/>
  <c r="CN230" i="2" l="1"/>
  <c r="CM230" i="2"/>
  <c r="CL294" i="2" l="1"/>
  <c r="CK294" i="2"/>
  <c r="CH294" i="2"/>
  <c r="CQ26" i="10" l="1"/>
  <c r="CN5" i="2"/>
  <c r="CM5" i="2"/>
  <c r="CL5" i="2"/>
  <c r="CK5" i="2"/>
  <c r="CJ5" i="2"/>
  <c r="CI5" i="2"/>
  <c r="CH5" i="2"/>
  <c r="CG5" i="2"/>
  <c r="CH194" i="2" l="1"/>
  <c r="CQ284" i="2"/>
  <c r="CH302" i="2"/>
  <c r="CI302" i="2"/>
  <c r="CQ11" i="2" l="1"/>
  <c r="CN30" i="4" l="1"/>
  <c r="CM30" i="4"/>
  <c r="G24" i="24" l="1"/>
  <c r="CR29" i="4" l="1"/>
  <c r="BR5" i="5"/>
  <c r="CQ9" i="5" l="1"/>
  <c r="CI9" i="5"/>
  <c r="CJ9" i="5"/>
  <c r="CK9" i="5" s="1"/>
  <c r="CL9" i="5" s="1"/>
  <c r="CM9" i="5" s="1"/>
  <c r="CN9" i="5" s="1"/>
  <c r="CO9" i="5" s="1"/>
  <c r="CP9" i="5" s="1"/>
  <c r="CQ203" i="2"/>
  <c r="CP203" i="2"/>
  <c r="CO203" i="2"/>
  <c r="CN203" i="2"/>
  <c r="CM203" i="2"/>
  <c r="CL203" i="2"/>
  <c r="CK203" i="2"/>
  <c r="CJ203" i="2"/>
  <c r="CI203" i="2"/>
  <c r="CH203" i="2"/>
  <c r="CG203" i="2"/>
  <c r="CF203" i="2"/>
  <c r="CQ201" i="2"/>
  <c r="CP201" i="2"/>
  <c r="CO201" i="2"/>
  <c r="CN201" i="2"/>
  <c r="CM201" i="2"/>
  <c r="CL201" i="2"/>
  <c r="CK201" i="2"/>
  <c r="CJ201" i="2"/>
  <c r="CI201" i="2"/>
  <c r="CH201" i="2"/>
  <c r="CG201" i="2"/>
  <c r="CF201" i="2"/>
  <c r="CQ198" i="2"/>
  <c r="CP198" i="2"/>
  <c r="CO198" i="2"/>
  <c r="CN198" i="2"/>
  <c r="CM198" i="2"/>
  <c r="CL198" i="2"/>
  <c r="CK198" i="2"/>
  <c r="CJ198" i="2"/>
  <c r="CI198" i="2"/>
  <c r="CH198" i="2"/>
  <c r="CG198" i="2"/>
  <c r="CF198" i="2"/>
  <c r="CQ205" i="2"/>
  <c r="CP205" i="2"/>
  <c r="CO205" i="2"/>
  <c r="CN205" i="2"/>
  <c r="CM205" i="2"/>
  <c r="CL205" i="2"/>
  <c r="CK205" i="2"/>
  <c r="CJ205" i="2"/>
  <c r="CI205" i="2"/>
  <c r="CH205" i="2"/>
  <c r="CG205" i="2"/>
  <c r="CF205" i="2"/>
  <c r="CF50" i="2" l="1"/>
  <c r="CD282" i="2" l="1"/>
  <c r="CC282" i="2"/>
  <c r="CB282" i="2"/>
  <c r="CA282" i="2"/>
  <c r="BZ282" i="2"/>
  <c r="BY282" i="2"/>
  <c r="BX282" i="2"/>
  <c r="BW282" i="2"/>
  <c r="BV282" i="2"/>
  <c r="BU282" i="2"/>
  <c r="BT282" i="2"/>
  <c r="BS282" i="2"/>
  <c r="CQ18" i="11"/>
  <c r="CP18" i="11"/>
  <c r="CO18" i="11"/>
  <c r="CN18" i="11"/>
  <c r="CO12" i="11" l="1"/>
  <c r="CP12" i="11" s="1"/>
  <c r="CQ12" i="11" l="1"/>
  <c r="BC47" i="14" l="1"/>
  <c r="BB47" i="14"/>
  <c r="BA47" i="14"/>
  <c r="AZ47" i="14"/>
  <c r="AY47" i="14"/>
  <c r="AX47" i="14"/>
  <c r="AW47" i="14"/>
  <c r="AV47" i="14"/>
  <c r="AU47" i="14"/>
  <c r="AT47" i="14"/>
  <c r="AS47" i="14"/>
  <c r="AR47" i="14"/>
  <c r="AP178" i="14" l="1"/>
  <c r="AM87" i="14"/>
  <c r="AM85" i="14"/>
  <c r="AM89" i="14"/>
  <c r="AM83" i="14"/>
  <c r="AM47" i="14"/>
  <c r="AM44" i="14"/>
  <c r="AM48" i="14"/>
  <c r="AM43" i="14"/>
  <c r="AM45" i="14"/>
  <c r="AL114" i="14"/>
  <c r="AE114" i="14"/>
  <c r="AO16" i="14" l="1"/>
  <c r="AN16" i="14"/>
  <c r="AM16" i="14"/>
  <c r="AL16" i="14"/>
  <c r="AK16" i="14"/>
  <c r="AJ16" i="14"/>
  <c r="AI16" i="14"/>
  <c r="AH16" i="14"/>
  <c r="AG16" i="14"/>
  <c r="AF16" i="14"/>
  <c r="AE16" i="14"/>
  <c r="AP16" i="14"/>
  <c r="BC153" i="14" l="1"/>
  <c r="BB153" i="14"/>
  <c r="BA153" i="14"/>
  <c r="AZ153" i="14"/>
  <c r="AY153" i="14"/>
  <c r="AX153" i="14"/>
  <c r="AW153" i="14"/>
  <c r="AV153" i="14"/>
  <c r="AU153" i="14"/>
  <c r="AT153" i="14"/>
  <c r="AS153" i="14"/>
  <c r="AR153" i="14"/>
  <c r="BC134" i="14"/>
  <c r="BB134" i="14"/>
  <c r="BA134" i="14"/>
  <c r="AZ134" i="14"/>
  <c r="AY134" i="14"/>
  <c r="AX134" i="14"/>
  <c r="AW134" i="14"/>
  <c r="AV134" i="14"/>
  <c r="AU134" i="14"/>
  <c r="AT134" i="14"/>
  <c r="AS134" i="14"/>
  <c r="AR134" i="14"/>
  <c r="AQ154" i="14"/>
  <c r="AQ135" i="14"/>
  <c r="AD154" i="14"/>
  <c r="AP153" i="14"/>
  <c r="AO153" i="14"/>
  <c r="AN153" i="14"/>
  <c r="AM153" i="14"/>
  <c r="AL153" i="14"/>
  <c r="AK153" i="14"/>
  <c r="AJ153" i="14"/>
  <c r="AI153" i="14"/>
  <c r="AH153" i="14"/>
  <c r="AG153" i="14"/>
  <c r="AF153" i="14"/>
  <c r="AE153" i="14"/>
  <c r="AP134" i="14"/>
  <c r="AO134" i="14"/>
  <c r="AN134" i="14"/>
  <c r="AM134" i="14"/>
  <c r="AL134" i="14"/>
  <c r="AK134" i="14"/>
  <c r="AJ134" i="14"/>
  <c r="AI134" i="14"/>
  <c r="AH134" i="14"/>
  <c r="AG134" i="14"/>
  <c r="AF134" i="14"/>
  <c r="AE134" i="14"/>
  <c r="AC153" i="14"/>
  <c r="AB153" i="14"/>
  <c r="AA153" i="14"/>
  <c r="Z153" i="14"/>
  <c r="Y153" i="14"/>
  <c r="X153" i="14"/>
  <c r="W153" i="14"/>
  <c r="V153" i="14"/>
  <c r="U153" i="14"/>
  <c r="T153" i="14"/>
  <c r="S153" i="14"/>
  <c r="R153" i="14"/>
  <c r="AC134" i="14"/>
  <c r="AB134" i="14"/>
  <c r="AA134" i="14"/>
  <c r="Z134" i="14"/>
  <c r="Y134" i="14"/>
  <c r="X134" i="14"/>
  <c r="W134" i="14"/>
  <c r="V134" i="14"/>
  <c r="U134" i="14"/>
  <c r="T134" i="14"/>
  <c r="S134" i="14"/>
  <c r="R134" i="14"/>
  <c r="Q154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P134" i="14"/>
  <c r="O134" i="14"/>
  <c r="N134" i="14"/>
  <c r="M134" i="14"/>
  <c r="L134" i="14"/>
  <c r="K134" i="14"/>
  <c r="J134" i="14"/>
  <c r="I134" i="14"/>
  <c r="H134" i="14"/>
  <c r="G134" i="14"/>
  <c r="F134" i="14"/>
  <c r="E134" i="14"/>
  <c r="D154" i="14"/>
  <c r="AD135" i="14"/>
  <c r="Q135" i="14"/>
  <c r="D135" i="14"/>
  <c r="CC294" i="2" l="1"/>
  <c r="BX291" i="2"/>
  <c r="BW291" i="2"/>
  <c r="BV291" i="2"/>
  <c r="CC291" i="2"/>
  <c r="CC79" i="3" l="1"/>
  <c r="CB79" i="3"/>
  <c r="CA79" i="3"/>
  <c r="BZ79" i="3"/>
  <c r="BY79" i="3"/>
  <c r="CC73" i="3"/>
  <c r="CB73" i="3"/>
  <c r="CA73" i="3"/>
  <c r="BZ73" i="3"/>
  <c r="BY73" i="3"/>
  <c r="CD68" i="3"/>
  <c r="CC68" i="3"/>
  <c r="CB68" i="3"/>
  <c r="CA68" i="3"/>
  <c r="BZ68" i="3"/>
  <c r="BY68" i="3"/>
  <c r="CC52" i="3"/>
  <c r="CB52" i="3"/>
  <c r="CA52" i="3"/>
  <c r="BZ52" i="3"/>
  <c r="BY52" i="3"/>
  <c r="BX52" i="3"/>
  <c r="BW52" i="3"/>
  <c r="BV52" i="3"/>
  <c r="BU52" i="3"/>
  <c r="CC41" i="3"/>
  <c r="CB41" i="3"/>
  <c r="CA41" i="3"/>
  <c r="BZ41" i="3"/>
  <c r="BY41" i="3"/>
  <c r="BX41" i="3"/>
  <c r="BW41" i="3"/>
  <c r="BV41" i="3"/>
  <c r="BU41" i="3"/>
  <c r="BT41" i="3"/>
  <c r="CE74" i="3"/>
  <c r="BR74" i="3"/>
  <c r="CE14" i="4"/>
  <c r="BU54" i="4"/>
  <c r="BV54" i="4"/>
  <c r="BW54" i="4"/>
  <c r="BX54" i="4"/>
  <c r="BY54" i="4"/>
  <c r="BZ54" i="4"/>
  <c r="CA54" i="4"/>
  <c r="CB54" i="4"/>
  <c r="CC54" i="4"/>
  <c r="CD54" i="4"/>
  <c r="CE54" i="4"/>
  <c r="BU48" i="4"/>
  <c r="BV48" i="4"/>
  <c r="BW48" i="4"/>
  <c r="BX48" i="4"/>
  <c r="BY48" i="4"/>
  <c r="BZ48" i="4"/>
  <c r="CA48" i="4"/>
  <c r="CB48" i="4"/>
  <c r="CC48" i="4"/>
  <c r="CD48" i="4"/>
  <c r="CD44" i="4"/>
  <c r="CC44" i="4"/>
  <c r="CB44" i="4"/>
  <c r="CA44" i="4"/>
  <c r="BZ44" i="4"/>
  <c r="CD43" i="4"/>
  <c r="CC43" i="4"/>
  <c r="CB43" i="4"/>
  <c r="CA43" i="4"/>
  <c r="BZ43" i="4"/>
  <c r="CD26" i="4"/>
  <c r="CC26" i="4"/>
  <c r="CB26" i="4"/>
  <c r="CE25" i="4"/>
  <c r="CD25" i="4"/>
  <c r="CC25" i="4"/>
  <c r="CB25" i="4"/>
  <c r="CD7" i="3" l="1"/>
  <c r="CD79" i="3" l="1"/>
  <c r="CD52" i="3"/>
  <c r="CC24" i="5"/>
  <c r="CB24" i="5"/>
  <c r="CA24" i="5"/>
  <c r="BZ24" i="5"/>
  <c r="BY24" i="5"/>
  <c r="CD23" i="5"/>
  <c r="CC23" i="5"/>
  <c r="CC33" i="5"/>
  <c r="CB33" i="5"/>
  <c r="CA33" i="5"/>
  <c r="BZ33" i="5"/>
  <c r="BY33" i="5"/>
  <c r="CF35" i="5"/>
  <c r="BS24" i="5"/>
  <c r="CD40" i="10"/>
  <c r="CC40" i="10"/>
  <c r="CB40" i="10"/>
  <c r="CA40" i="10"/>
  <c r="BZ40" i="10"/>
  <c r="BY40" i="10"/>
  <c r="BY29" i="10"/>
  <c r="BZ29" i="10"/>
  <c r="CA29" i="10"/>
  <c r="CB29" i="10"/>
  <c r="CC29" i="10"/>
  <c r="CQ10" i="10"/>
  <c r="CQ32" i="11"/>
  <c r="CP32" i="11"/>
  <c r="CO32" i="11"/>
  <c r="CC31" i="11"/>
  <c r="CF202" i="2"/>
  <c r="CD286" i="2"/>
  <c r="CC286" i="2"/>
  <c r="CB286" i="2"/>
  <c r="CA286" i="2"/>
  <c r="BZ286" i="2"/>
  <c r="BY286" i="2"/>
  <c r="BX286" i="2"/>
  <c r="BW286" i="2"/>
  <c r="BV286" i="2"/>
  <c r="BU286" i="2"/>
  <c r="BT286" i="2"/>
  <c r="BS286" i="2"/>
  <c r="BY308" i="2"/>
  <c r="BZ308" i="2"/>
  <c r="CA308" i="2"/>
  <c r="CB308" i="2"/>
  <c r="CC308" i="2"/>
  <c r="CD303" i="2"/>
  <c r="BY303" i="2"/>
  <c r="BZ303" i="2"/>
  <c r="CA303" i="2"/>
  <c r="CB303" i="2"/>
  <c r="CC303" i="2"/>
  <c r="BY292" i="2"/>
  <c r="BZ292" i="2"/>
  <c r="CA292" i="2"/>
  <c r="CB292" i="2"/>
  <c r="CC292" i="2"/>
  <c r="BY293" i="2"/>
  <c r="BZ293" i="2"/>
  <c r="CA293" i="2"/>
  <c r="CB293" i="2"/>
  <c r="CC293" i="2"/>
  <c r="BY269" i="2" l="1"/>
  <c r="BZ269" i="2"/>
  <c r="CA269" i="2"/>
  <c r="CB269" i="2"/>
  <c r="CC269" i="2"/>
  <c r="BY270" i="2"/>
  <c r="BZ270" i="2"/>
  <c r="CA270" i="2"/>
  <c r="CB270" i="2"/>
  <c r="CC270" i="2"/>
  <c r="BY271" i="2"/>
  <c r="BZ271" i="2"/>
  <c r="CA271" i="2"/>
  <c r="CB271" i="2"/>
  <c r="CC271" i="2"/>
  <c r="BY274" i="2"/>
  <c r="BZ274" i="2"/>
  <c r="CA274" i="2"/>
  <c r="CB274" i="2"/>
  <c r="CC274" i="2"/>
  <c r="BY276" i="2"/>
  <c r="BZ276" i="2"/>
  <c r="CA276" i="2"/>
  <c r="CB276" i="2"/>
  <c r="CC276" i="2"/>
  <c r="BY277" i="2"/>
  <c r="BZ277" i="2"/>
  <c r="CA277" i="2"/>
  <c r="CB277" i="2"/>
  <c r="CC277" i="2"/>
  <c r="BY278" i="2"/>
  <c r="BZ278" i="2"/>
  <c r="CA278" i="2"/>
  <c r="CB278" i="2"/>
  <c r="CC278" i="2"/>
  <c r="CD251" i="2"/>
  <c r="CD250" i="2"/>
  <c r="CD249" i="2"/>
  <c r="CD248" i="2"/>
  <c r="CD247" i="2"/>
  <c r="CD246" i="2"/>
  <c r="CD236" i="2" s="1"/>
  <c r="CD245" i="2"/>
  <c r="CD244" i="2"/>
  <c r="CD243" i="2"/>
  <c r="BY242" i="2"/>
  <c r="BZ242" i="2"/>
  <c r="CA242" i="2"/>
  <c r="CB242" i="2"/>
  <c r="CC242" i="2"/>
  <c r="BY243" i="2"/>
  <c r="BZ243" i="2"/>
  <c r="CA243" i="2"/>
  <c r="CB243" i="2"/>
  <c r="CB233" i="2" s="1"/>
  <c r="CC243" i="2"/>
  <c r="CC233" i="2" s="1"/>
  <c r="BY244" i="2"/>
  <c r="BY234" i="2" s="1"/>
  <c r="BZ244" i="2"/>
  <c r="BZ234" i="2" s="1"/>
  <c r="CA244" i="2"/>
  <c r="CA234" i="2" s="1"/>
  <c r="CB244" i="2"/>
  <c r="CB234" i="2" s="1"/>
  <c r="CC244" i="2"/>
  <c r="CC234" i="2" s="1"/>
  <c r="BY245" i="2"/>
  <c r="BY235" i="2" s="1"/>
  <c r="BZ245" i="2"/>
  <c r="CA245" i="2"/>
  <c r="CB245" i="2"/>
  <c r="CC245" i="2"/>
  <c r="BY246" i="2"/>
  <c r="BZ246" i="2"/>
  <c r="CA246" i="2"/>
  <c r="CB246" i="2"/>
  <c r="CC246" i="2"/>
  <c r="CC236" i="2" s="1"/>
  <c r="BY247" i="2"/>
  <c r="BY237" i="2" s="1"/>
  <c r="BZ247" i="2"/>
  <c r="BZ237" i="2" s="1"/>
  <c r="CA247" i="2"/>
  <c r="CA237" i="2" s="1"/>
  <c r="CB247" i="2"/>
  <c r="CB237" i="2" s="1"/>
  <c r="CC247" i="2"/>
  <c r="CC237" i="2" s="1"/>
  <c r="BY248" i="2"/>
  <c r="BY238" i="2" s="1"/>
  <c r="BZ248" i="2"/>
  <c r="BZ238" i="2" s="1"/>
  <c r="CA248" i="2"/>
  <c r="CB248" i="2"/>
  <c r="CC248" i="2"/>
  <c r="BY249" i="2"/>
  <c r="BZ249" i="2"/>
  <c r="CA249" i="2"/>
  <c r="CB249" i="2"/>
  <c r="CC249" i="2"/>
  <c r="BY250" i="2"/>
  <c r="BY240" i="2" s="1"/>
  <c r="BZ250" i="2"/>
  <c r="BZ240" i="2" s="1"/>
  <c r="CA250" i="2"/>
  <c r="CA240" i="2" s="1"/>
  <c r="CB250" i="2"/>
  <c r="CB240" i="2" s="1"/>
  <c r="CC250" i="2"/>
  <c r="CC240" i="2" s="1"/>
  <c r="BY251" i="2"/>
  <c r="BY241" i="2" s="1"/>
  <c r="BZ251" i="2"/>
  <c r="BZ241" i="2" s="1"/>
  <c r="CA251" i="2"/>
  <c r="CA241" i="2" s="1"/>
  <c r="CB251" i="2"/>
  <c r="CC251" i="2"/>
  <c r="CD241" i="2"/>
  <c r="BY233" i="2"/>
  <c r="BZ233" i="2"/>
  <c r="CA233" i="2"/>
  <c r="BZ235" i="2"/>
  <c r="CA235" i="2"/>
  <c r="CB235" i="2"/>
  <c r="CC235" i="2"/>
  <c r="BY236" i="2"/>
  <c r="BZ236" i="2"/>
  <c r="CA236" i="2"/>
  <c r="CB236" i="2"/>
  <c r="CA238" i="2"/>
  <c r="CB238" i="2"/>
  <c r="CC238" i="2"/>
  <c r="BY239" i="2"/>
  <c r="BZ239" i="2"/>
  <c r="CA239" i="2"/>
  <c r="CB239" i="2"/>
  <c r="CC239" i="2"/>
  <c r="CB241" i="2"/>
  <c r="CC241" i="2"/>
  <c r="CC232" i="2"/>
  <c r="CB232" i="2"/>
  <c r="CA232" i="2"/>
  <c r="BZ232" i="2"/>
  <c r="BY232" i="2"/>
  <c r="BX232" i="2"/>
  <c r="BW232" i="2"/>
  <c r="BV232" i="2"/>
  <c r="BU232" i="2"/>
  <c r="BT232" i="2"/>
  <c r="BS232" i="2"/>
  <c r="CD230" i="2"/>
  <c r="BY230" i="2"/>
  <c r="BZ230" i="2"/>
  <c r="CA230" i="2"/>
  <c r="CB230" i="2"/>
  <c r="CC230" i="2"/>
  <c r="CD210" i="2"/>
  <c r="CD211" i="2"/>
  <c r="CD212" i="2"/>
  <c r="CD213" i="2"/>
  <c r="CD214" i="2"/>
  <c r="CD215" i="2"/>
  <c r="CD216" i="2"/>
  <c r="CD239" i="2" s="1"/>
  <c r="CD217" i="2"/>
  <c r="CD240" i="2" s="1"/>
  <c r="CD218" i="2"/>
  <c r="BY210" i="2"/>
  <c r="BZ210" i="2"/>
  <c r="CA210" i="2"/>
  <c r="CB210" i="2"/>
  <c r="CC210" i="2"/>
  <c r="BY211" i="2"/>
  <c r="BZ211" i="2"/>
  <c r="CA211" i="2"/>
  <c r="CB211" i="2"/>
  <c r="CC211" i="2"/>
  <c r="BY212" i="2"/>
  <c r="BZ212" i="2"/>
  <c r="CA212" i="2"/>
  <c r="CB212" i="2"/>
  <c r="CC212" i="2"/>
  <c r="BY213" i="2"/>
  <c r="BZ213" i="2"/>
  <c r="CA213" i="2"/>
  <c r="CB213" i="2"/>
  <c r="CC213" i="2"/>
  <c r="BY214" i="2"/>
  <c r="BZ214" i="2"/>
  <c r="CA214" i="2"/>
  <c r="CB214" i="2"/>
  <c r="CC214" i="2"/>
  <c r="BY215" i="2"/>
  <c r="BZ215" i="2"/>
  <c r="CA215" i="2"/>
  <c r="CB215" i="2"/>
  <c r="CC215" i="2"/>
  <c r="BY216" i="2"/>
  <c r="BZ216" i="2"/>
  <c r="CA216" i="2"/>
  <c r="CB216" i="2"/>
  <c r="CC216" i="2"/>
  <c r="BY217" i="2"/>
  <c r="BZ217" i="2"/>
  <c r="CA217" i="2"/>
  <c r="CB217" i="2"/>
  <c r="CC217" i="2"/>
  <c r="BY218" i="2"/>
  <c r="BZ218" i="2"/>
  <c r="CA218" i="2"/>
  <c r="CB218" i="2"/>
  <c r="CC218" i="2"/>
  <c r="CC209" i="2"/>
  <c r="CB209" i="2"/>
  <c r="CA209" i="2"/>
  <c r="BZ209" i="2"/>
  <c r="BY209" i="2"/>
  <c r="BX209" i="2"/>
  <c r="BW209" i="2"/>
  <c r="BV209" i="2"/>
  <c r="BU209" i="2"/>
  <c r="BT209" i="2"/>
  <c r="BS209" i="2"/>
  <c r="BY206" i="2"/>
  <c r="BZ206" i="2"/>
  <c r="CA206" i="2"/>
  <c r="CB206" i="2"/>
  <c r="CC206" i="2"/>
  <c r="CD238" i="2" l="1"/>
  <c r="CD237" i="2"/>
  <c r="CD233" i="2"/>
  <c r="CD234" i="2"/>
  <c r="CD235" i="2"/>
  <c r="CQ190" i="2"/>
  <c r="CP190" i="2"/>
  <c r="CO190" i="2"/>
  <c r="CN190" i="2"/>
  <c r="CM190" i="2"/>
  <c r="CL190" i="2"/>
  <c r="CK190" i="2"/>
  <c r="CJ190" i="2"/>
  <c r="CI190" i="2"/>
  <c r="CH190" i="2"/>
  <c r="CG190" i="2"/>
  <c r="CF190" i="2"/>
  <c r="CC190" i="2"/>
  <c r="CF315" i="2"/>
  <c r="CF313" i="2"/>
  <c r="BZ190" i="2"/>
  <c r="CA190" i="2"/>
  <c r="CB190" i="2"/>
  <c r="CC125" i="2"/>
  <c r="CB125" i="2"/>
  <c r="CA125" i="2"/>
  <c r="BZ125" i="2"/>
  <c r="BY125" i="2"/>
  <c r="BX125" i="2"/>
  <c r="BW125" i="2"/>
  <c r="BV125" i="2"/>
  <c r="BU125" i="2"/>
  <c r="CF316" i="2" l="1"/>
  <c r="Q27" i="24"/>
  <c r="P27" i="24"/>
  <c r="O27" i="24"/>
  <c r="N27" i="24"/>
  <c r="Q26" i="24"/>
  <c r="P26" i="24"/>
  <c r="O26" i="24"/>
  <c r="N26" i="24"/>
  <c r="CL108" i="2" l="1"/>
  <c r="BE48" i="2"/>
  <c r="BE47" i="2"/>
  <c r="BE45" i="2"/>
  <c r="BE42" i="2"/>
  <c r="BE41" i="2"/>
  <c r="AR48" i="2"/>
  <c r="AR47" i="2"/>
  <c r="AR45" i="2"/>
  <c r="AR42" i="2"/>
  <c r="AR41" i="2"/>
  <c r="AE48" i="2"/>
  <c r="AE47" i="2"/>
  <c r="AE45" i="2"/>
  <c r="AE42" i="2"/>
  <c r="AE41" i="2"/>
  <c r="R48" i="2"/>
  <c r="R47" i="2"/>
  <c r="R45" i="2"/>
  <c r="R42" i="2"/>
  <c r="R41" i="2"/>
  <c r="E40" i="2"/>
  <c r="E48" i="2"/>
  <c r="E47" i="2"/>
  <c r="E45" i="2"/>
  <c r="E42" i="2"/>
  <c r="E41" i="2"/>
  <c r="F38" i="24" l="1"/>
  <c r="F37" i="24"/>
  <c r="F35" i="24"/>
  <c r="E38" i="24"/>
  <c r="E37" i="24"/>
  <c r="E36" i="24"/>
  <c r="E35" i="24"/>
  <c r="H35" i="24" l="1"/>
  <c r="H38" i="24"/>
  <c r="I38" i="24"/>
  <c r="I37" i="24"/>
  <c r="I35" i="24"/>
  <c r="D26" i="24" l="1"/>
  <c r="D25" i="24"/>
  <c r="CG12" i="11" l="1"/>
  <c r="H37" i="24" l="1"/>
  <c r="G37" i="24"/>
  <c r="CF26" i="11" l="1"/>
  <c r="CF31" i="11"/>
  <c r="CF32" i="11" s="1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21" i="14"/>
  <c r="BC26" i="14"/>
  <c r="BB26" i="14"/>
  <c r="BA26" i="14"/>
  <c r="AZ26" i="14"/>
  <c r="AY26" i="14"/>
  <c r="AX26" i="14"/>
  <c r="AW26" i="14"/>
  <c r="AV26" i="14"/>
  <c r="AU26" i="14"/>
  <c r="AT26" i="14"/>
  <c r="AS26" i="14"/>
  <c r="AR26" i="14"/>
  <c r="BC25" i="14"/>
  <c r="BB25" i="14"/>
  <c r="BA25" i="14"/>
  <c r="AZ25" i="14"/>
  <c r="AY25" i="14"/>
  <c r="AX25" i="14"/>
  <c r="AW25" i="14"/>
  <c r="AV25" i="14"/>
  <c r="AU25" i="14"/>
  <c r="AT25" i="14"/>
  <c r="AS25" i="14"/>
  <c r="AR25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O116" i="14"/>
  <c r="AN116" i="14"/>
  <c r="AM116" i="14"/>
  <c r="AL116" i="14"/>
  <c r="AK116" i="14"/>
  <c r="AP22" i="14"/>
  <c r="AO22" i="14"/>
  <c r="AN22" i="14"/>
  <c r="AM22" i="14"/>
  <c r="AL22" i="14"/>
  <c r="AK22" i="14"/>
  <c r="AJ22" i="14"/>
  <c r="AI22" i="14"/>
  <c r="AH22" i="14"/>
  <c r="AG22" i="14"/>
  <c r="AF22" i="14"/>
  <c r="AP21" i="14"/>
  <c r="AO21" i="14"/>
  <c r="AN21" i="14"/>
  <c r="AM21" i="14"/>
  <c r="AL21" i="14"/>
  <c r="AK21" i="14"/>
  <c r="AP20" i="14"/>
  <c r="AO20" i="14"/>
  <c r="AN20" i="14"/>
  <c r="AM20" i="14"/>
  <c r="AL20" i="14"/>
  <c r="AK20" i="14"/>
  <c r="AD121" i="14"/>
  <c r="AE22" i="14"/>
  <c r="Q121" i="14"/>
  <c r="D121" i="14"/>
  <c r="AC89" i="14"/>
  <c r="AB89" i="14"/>
  <c r="Z89" i="14"/>
  <c r="CP163" i="9" l="1"/>
  <c r="CF30" i="11"/>
  <c r="CG30" i="11" s="1"/>
  <c r="CH30" i="11" s="1"/>
  <c r="CI30" i="11" s="1"/>
  <c r="CJ30" i="11" s="1"/>
  <c r="CK30" i="11" s="1"/>
  <c r="CL30" i="11" s="1"/>
  <c r="CM30" i="11" s="1"/>
  <c r="CN30" i="11" s="1"/>
  <c r="CO30" i="11" s="1"/>
  <c r="CP30" i="11" s="1"/>
  <c r="CQ30" i="11" s="1"/>
  <c r="CF29" i="11"/>
  <c r="CG29" i="11" s="1"/>
  <c r="CL163" i="9"/>
  <c r="CN163" i="9"/>
  <c r="CK163" i="9"/>
  <c r="CO163" i="9"/>
  <c r="CM163" i="9"/>
  <c r="DB163" i="9"/>
  <c r="CT163" i="9"/>
  <c r="CU163" i="9"/>
  <c r="CR163" i="9"/>
  <c r="CW163" i="9"/>
  <c r="CZ163" i="9"/>
  <c r="CX163" i="9"/>
  <c r="DA163" i="9"/>
  <c r="DC163" i="9"/>
  <c r="CV163" i="9"/>
  <c r="CY163" i="9"/>
  <c r="CS163" i="9"/>
  <c r="R26" i="14"/>
  <c r="BR168" i="9" s="1"/>
  <c r="AC26" i="14"/>
  <c r="CC168" i="9" s="1"/>
  <c r="AB26" i="14"/>
  <c r="CB168" i="9" s="1"/>
  <c r="AA26" i="14"/>
  <c r="CA168" i="9" s="1"/>
  <c r="Z26" i="14"/>
  <c r="BZ168" i="9" s="1"/>
  <c r="Y26" i="14"/>
  <c r="BY168" i="9" s="1"/>
  <c r="X26" i="14"/>
  <c r="BX168" i="9" s="1"/>
  <c r="W26" i="14"/>
  <c r="BW168" i="9" s="1"/>
  <c r="V26" i="14"/>
  <c r="BV168" i="9" s="1"/>
  <c r="U26" i="14"/>
  <c r="BU168" i="9" s="1"/>
  <c r="T26" i="14"/>
  <c r="BT168" i="9" s="1"/>
  <c r="S26" i="14"/>
  <c r="BS168" i="9" s="1"/>
  <c r="DI146" i="9"/>
  <c r="DH146" i="9"/>
  <c r="DG146" i="9"/>
  <c r="AQ50" i="14"/>
  <c r="AQ49" i="14"/>
  <c r="AD50" i="14"/>
  <c r="AD49" i="14"/>
  <c r="CH29" i="11" l="1"/>
  <c r="CG31" i="11"/>
  <c r="CG32" i="11" s="1"/>
  <c r="BQ168" i="9"/>
  <c r="CI29" i="11" l="1"/>
  <c r="CH31" i="11"/>
  <c r="CH32" i="11" s="1"/>
  <c r="CQ74" i="9"/>
  <c r="CQ73" i="9"/>
  <c r="CQ72" i="9"/>
  <c r="CQ71" i="9"/>
  <c r="CQ70" i="9"/>
  <c r="CQ69" i="9"/>
  <c r="CQ68" i="9"/>
  <c r="CQ67" i="9"/>
  <c r="CQ66" i="9"/>
  <c r="DC65" i="9"/>
  <c r="DB65" i="9"/>
  <c r="DA65" i="9"/>
  <c r="CZ65" i="9"/>
  <c r="CY65" i="9"/>
  <c r="CX65" i="9"/>
  <c r="CW65" i="9"/>
  <c r="CV65" i="9"/>
  <c r="CU65" i="9"/>
  <c r="CT65" i="9"/>
  <c r="CS65" i="9"/>
  <c r="CR65" i="9"/>
  <c r="CQ64" i="9"/>
  <c r="CQ62" i="9"/>
  <c r="CQ61" i="9"/>
  <c r="CQ60" i="9"/>
  <c r="CQ59" i="9"/>
  <c r="CQ58" i="9"/>
  <c r="CQ57" i="9"/>
  <c r="CQ56" i="9"/>
  <c r="CQ55" i="9"/>
  <c r="CQ54" i="9"/>
  <c r="DC53" i="9"/>
  <c r="DB53" i="9"/>
  <c r="DA53" i="9"/>
  <c r="CZ53" i="9"/>
  <c r="CY53" i="9"/>
  <c r="CX53" i="9"/>
  <c r="CW53" i="9"/>
  <c r="CV53" i="9"/>
  <c r="CU53" i="9"/>
  <c r="CT53" i="9"/>
  <c r="CS53" i="9"/>
  <c r="CR53" i="9"/>
  <c r="DC127" i="9"/>
  <c r="DC51" i="9" s="1"/>
  <c r="DB127" i="9"/>
  <c r="DB51" i="9" s="1"/>
  <c r="DA127" i="9"/>
  <c r="DA51" i="9" s="1"/>
  <c r="CZ127" i="9"/>
  <c r="CZ51" i="9" s="1"/>
  <c r="CY127" i="9"/>
  <c r="CY51" i="9" s="1"/>
  <c r="CX127" i="9"/>
  <c r="CX51" i="9" s="1"/>
  <c r="CW127" i="9"/>
  <c r="CW51" i="9" s="1"/>
  <c r="CV127" i="9"/>
  <c r="CV51" i="9" s="1"/>
  <c r="CU127" i="9"/>
  <c r="CU51" i="9" s="1"/>
  <c r="CT127" i="9"/>
  <c r="CT51" i="9" s="1"/>
  <c r="CS127" i="9"/>
  <c r="CS51" i="9" s="1"/>
  <c r="CR127" i="9"/>
  <c r="CR51" i="9" s="1"/>
  <c r="DC102" i="9"/>
  <c r="DC26" i="9" s="1"/>
  <c r="DB102" i="9"/>
  <c r="DB26" i="9" s="1"/>
  <c r="DA102" i="9"/>
  <c r="DA26" i="9" s="1"/>
  <c r="CZ102" i="9"/>
  <c r="CZ26" i="9" s="1"/>
  <c r="CY102" i="9"/>
  <c r="CY26" i="9" s="1"/>
  <c r="CX102" i="9"/>
  <c r="CX26" i="9" s="1"/>
  <c r="CW102" i="9"/>
  <c r="CW26" i="9" s="1"/>
  <c r="CV102" i="9"/>
  <c r="CV26" i="9" s="1"/>
  <c r="CU102" i="9"/>
  <c r="CU26" i="9" s="1"/>
  <c r="CT102" i="9"/>
  <c r="CT26" i="9" s="1"/>
  <c r="CS102" i="9"/>
  <c r="CR102" i="9"/>
  <c r="DC100" i="9"/>
  <c r="DB100" i="9"/>
  <c r="DB24" i="9" s="1"/>
  <c r="DA100" i="9"/>
  <c r="DA24" i="9" s="1"/>
  <c r="CZ100" i="9"/>
  <c r="CZ24" i="9" s="1"/>
  <c r="CY100" i="9"/>
  <c r="CY24" i="9" s="1"/>
  <c r="CX100" i="9"/>
  <c r="CX24" i="9" s="1"/>
  <c r="CW100" i="9"/>
  <c r="CW24" i="9" s="1"/>
  <c r="CV100" i="9"/>
  <c r="CV24" i="9" s="1"/>
  <c r="CU100" i="9"/>
  <c r="CU24" i="9" s="1"/>
  <c r="CT100" i="9"/>
  <c r="CT24" i="9" s="1"/>
  <c r="CS100" i="9"/>
  <c r="CS24" i="9" s="1"/>
  <c r="CR100" i="9"/>
  <c r="CR24" i="9" s="1"/>
  <c r="DC99" i="9"/>
  <c r="DB99" i="9"/>
  <c r="DA99" i="9"/>
  <c r="CZ99" i="9"/>
  <c r="DC98" i="9"/>
  <c r="DC22" i="9" s="1"/>
  <c r="DB98" i="9"/>
  <c r="DB22" i="9" s="1"/>
  <c r="DA98" i="9"/>
  <c r="DA22" i="9" s="1"/>
  <c r="CZ98" i="9"/>
  <c r="CZ22" i="9" s="1"/>
  <c r="CE50" i="10"/>
  <c r="CH12" i="11"/>
  <c r="CM54" i="11"/>
  <c r="CL54" i="11"/>
  <c r="CK54" i="11"/>
  <c r="CH54" i="11"/>
  <c r="CE45" i="11"/>
  <c r="CE44" i="11"/>
  <c r="CQ41" i="11"/>
  <c r="CP41" i="11"/>
  <c r="CO41" i="11"/>
  <c r="CN41" i="11"/>
  <c r="CM41" i="11"/>
  <c r="CL41" i="11"/>
  <c r="CK41" i="11"/>
  <c r="CJ41" i="11"/>
  <c r="CI41" i="11"/>
  <c r="CH41" i="11"/>
  <c r="CG41" i="11"/>
  <c r="CF41" i="11"/>
  <c r="CQ40" i="11"/>
  <c r="CQ54" i="11" s="1"/>
  <c r="CP40" i="11"/>
  <c r="CP54" i="11" s="1"/>
  <c r="CO40" i="11"/>
  <c r="CO54" i="11" s="1"/>
  <c r="CN40" i="11"/>
  <c r="CN54" i="11" s="1"/>
  <c r="CM40" i="11"/>
  <c r="CL40" i="11"/>
  <c r="CK40" i="11"/>
  <c r="CJ40" i="11"/>
  <c r="CJ54" i="11" s="1"/>
  <c r="CI40" i="11"/>
  <c r="CI54" i="11" s="1"/>
  <c r="CH40" i="11"/>
  <c r="CG40" i="11"/>
  <c r="CG54" i="11" s="1"/>
  <c r="CF40" i="11"/>
  <c r="CE39" i="11"/>
  <c r="CE35" i="11"/>
  <c r="CE34" i="11"/>
  <c r="CE28" i="11"/>
  <c r="CE27" i="11"/>
  <c r="CE48" i="11" s="1"/>
  <c r="CE21" i="11"/>
  <c r="CE20" i="11"/>
  <c r="CE14" i="11"/>
  <c r="CE13" i="11"/>
  <c r="CE7" i="11"/>
  <c r="CE6" i="11"/>
  <c r="CK58" i="11"/>
  <c r="CN58" i="11" s="1"/>
  <c r="CQ58" i="11" s="1"/>
  <c r="BX26" i="11"/>
  <c r="CF25" i="11"/>
  <c r="CG25" i="11" s="1"/>
  <c r="CF11" i="11"/>
  <c r="CG11" i="11" s="1"/>
  <c r="CH11" i="11" s="1"/>
  <c r="CI11" i="11" s="1"/>
  <c r="CJ11" i="11" s="1"/>
  <c r="CI31" i="11" l="1"/>
  <c r="CI32" i="11" s="1"/>
  <c r="CJ29" i="11"/>
  <c r="CE41" i="11"/>
  <c r="DC24" i="9"/>
  <c r="CQ24" i="9" s="1"/>
  <c r="CQ53" i="9"/>
  <c r="CQ51" i="9"/>
  <c r="CQ102" i="9"/>
  <c r="CR26" i="9"/>
  <c r="CS26" i="9"/>
  <c r="CQ65" i="9"/>
  <c r="CQ127" i="9"/>
  <c r="CQ100" i="9"/>
  <c r="CE15" i="10"/>
  <c r="CE13" i="10"/>
  <c r="CE18" i="10"/>
  <c r="CE40" i="11"/>
  <c r="CE47" i="11"/>
  <c r="CH25" i="11"/>
  <c r="CK11" i="11"/>
  <c r="CE54" i="11"/>
  <c r="CW101" i="9"/>
  <c r="CW25" i="9" s="1"/>
  <c r="CV101" i="9"/>
  <c r="CV25" i="9" s="1"/>
  <c r="CU101" i="9"/>
  <c r="CU25" i="9" s="1"/>
  <c r="CT101" i="9"/>
  <c r="CT25" i="9" s="1"/>
  <c r="CS101" i="9"/>
  <c r="CS25" i="9" s="1"/>
  <c r="CR101" i="9"/>
  <c r="CR25" i="9" s="1"/>
  <c r="CF19" i="10"/>
  <c r="CQ28" i="4"/>
  <c r="CF32" i="4"/>
  <c r="CF31" i="4"/>
  <c r="CR28" i="4"/>
  <c r="CP28" i="4"/>
  <c r="CO28" i="4"/>
  <c r="CF27" i="4"/>
  <c r="CF23" i="4"/>
  <c r="CF22" i="4"/>
  <c r="CF21" i="4"/>
  <c r="CF20" i="4"/>
  <c r="CF19" i="4"/>
  <c r="CF11" i="4"/>
  <c r="CF9" i="4"/>
  <c r="CY101" i="9" l="1"/>
  <c r="CY25" i="9" s="1"/>
  <c r="CX101" i="9"/>
  <c r="CX25" i="9" s="1"/>
  <c r="CR121" i="9"/>
  <c r="CR45" i="9" s="1"/>
  <c r="BR16" i="10"/>
  <c r="CE17" i="10"/>
  <c r="CJ31" i="11"/>
  <c r="CJ32" i="11" s="1"/>
  <c r="CK29" i="11"/>
  <c r="E17" i="28"/>
  <c r="E44" i="28"/>
  <c r="CI12" i="11"/>
  <c r="BR9" i="10"/>
  <c r="CQ26" i="9"/>
  <c r="CG59" i="11"/>
  <c r="CH59" i="11"/>
  <c r="CH60" i="11" s="1"/>
  <c r="CH61" i="11" s="1"/>
  <c r="CH50" i="11" s="1"/>
  <c r="CF59" i="11"/>
  <c r="CE25" i="10"/>
  <c r="CE14" i="10"/>
  <c r="CE26" i="10"/>
  <c r="CI25" i="11"/>
  <c r="CL11" i="11"/>
  <c r="CM11" i="11" s="1"/>
  <c r="CN11" i="11" s="1"/>
  <c r="CO11" i="11" s="1"/>
  <c r="CP11" i="11" s="1"/>
  <c r="CQ11" i="11" s="1"/>
  <c r="CF41" i="4"/>
  <c r="CG19" i="10" l="1"/>
  <c r="BR10" i="10"/>
  <c r="CS121" i="9"/>
  <c r="CS45" i="9" s="1"/>
  <c r="CK31" i="11"/>
  <c r="CK32" i="11" s="1"/>
  <c r="CL29" i="11"/>
  <c r="E19" i="28"/>
  <c r="CR123" i="9"/>
  <c r="CR47" i="9" s="1"/>
  <c r="CH62" i="11"/>
  <c r="CH63" i="11" s="1"/>
  <c r="CT112" i="9"/>
  <c r="CI59" i="11"/>
  <c r="CI58" i="11" s="1"/>
  <c r="CI60" i="11" s="1"/>
  <c r="CI61" i="11" s="1"/>
  <c r="CI50" i="11" s="1"/>
  <c r="CU112" i="9" s="1"/>
  <c r="CJ12" i="11"/>
  <c r="CF6" i="10"/>
  <c r="CF58" i="11"/>
  <c r="CF60" i="11" s="1"/>
  <c r="CF61" i="11" s="1"/>
  <c r="CF50" i="11" s="1"/>
  <c r="CR112" i="9" s="1"/>
  <c r="CG58" i="11"/>
  <c r="CG60" i="11" s="1"/>
  <c r="CG61" i="11" s="1"/>
  <c r="CG50" i="11" s="1"/>
  <c r="CS112" i="9" s="1"/>
  <c r="CJ25" i="11"/>
  <c r="CO35" i="4"/>
  <c r="CZ101" i="9" l="1"/>
  <c r="DA101" i="9"/>
  <c r="DA25" i="9" s="1"/>
  <c r="CH19" i="10"/>
  <c r="CE16" i="10"/>
  <c r="CT121" i="9"/>
  <c r="CT45" i="9" s="1"/>
  <c r="CM29" i="11"/>
  <c r="CL31" i="11"/>
  <c r="CL32" i="11" s="1"/>
  <c r="CJ59" i="11"/>
  <c r="CJ58" i="11" s="1"/>
  <c r="CJ60" i="11" s="1"/>
  <c r="CJ61" i="11" s="1"/>
  <c r="CJ50" i="11" s="1"/>
  <c r="CV112" i="9" s="1"/>
  <c r="CK12" i="11"/>
  <c r="CF62" i="11"/>
  <c r="CF63" i="11" s="1"/>
  <c r="CG62" i="11"/>
  <c r="CG63" i="11" s="1"/>
  <c r="CI62" i="11"/>
  <c r="CI63" i="11" s="1"/>
  <c r="CK25" i="11"/>
  <c r="CP35" i="4"/>
  <c r="CZ25" i="9" l="1"/>
  <c r="CI19" i="10"/>
  <c r="DC101" i="9"/>
  <c r="DC25" i="9" s="1"/>
  <c r="DB101" i="9"/>
  <c r="DB25" i="9" s="1"/>
  <c r="CE10" i="10"/>
  <c r="CU121" i="9"/>
  <c r="CU45" i="9" s="1"/>
  <c r="CN29" i="11"/>
  <c r="CM31" i="11"/>
  <c r="CM32" i="11" s="1"/>
  <c r="CS123" i="9"/>
  <c r="CS47" i="9" s="1"/>
  <c r="CJ62" i="11"/>
  <c r="CJ63" i="11" s="1"/>
  <c r="CK59" i="11"/>
  <c r="CK60" i="11" s="1"/>
  <c r="CK61" i="11" s="1"/>
  <c r="CK50" i="11" s="1"/>
  <c r="CL12" i="11"/>
  <c r="CL59" i="11" s="1"/>
  <c r="CL25" i="11"/>
  <c r="CE11" i="11"/>
  <c r="CQ35" i="4"/>
  <c r="CF34" i="4" l="1"/>
  <c r="CJ19" i="10"/>
  <c r="CJ6" i="10" s="1"/>
  <c r="CQ101" i="9"/>
  <c r="CQ25" i="9"/>
  <c r="CV121" i="9"/>
  <c r="CV45" i="9" s="1"/>
  <c r="CK62" i="11"/>
  <c r="CK63" i="11" s="1"/>
  <c r="CM12" i="11"/>
  <c r="CO29" i="11"/>
  <c r="CN31" i="11"/>
  <c r="CN32" i="11" s="1"/>
  <c r="CT123" i="9"/>
  <c r="CT47" i="9" s="1"/>
  <c r="CW112" i="9"/>
  <c r="CL58" i="11"/>
  <c r="CL60" i="11" s="1"/>
  <c r="CL61" i="11" s="1"/>
  <c r="CL50" i="11" s="1"/>
  <c r="CX112" i="9" s="1"/>
  <c r="CE21" i="10"/>
  <c r="CN12" i="11"/>
  <c r="CM25" i="11"/>
  <c r="CR35" i="4"/>
  <c r="E18" i="28" l="1"/>
  <c r="CK19" i="10"/>
  <c r="CW121" i="9"/>
  <c r="CW45" i="9" s="1"/>
  <c r="CO31" i="11"/>
  <c r="CP29" i="11"/>
  <c r="CU123" i="9"/>
  <c r="CU47" i="9" s="1"/>
  <c r="CL62" i="11"/>
  <c r="CL63" i="11" s="1"/>
  <c r="CM59" i="11"/>
  <c r="CN25" i="11"/>
  <c r="CL19" i="10" l="1"/>
  <c r="CL6" i="10" s="1"/>
  <c r="CX121" i="9"/>
  <c r="CX45" i="9" s="1"/>
  <c r="CQ29" i="11"/>
  <c r="CQ31" i="11" s="1"/>
  <c r="CP31" i="11"/>
  <c r="CV123" i="9"/>
  <c r="CV47" i="9" s="1"/>
  <c r="CF66" i="11"/>
  <c r="CR113" i="9"/>
  <c r="CN59" i="11"/>
  <c r="CN60" i="11" s="1"/>
  <c r="CN61" i="11" s="1"/>
  <c r="CN50" i="11" s="1"/>
  <c r="CM58" i="11"/>
  <c r="CM60" i="11" s="1"/>
  <c r="CM61" i="11" s="1"/>
  <c r="CM50" i="11" s="1"/>
  <c r="CY112" i="9" s="1"/>
  <c r="CO25" i="11"/>
  <c r="CM19" i="10" l="1"/>
  <c r="CY121" i="9"/>
  <c r="CY45" i="9" s="1"/>
  <c r="CW123" i="9"/>
  <c r="CW47" i="9" s="1"/>
  <c r="CE35" i="10"/>
  <c r="CZ112" i="9"/>
  <c r="CR37" i="9"/>
  <c r="CR111" i="9"/>
  <c r="CG66" i="11"/>
  <c r="CS113" i="9"/>
  <c r="CF65" i="11"/>
  <c r="CF67" i="11" s="1"/>
  <c r="CF68" i="11" s="1"/>
  <c r="CN62" i="11"/>
  <c r="CN63" i="11" s="1"/>
  <c r="CO59" i="11"/>
  <c r="CM62" i="11"/>
  <c r="CM63" i="11" s="1"/>
  <c r="CP25" i="11"/>
  <c r="CN19" i="10" l="1"/>
  <c r="CZ121" i="9"/>
  <c r="CZ45" i="9" s="1"/>
  <c r="CY123" i="9"/>
  <c r="CY47" i="9" s="1"/>
  <c r="CX123" i="9"/>
  <c r="CX47" i="9" s="1"/>
  <c r="CF69" i="11"/>
  <c r="CF70" i="11" s="1"/>
  <c r="CS37" i="9"/>
  <c r="CS111" i="9"/>
  <c r="CG65" i="11"/>
  <c r="CG67" i="11" s="1"/>
  <c r="CG68" i="11" s="1"/>
  <c r="CH66" i="11"/>
  <c r="CT113" i="9"/>
  <c r="CP59" i="11"/>
  <c r="CP58" i="11" s="1"/>
  <c r="CP60" i="11" s="1"/>
  <c r="CP61" i="11" s="1"/>
  <c r="CP50" i="11" s="1"/>
  <c r="DB112" i="9" s="1"/>
  <c r="CO58" i="11"/>
  <c r="CO60" i="11" s="1"/>
  <c r="CO61" i="11" s="1"/>
  <c r="CO50" i="11" s="1"/>
  <c r="DA112" i="9" s="1"/>
  <c r="CQ25" i="11"/>
  <c r="CE25" i="11"/>
  <c r="CO19" i="10" l="1"/>
  <c r="DA121" i="9"/>
  <c r="DA45" i="9" s="1"/>
  <c r="CZ123" i="9"/>
  <c r="CZ47" i="9" s="1"/>
  <c r="CT37" i="9"/>
  <c r="CT111" i="9"/>
  <c r="CU113" i="9"/>
  <c r="CI66" i="11"/>
  <c r="CH65" i="11"/>
  <c r="CH67" i="11" s="1"/>
  <c r="CH68" i="11" s="1"/>
  <c r="CG69" i="11"/>
  <c r="CG70" i="11" s="1"/>
  <c r="CP62" i="11"/>
  <c r="CP63" i="11" s="1"/>
  <c r="CO62" i="11"/>
  <c r="CO63" i="11" s="1"/>
  <c r="CQ59" i="11"/>
  <c r="CE18" i="11"/>
  <c r="CQ19" i="10" l="1"/>
  <c r="CP19" i="10"/>
  <c r="CP6" i="10" s="1"/>
  <c r="CF33" i="4"/>
  <c r="DC121" i="9"/>
  <c r="DB121" i="9"/>
  <c r="DB45" i="9" s="1"/>
  <c r="CE38" i="10"/>
  <c r="DA123" i="9"/>
  <c r="DA47" i="9" s="1"/>
  <c r="DC45" i="9"/>
  <c r="CQ45" i="9" s="1"/>
  <c r="CQ121" i="9"/>
  <c r="CJ66" i="11"/>
  <c r="CV113" i="9"/>
  <c r="CI65" i="11"/>
  <c r="CI67" i="11" s="1"/>
  <c r="CI68" i="11" s="1"/>
  <c r="CH69" i="11"/>
  <c r="CH70" i="11" s="1"/>
  <c r="CU37" i="9"/>
  <c r="CU111" i="9"/>
  <c r="CQ60" i="11"/>
  <c r="CQ61" i="11" s="1"/>
  <c r="CQ50" i="11" s="1"/>
  <c r="CE19" i="10" l="1"/>
  <c r="E38" i="28"/>
  <c r="DB123" i="9"/>
  <c r="CE43" i="10"/>
  <c r="DC112" i="9"/>
  <c r="CQ112" i="9" s="1"/>
  <c r="CI69" i="11"/>
  <c r="CI70" i="11" s="1"/>
  <c r="CW113" i="9"/>
  <c r="CK66" i="11"/>
  <c r="CJ65" i="11"/>
  <c r="CJ67" i="11" s="1"/>
  <c r="CJ68" i="11" s="1"/>
  <c r="CV37" i="9"/>
  <c r="CV111" i="9"/>
  <c r="CQ62" i="11"/>
  <c r="CQ63" i="11" s="1"/>
  <c r="CE63" i="11" s="1"/>
  <c r="DB47" i="9" l="1"/>
  <c r="DC123" i="9"/>
  <c r="DC47" i="9" s="1"/>
  <c r="CJ69" i="11"/>
  <c r="CJ70" i="11" s="1"/>
  <c r="CK65" i="11"/>
  <c r="CK67" i="11" s="1"/>
  <c r="CK68" i="11" s="1"/>
  <c r="CX113" i="9"/>
  <c r="CL66" i="11"/>
  <c r="CW37" i="9"/>
  <c r="CW111" i="9"/>
  <c r="CQ47" i="9" l="1"/>
  <c r="CQ123" i="9"/>
  <c r="CY113" i="9"/>
  <c r="CM66" i="11"/>
  <c r="CL65" i="11"/>
  <c r="CL67" i="11" s="1"/>
  <c r="CL68" i="11" s="1"/>
  <c r="CX37" i="9"/>
  <c r="CX111" i="9"/>
  <c r="CK69" i="11"/>
  <c r="CK70" i="11" s="1"/>
  <c r="E40" i="28" l="1"/>
  <c r="CL69" i="11"/>
  <c r="CL70" i="11" s="1"/>
  <c r="CM65" i="11"/>
  <c r="CM67" i="11" s="1"/>
  <c r="CM68" i="11" s="1"/>
  <c r="CY37" i="9"/>
  <c r="CY111" i="9"/>
  <c r="CZ113" i="9"/>
  <c r="CN66" i="11"/>
  <c r="CM69" i="11" l="1"/>
  <c r="CM70" i="11" s="1"/>
  <c r="CN65" i="11"/>
  <c r="CN67" i="11" s="1"/>
  <c r="CN68" i="11" s="1"/>
  <c r="DA113" i="9"/>
  <c r="CO66" i="11"/>
  <c r="CZ37" i="9"/>
  <c r="CZ111" i="9"/>
  <c r="CO65" i="11" l="1"/>
  <c r="CO67" i="11" s="1"/>
  <c r="CO68" i="11" s="1"/>
  <c r="DB113" i="9"/>
  <c r="CP66" i="11"/>
  <c r="DA37" i="9"/>
  <c r="DA111" i="9"/>
  <c r="CN69" i="11"/>
  <c r="CN70" i="11" s="1"/>
  <c r="CO69" i="11" l="1"/>
  <c r="CO70" i="11" s="1"/>
  <c r="CE32" i="11"/>
  <c r="CE49" i="11" s="1"/>
  <c r="DC113" i="9"/>
  <c r="CQ66" i="11"/>
  <c r="CP65" i="11"/>
  <c r="CP67" i="11" s="1"/>
  <c r="CP68" i="11" s="1"/>
  <c r="DB37" i="9"/>
  <c r="DB111" i="9"/>
  <c r="BT54" i="4"/>
  <c r="CK7" i="3"/>
  <c r="CJ7" i="3"/>
  <c r="CI59" i="3"/>
  <c r="CE16" i="3"/>
  <c r="CN55" i="3"/>
  <c r="CM7" i="3"/>
  <c r="CL7" i="3"/>
  <c r="CH55" i="3"/>
  <c r="CE10" i="3"/>
  <c r="CI54" i="3"/>
  <c r="CI53" i="3"/>
  <c r="CG53" i="3"/>
  <c r="CE63" i="3"/>
  <c r="CE62" i="3"/>
  <c r="CE61" i="3"/>
  <c r="CE60" i="3"/>
  <c r="CQ59" i="3"/>
  <c r="CP59" i="3"/>
  <c r="CM59" i="3"/>
  <c r="CH59" i="3"/>
  <c r="CG59" i="3"/>
  <c r="CF59" i="3"/>
  <c r="CK55" i="3"/>
  <c r="CJ55" i="3"/>
  <c r="CI55" i="3"/>
  <c r="CG55" i="3"/>
  <c r="CF55" i="3"/>
  <c r="CO54" i="3"/>
  <c r="CN54" i="3"/>
  <c r="CK54" i="3"/>
  <c r="CJ54" i="3"/>
  <c r="CP53" i="3"/>
  <c r="CO53" i="3"/>
  <c r="CL53" i="3"/>
  <c r="CK53" i="3"/>
  <c r="CJ53" i="3"/>
  <c r="CF53" i="3"/>
  <c r="CE50" i="3"/>
  <c r="CE49" i="3"/>
  <c r="CE48" i="3"/>
  <c r="CE47" i="3"/>
  <c r="CE46" i="3"/>
  <c r="CE45" i="3"/>
  <c r="CE44" i="3"/>
  <c r="CE43" i="3"/>
  <c r="CE39" i="3"/>
  <c r="CE37" i="3"/>
  <c r="CE36" i="3"/>
  <c r="CN22" i="3"/>
  <c r="CK22" i="3"/>
  <c r="CJ22" i="3"/>
  <c r="CI22" i="3"/>
  <c r="CE20" i="3"/>
  <c r="CE19" i="3"/>
  <c r="CE18" i="3"/>
  <c r="CE17" i="3"/>
  <c r="CN59" i="3"/>
  <c r="CL59" i="3"/>
  <c r="CE15" i="3"/>
  <c r="CE14" i="3"/>
  <c r="CE13" i="3"/>
  <c r="CE12" i="3"/>
  <c r="CE11" i="3"/>
  <c r="CQ55" i="3"/>
  <c r="CP55" i="3"/>
  <c r="CO55" i="3"/>
  <c r="CM55" i="3"/>
  <c r="CL55" i="3"/>
  <c r="CQ54" i="3"/>
  <c r="CP54" i="3"/>
  <c r="CQ53" i="3"/>
  <c r="CP7" i="3"/>
  <c r="CO7" i="3"/>
  <c r="CN53" i="3"/>
  <c r="CC15" i="3"/>
  <c r="CB15" i="3"/>
  <c r="CC14" i="3"/>
  <c r="CB14" i="3"/>
  <c r="CC13" i="3"/>
  <c r="CB13" i="3"/>
  <c r="CC12" i="3"/>
  <c r="CB12" i="3"/>
  <c r="CC11" i="3"/>
  <c r="CB11" i="3"/>
  <c r="P30" i="21"/>
  <c r="O30" i="21"/>
  <c r="N30" i="21"/>
  <c r="M30" i="21"/>
  <c r="L30" i="21"/>
  <c r="K30" i="21"/>
  <c r="J30" i="21"/>
  <c r="I30" i="21"/>
  <c r="H30" i="21"/>
  <c r="G30" i="21"/>
  <c r="F30" i="21"/>
  <c r="E30" i="21"/>
  <c r="P34" i="21"/>
  <c r="O34" i="21"/>
  <c r="N34" i="21"/>
  <c r="M34" i="21"/>
  <c r="L34" i="21"/>
  <c r="K34" i="21"/>
  <c r="J34" i="21"/>
  <c r="I34" i="21"/>
  <c r="H34" i="21"/>
  <c r="G34" i="21"/>
  <c r="F34" i="21"/>
  <c r="P33" i="21"/>
  <c r="O33" i="21"/>
  <c r="N33" i="21"/>
  <c r="M33" i="21"/>
  <c r="L33" i="21"/>
  <c r="K33" i="21"/>
  <c r="J33" i="21"/>
  <c r="I33" i="21"/>
  <c r="H33" i="21"/>
  <c r="G33" i="21"/>
  <c r="F33" i="21"/>
  <c r="P32" i="21"/>
  <c r="O32" i="21"/>
  <c r="N32" i="21"/>
  <c r="M32" i="21"/>
  <c r="L32" i="21"/>
  <c r="K32" i="21"/>
  <c r="J32" i="21"/>
  <c r="I32" i="21"/>
  <c r="H32" i="21"/>
  <c r="G32" i="21"/>
  <c r="F32" i="21"/>
  <c r="P31" i="21"/>
  <c r="O31" i="21"/>
  <c r="N31" i="21"/>
  <c r="M31" i="21"/>
  <c r="L31" i="21"/>
  <c r="K31" i="21"/>
  <c r="J31" i="21"/>
  <c r="I31" i="21"/>
  <c r="H31" i="21"/>
  <c r="G31" i="21"/>
  <c r="F31" i="21"/>
  <c r="P29" i="21"/>
  <c r="O29" i="21"/>
  <c r="N29" i="21"/>
  <c r="M29" i="21"/>
  <c r="L29" i="21"/>
  <c r="K29" i="21"/>
  <c r="J29" i="21"/>
  <c r="I29" i="21"/>
  <c r="H29" i="21"/>
  <c r="G29" i="21"/>
  <c r="F29" i="21"/>
  <c r="P28" i="21"/>
  <c r="O28" i="21"/>
  <c r="N28" i="21"/>
  <c r="M28" i="21"/>
  <c r="L28" i="21"/>
  <c r="K28" i="21"/>
  <c r="J28" i="21"/>
  <c r="I28" i="21"/>
  <c r="H28" i="21"/>
  <c r="G28" i="21"/>
  <c r="F28" i="21"/>
  <c r="P27" i="21"/>
  <c r="O27" i="21"/>
  <c r="N27" i="21"/>
  <c r="M27" i="21"/>
  <c r="L27" i="21"/>
  <c r="K27" i="21"/>
  <c r="J27" i="21"/>
  <c r="I27" i="21"/>
  <c r="H27" i="21"/>
  <c r="G27" i="21"/>
  <c r="F27" i="21"/>
  <c r="E34" i="21"/>
  <c r="E33" i="21"/>
  <c r="E32" i="21"/>
  <c r="E31" i="21"/>
  <c r="E29" i="21"/>
  <c r="E28" i="21"/>
  <c r="E27" i="21"/>
  <c r="CQ45" i="5"/>
  <c r="CP45" i="5"/>
  <c r="CO45" i="5"/>
  <c r="CN45" i="5"/>
  <c r="CM45" i="5"/>
  <c r="CL45" i="5"/>
  <c r="CK45" i="5"/>
  <c r="CJ45" i="5"/>
  <c r="CI45" i="5"/>
  <c r="CH45" i="5"/>
  <c r="CG45" i="5"/>
  <c r="CF45" i="5"/>
  <c r="CE30" i="5"/>
  <c r="CE20" i="5"/>
  <c r="CE19" i="5"/>
  <c r="CE18" i="5"/>
  <c r="CE9" i="5"/>
  <c r="CE8" i="5"/>
  <c r="CE7" i="5"/>
  <c r="CQ6" i="5"/>
  <c r="CQ22" i="3" s="1"/>
  <c r="CP6" i="5"/>
  <c r="CP10" i="5" s="1"/>
  <c r="CO6" i="5"/>
  <c r="CO10" i="5" s="1"/>
  <c r="CN6" i="5"/>
  <c r="CN10" i="5" s="1"/>
  <c r="CM6" i="5"/>
  <c r="CM10" i="5" s="1"/>
  <c r="CL6" i="5"/>
  <c r="CL22" i="3" s="1"/>
  <c r="CK6" i="5"/>
  <c r="CJ6" i="5"/>
  <c r="CI6" i="5"/>
  <c r="CH6" i="5"/>
  <c r="CH10" i="5" s="1"/>
  <c r="CG6" i="5"/>
  <c r="CG10" i="5" s="1"/>
  <c r="CF6" i="5"/>
  <c r="CF10" i="5" s="1"/>
  <c r="CM22" i="3" l="1"/>
  <c r="CO22" i="3"/>
  <c r="CH22" i="3"/>
  <c r="E26" i="24"/>
  <c r="CQ10" i="5"/>
  <c r="F24" i="24"/>
  <c r="CG22" i="3"/>
  <c r="CP69" i="11"/>
  <c r="CP70" i="11" s="1"/>
  <c r="CQ65" i="11"/>
  <c r="CQ67" i="11" s="1"/>
  <c r="CQ68" i="11" s="1"/>
  <c r="DC37" i="9"/>
  <c r="CQ37" i="9" s="1"/>
  <c r="DC111" i="9"/>
  <c r="CQ111" i="9" s="1"/>
  <c r="CQ113" i="9"/>
  <c r="CF12" i="4"/>
  <c r="CH48" i="4"/>
  <c r="CG15" i="4"/>
  <c r="CE55" i="3"/>
  <c r="CE59" i="3"/>
  <c r="BR10" i="3"/>
  <c r="CJ59" i="3"/>
  <c r="CK59" i="3"/>
  <c r="CF7" i="3"/>
  <c r="CH54" i="3"/>
  <c r="CF22" i="3"/>
  <c r="CH7" i="3"/>
  <c r="CH53" i="3"/>
  <c r="CG7" i="3"/>
  <c r="CE9" i="3"/>
  <c r="CE54" i="3" s="1"/>
  <c r="CF54" i="3"/>
  <c r="CG54" i="3"/>
  <c r="CI7" i="3"/>
  <c r="CN7" i="3"/>
  <c r="CP22" i="3"/>
  <c r="CO59" i="3"/>
  <c r="CQ7" i="3"/>
  <c r="CE8" i="3"/>
  <c r="CE53" i="3" s="1"/>
  <c r="CL54" i="3"/>
  <c r="CM54" i="3"/>
  <c r="CM53" i="3"/>
  <c r="Q33" i="21"/>
  <c r="L26" i="21"/>
  <c r="M26" i="21"/>
  <c r="K26" i="21"/>
  <c r="Q31" i="21"/>
  <c r="Q29" i="21"/>
  <c r="N26" i="21"/>
  <c r="Q27" i="21"/>
  <c r="O26" i="21"/>
  <c r="Q32" i="21"/>
  <c r="P26" i="21"/>
  <c r="E26" i="21"/>
  <c r="Q30" i="21"/>
  <c r="F26" i="21"/>
  <c r="G26" i="21"/>
  <c r="H26" i="21"/>
  <c r="I26" i="21"/>
  <c r="Q34" i="21"/>
  <c r="J26" i="21"/>
  <c r="Q28" i="21"/>
  <c r="CE11" i="5"/>
  <c r="CJ10" i="5"/>
  <c r="CL10" i="5"/>
  <c r="CI10" i="5"/>
  <c r="CK10" i="5"/>
  <c r="CE6" i="5"/>
  <c r="CF10" i="4" l="1"/>
  <c r="CF18" i="4"/>
  <c r="E30" i="28"/>
  <c r="CQ69" i="11"/>
  <c r="CQ70" i="11" s="1"/>
  <c r="CE70" i="11" s="1"/>
  <c r="CH15" i="4"/>
  <c r="CH14" i="4" s="1"/>
  <c r="CH47" i="4" s="1"/>
  <c r="CI48" i="4"/>
  <c r="CE22" i="3"/>
  <c r="CE7" i="3"/>
  <c r="CE38" i="3"/>
  <c r="Q26" i="21"/>
  <c r="CE10" i="5"/>
  <c r="CE5" i="5"/>
  <c r="CJ48" i="4" l="1"/>
  <c r="CI15" i="4"/>
  <c r="CI14" i="4" s="1"/>
  <c r="CI47" i="4" s="1"/>
  <c r="CF16" i="4" l="1"/>
  <c r="F26" i="24"/>
  <c r="CK48" i="4"/>
  <c r="CJ15" i="4"/>
  <c r="CJ14" i="4" s="1"/>
  <c r="CJ47" i="4" s="1"/>
  <c r="I26" i="24" l="1"/>
  <c r="H26" i="24"/>
  <c r="G26" i="24"/>
  <c r="CL48" i="4"/>
  <c r="CK15" i="4"/>
  <c r="CK14" i="4" s="1"/>
  <c r="CK47" i="4" s="1"/>
  <c r="CM48" i="4" l="1"/>
  <c r="CL15" i="4"/>
  <c r="CL14" i="4" s="1"/>
  <c r="CL47" i="4" s="1"/>
  <c r="CM15" i="4" l="1"/>
  <c r="CM14" i="4" s="1"/>
  <c r="CM47" i="4" s="1"/>
  <c r="CN48" i="4"/>
  <c r="CH54" i="4"/>
  <c r="CG17" i="4"/>
  <c r="CN15" i="4" l="1"/>
  <c r="CN14" i="4" s="1"/>
  <c r="CN47" i="4" s="1"/>
  <c r="CO48" i="4"/>
  <c r="CI54" i="4"/>
  <c r="CH17" i="4"/>
  <c r="CH8" i="4" s="1"/>
  <c r="CH7" i="4" s="1"/>
  <c r="CH30" i="4" s="1"/>
  <c r="CO15" i="4" l="1"/>
  <c r="CO14" i="4" s="1"/>
  <c r="CO47" i="4" s="1"/>
  <c r="CP48" i="4"/>
  <c r="CH5" i="4"/>
  <c r="CJ54" i="4"/>
  <c r="CI17" i="4"/>
  <c r="CI8" i="4" s="1"/>
  <c r="CI7" i="4" s="1"/>
  <c r="CI30" i="4" s="1"/>
  <c r="CP15" i="4" l="1"/>
  <c r="CP14" i="4" s="1"/>
  <c r="CP47" i="4" s="1"/>
  <c r="CQ48" i="4"/>
  <c r="CK54" i="4"/>
  <c r="CJ17" i="4"/>
  <c r="CI5" i="4"/>
  <c r="CQ15" i="4" l="1"/>
  <c r="CQ14" i="4" s="1"/>
  <c r="CQ47" i="4" s="1"/>
  <c r="CR48" i="4"/>
  <c r="CF6" i="4"/>
  <c r="CJ8" i="4"/>
  <c r="CJ7" i="4" s="1"/>
  <c r="CJ30" i="4" s="1"/>
  <c r="CL54" i="4"/>
  <c r="CK17" i="4"/>
  <c r="CK8" i="4" s="1"/>
  <c r="CK7" i="4" s="1"/>
  <c r="CK30" i="4" s="1"/>
  <c r="CR15" i="4" l="1"/>
  <c r="CM54" i="4"/>
  <c r="CL17" i="4"/>
  <c r="CK5" i="4"/>
  <c r="CJ5" i="4"/>
  <c r="CR14" i="4" l="1"/>
  <c r="CR47" i="4" s="1"/>
  <c r="F25" i="24"/>
  <c r="CL8" i="4"/>
  <c r="CL7" i="4" s="1"/>
  <c r="CL30" i="4" s="1"/>
  <c r="CN54" i="4"/>
  <c r="CM17" i="4"/>
  <c r="CM8" i="4" s="1"/>
  <c r="CM7" i="4" s="1"/>
  <c r="I25" i="24" l="1"/>
  <c r="CM5" i="4"/>
  <c r="CO54" i="4"/>
  <c r="CN17" i="4"/>
  <c r="CN8" i="4" s="1"/>
  <c r="CN7" i="4" s="1"/>
  <c r="CL5" i="4"/>
  <c r="CP54" i="4" l="1"/>
  <c r="CO17" i="4"/>
  <c r="CO8" i="4" s="1"/>
  <c r="CO7" i="4" s="1"/>
  <c r="CN5" i="4"/>
  <c r="CF21" i="5"/>
  <c r="CO5" i="4" l="1"/>
  <c r="CQ54" i="4"/>
  <c r="CP17" i="4"/>
  <c r="CP8" i="4" s="1"/>
  <c r="CP7" i="4" s="1"/>
  <c r="CG21" i="5"/>
  <c r="CH39" i="5"/>
  <c r="CP5" i="4" l="1"/>
  <c r="CR54" i="4"/>
  <c r="CQ17" i="4"/>
  <c r="CQ8" i="4" s="1"/>
  <c r="CQ7" i="4" s="1"/>
  <c r="CH21" i="5"/>
  <c r="CR17" i="4" l="1"/>
  <c r="CR8" i="4" s="1"/>
  <c r="CR7" i="4" s="1"/>
  <c r="CQ5" i="4"/>
  <c r="CF17" i="4"/>
  <c r="CI21" i="5"/>
  <c r="CR5" i="4" l="1"/>
  <c r="CJ21" i="5"/>
  <c r="CK39" i="5"/>
  <c r="CK21" i="5" l="1"/>
  <c r="CL21" i="5" l="1"/>
  <c r="CM21" i="5" l="1"/>
  <c r="CN21" i="5" l="1"/>
  <c r="CN39" i="5"/>
  <c r="Q255" i="2"/>
  <c r="P255" i="2"/>
  <c r="O255" i="2"/>
  <c r="N255" i="2"/>
  <c r="M255" i="2"/>
  <c r="M268" i="2" s="1"/>
  <c r="L255" i="2"/>
  <c r="L268" i="2" s="1"/>
  <c r="K255" i="2"/>
  <c r="J255" i="2"/>
  <c r="I255" i="2"/>
  <c r="H255" i="2"/>
  <c r="G255" i="2"/>
  <c r="F255" i="2"/>
  <c r="CG325" i="2"/>
  <c r="CG314" i="2"/>
  <c r="CH314" i="2" s="1"/>
  <c r="CI314" i="2" s="1"/>
  <c r="CJ314" i="2" s="1"/>
  <c r="CK314" i="2" s="1"/>
  <c r="CL314" i="2" s="1"/>
  <c r="CM314" i="2" s="1"/>
  <c r="CN314" i="2" s="1"/>
  <c r="CO314" i="2" s="1"/>
  <c r="CP314" i="2" s="1"/>
  <c r="CQ314" i="2" s="1"/>
  <c r="CE101" i="2"/>
  <c r="CO21" i="5" l="1"/>
  <c r="CG107" i="2"/>
  <c r="CP21" i="5" l="1"/>
  <c r="CH107" i="2"/>
  <c r="CI107" i="2" s="1"/>
  <c r="CJ107" i="2" s="1"/>
  <c r="CK107" i="2" s="1"/>
  <c r="CL107" i="2" s="1"/>
  <c r="CM107" i="2" s="1"/>
  <c r="CN107" i="2" s="1"/>
  <c r="CO107" i="2" s="1"/>
  <c r="CP107" i="2"/>
  <c r="CQ107" i="2" s="1"/>
  <c r="CQ21" i="5" l="1"/>
  <c r="CE21" i="5" s="1"/>
  <c r="CE26" i="5"/>
  <c r="CQ39" i="5"/>
  <c r="CE107" i="2"/>
  <c r="CF299" i="2" l="1"/>
  <c r="CG273" i="2"/>
  <c r="CH273" i="2" s="1"/>
  <c r="CI273" i="2" s="1"/>
  <c r="CJ273" i="2" s="1"/>
  <c r="CK273" i="2" s="1"/>
  <c r="CL273" i="2" s="1"/>
  <c r="CM273" i="2" s="1"/>
  <c r="CN273" i="2" s="1"/>
  <c r="CO273" i="2" s="1"/>
  <c r="CP273" i="2" s="1"/>
  <c r="CQ273" i="2" s="1"/>
  <c r="CG272" i="2"/>
  <c r="CH272" i="2" s="1"/>
  <c r="CI272" i="2" s="1"/>
  <c r="CJ272" i="2" s="1"/>
  <c r="CK272" i="2" s="1"/>
  <c r="CL272" i="2" s="1"/>
  <c r="CM272" i="2" s="1"/>
  <c r="CN272" i="2" s="1"/>
  <c r="CO272" i="2" s="1"/>
  <c r="CP272" i="2" s="1"/>
  <c r="CQ272" i="2" s="1"/>
  <c r="CG299" i="2" l="1"/>
  <c r="CH299" i="2" l="1"/>
  <c r="CQ129" i="2"/>
  <c r="CP129" i="2"/>
  <c r="CO129" i="2"/>
  <c r="CN129" i="2"/>
  <c r="CM129" i="2"/>
  <c r="CL129" i="2"/>
  <c r="CK129" i="2"/>
  <c r="CJ129" i="2"/>
  <c r="CI129" i="2"/>
  <c r="CH129" i="2"/>
  <c r="CG129" i="2"/>
  <c r="CF129" i="2"/>
  <c r="CG128" i="2"/>
  <c r="CH128" i="2" s="1"/>
  <c r="CI128" i="2" s="1"/>
  <c r="CJ128" i="2" s="1"/>
  <c r="CK128" i="2" s="1"/>
  <c r="CL128" i="2" s="1"/>
  <c r="CM128" i="2" s="1"/>
  <c r="CN128" i="2" s="1"/>
  <c r="CO128" i="2" s="1"/>
  <c r="CP128" i="2" s="1"/>
  <c r="CQ128" i="2" s="1"/>
  <c r="CH324" i="2"/>
  <c r="CI324" i="2"/>
  <c r="CJ324" i="2"/>
  <c r="CK324" i="2"/>
  <c r="CL324" i="2"/>
  <c r="CM324" i="2"/>
  <c r="CN324" i="2"/>
  <c r="CO324" i="2"/>
  <c r="CP324" i="2"/>
  <c r="CQ324" i="2"/>
  <c r="CG324" i="2"/>
  <c r="CF324" i="2"/>
  <c r="CH325" i="2"/>
  <c r="CI325" i="2" s="1"/>
  <c r="CJ325" i="2" s="1"/>
  <c r="CK325" i="2" s="1"/>
  <c r="CL325" i="2" s="1"/>
  <c r="CM325" i="2" s="1"/>
  <c r="CN325" i="2" s="1"/>
  <c r="CO325" i="2" s="1"/>
  <c r="CP325" i="2" s="1"/>
  <c r="CQ325" i="2" s="1"/>
  <c r="CH313" i="2"/>
  <c r="CI313" i="2"/>
  <c r="CJ313" i="2"/>
  <c r="CK313" i="2"/>
  <c r="CL313" i="2"/>
  <c r="CM313" i="2"/>
  <c r="CN313" i="2"/>
  <c r="CO313" i="2"/>
  <c r="CP313" i="2"/>
  <c r="CQ313" i="2"/>
  <c r="CG313" i="2"/>
  <c r="CI299" i="2" l="1"/>
  <c r="CJ299" i="2" l="1"/>
  <c r="CK299" i="2" l="1"/>
  <c r="CL299" i="2" l="1"/>
  <c r="CM299" i="2" l="1"/>
  <c r="CN299" i="2" l="1"/>
  <c r="CO299" i="2" l="1"/>
  <c r="CP299" i="2" l="1"/>
  <c r="CG328" i="2"/>
  <c r="CF329" i="2"/>
  <c r="CG329" i="2" l="1"/>
  <c r="CH328" i="2"/>
  <c r="CQ299" i="2"/>
  <c r="CI328" i="2" l="1"/>
  <c r="CH329" i="2"/>
  <c r="CJ328" i="2" l="1"/>
  <c r="CI329" i="2"/>
  <c r="CQ114" i="2"/>
  <c r="CP114" i="2"/>
  <c r="CO114" i="2"/>
  <c r="CN114" i="2"/>
  <c r="CM114" i="2"/>
  <c r="CL114" i="2"/>
  <c r="CK114" i="2"/>
  <c r="CJ114" i="2"/>
  <c r="CI114" i="2"/>
  <c r="CH114" i="2"/>
  <c r="CG114" i="2"/>
  <c r="CQ113" i="2"/>
  <c r="CP113" i="2"/>
  <c r="CO113" i="2"/>
  <c r="CN113" i="2"/>
  <c r="CM113" i="2"/>
  <c r="CL113" i="2"/>
  <c r="CK113" i="2"/>
  <c r="CJ113" i="2"/>
  <c r="CI113" i="2"/>
  <c r="CH113" i="2"/>
  <c r="CG113" i="2"/>
  <c r="CQ109" i="2"/>
  <c r="CP109" i="2"/>
  <c r="CO109" i="2"/>
  <c r="CN109" i="2"/>
  <c r="CM109" i="2"/>
  <c r="CL109" i="2"/>
  <c r="CK109" i="2"/>
  <c r="CJ109" i="2"/>
  <c r="CI109" i="2"/>
  <c r="CH109" i="2"/>
  <c r="CG109" i="2"/>
  <c r="CQ108" i="2"/>
  <c r="CP108" i="2"/>
  <c r="CO108" i="2"/>
  <c r="CN108" i="2"/>
  <c r="CM108" i="2"/>
  <c r="CK108" i="2"/>
  <c r="CJ108" i="2"/>
  <c r="CI108" i="2"/>
  <c r="CH108" i="2"/>
  <c r="CG108" i="2"/>
  <c r="CF114" i="2"/>
  <c r="CF113" i="2"/>
  <c r="CF109" i="2"/>
  <c r="CF108" i="2"/>
  <c r="CJ329" i="2" l="1"/>
  <c r="CK328" i="2"/>
  <c r="CL328" i="2" l="1"/>
  <c r="CK329" i="2"/>
  <c r="CM328" i="2" l="1"/>
  <c r="CL329" i="2"/>
  <c r="CM329" i="2" l="1"/>
  <c r="CN328" i="2"/>
  <c r="CN329" i="2" l="1"/>
  <c r="CO328" i="2"/>
  <c r="CP328" i="2" l="1"/>
  <c r="CO329" i="2"/>
  <c r="CP329" i="2" l="1"/>
  <c r="CQ328" i="2"/>
  <c r="CF318" i="2"/>
  <c r="CQ329" i="2" l="1"/>
  <c r="CG318" i="2"/>
  <c r="CH318" i="2" l="1"/>
  <c r="CI318" i="2" l="1"/>
  <c r="CJ318" i="2" l="1"/>
  <c r="CK318" i="2" l="1"/>
  <c r="CL318" i="2" l="1"/>
  <c r="CM318" i="2" l="1"/>
  <c r="CN318" i="2" l="1"/>
  <c r="CO318" i="2" l="1"/>
  <c r="CP318" i="2" l="1"/>
  <c r="CQ318" i="2" l="1"/>
  <c r="CH297" i="2"/>
  <c r="CT107" i="9" s="1"/>
  <c r="CQ297" i="2"/>
  <c r="DC107" i="9" s="1"/>
  <c r="CP297" i="2"/>
  <c r="DB107" i="9" s="1"/>
  <c r="CO297" i="2"/>
  <c r="DA107" i="9" s="1"/>
  <c r="CN297" i="2"/>
  <c r="CZ107" i="9" s="1"/>
  <c r="CM297" i="2"/>
  <c r="CY107" i="9" s="1"/>
  <c r="CL297" i="2"/>
  <c r="CX107" i="9" s="1"/>
  <c r="CK297" i="2"/>
  <c r="CW107" i="9" s="1"/>
  <c r="CJ297" i="2"/>
  <c r="CV107" i="9" s="1"/>
  <c r="CI297" i="2"/>
  <c r="CU107" i="9" s="1"/>
  <c r="CG297" i="2"/>
  <c r="CS107" i="9" s="1"/>
  <c r="CF297" i="2"/>
  <c r="CR107" i="9" s="1"/>
  <c r="CE285" i="2"/>
  <c r="CE283" i="2"/>
  <c r="CE262" i="2"/>
  <c r="CE224" i="2"/>
  <c r="CE200" i="2"/>
  <c r="CE180" i="2"/>
  <c r="CE179" i="2"/>
  <c r="CE178" i="2"/>
  <c r="CE177" i="2"/>
  <c r="CE176" i="2"/>
  <c r="CE175" i="2"/>
  <c r="CE174" i="2"/>
  <c r="CQ173" i="2"/>
  <c r="CP173" i="2"/>
  <c r="CO173" i="2"/>
  <c r="CN173" i="2"/>
  <c r="CM173" i="2"/>
  <c r="CL173" i="2"/>
  <c r="CK173" i="2"/>
  <c r="CJ173" i="2"/>
  <c r="CI173" i="2"/>
  <c r="CH173" i="2"/>
  <c r="CG173" i="2"/>
  <c r="CF173" i="2"/>
  <c r="CE172" i="2"/>
  <c r="CE171" i="2"/>
  <c r="CE170" i="2"/>
  <c r="CE169" i="2"/>
  <c r="CE168" i="2"/>
  <c r="CE167" i="2"/>
  <c r="CE166" i="2"/>
  <c r="CE165" i="2"/>
  <c r="CQ164" i="2"/>
  <c r="CP164" i="2"/>
  <c r="CO164" i="2"/>
  <c r="CN164" i="2"/>
  <c r="CM164" i="2"/>
  <c r="CL164" i="2"/>
  <c r="CK164" i="2"/>
  <c r="CJ164" i="2"/>
  <c r="CI164" i="2"/>
  <c r="CH164" i="2"/>
  <c r="CG164" i="2"/>
  <c r="CF164" i="2"/>
  <c r="CE154" i="2"/>
  <c r="CE153" i="2"/>
  <c r="CE152" i="2"/>
  <c r="CE151" i="2"/>
  <c r="CE150" i="2"/>
  <c r="CE149" i="2"/>
  <c r="CQ148" i="2"/>
  <c r="CP148" i="2"/>
  <c r="CO148" i="2"/>
  <c r="CN148" i="2"/>
  <c r="CM148" i="2"/>
  <c r="CL148" i="2"/>
  <c r="CK148" i="2"/>
  <c r="CJ148" i="2"/>
  <c r="CI148" i="2"/>
  <c r="CH148" i="2"/>
  <c r="CG148" i="2"/>
  <c r="CF148" i="2"/>
  <c r="CQ146" i="2"/>
  <c r="CP146" i="2"/>
  <c r="CO146" i="2"/>
  <c r="CN146" i="2"/>
  <c r="CM146" i="2"/>
  <c r="CL146" i="2"/>
  <c r="CK146" i="2"/>
  <c r="CJ146" i="2"/>
  <c r="CI146" i="2"/>
  <c r="CH146" i="2"/>
  <c r="CG146" i="2"/>
  <c r="CF146" i="2"/>
  <c r="CQ145" i="2"/>
  <c r="CP145" i="2"/>
  <c r="CO145" i="2"/>
  <c r="CN145" i="2"/>
  <c r="CM145" i="2"/>
  <c r="CL145" i="2"/>
  <c r="CK145" i="2"/>
  <c r="CJ145" i="2"/>
  <c r="CI145" i="2"/>
  <c r="CH145" i="2"/>
  <c r="CG145" i="2"/>
  <c r="CF145" i="2"/>
  <c r="CQ144" i="2"/>
  <c r="CP144" i="2"/>
  <c r="CO144" i="2"/>
  <c r="CN144" i="2"/>
  <c r="CM144" i="2"/>
  <c r="CL144" i="2"/>
  <c r="CK144" i="2"/>
  <c r="CJ144" i="2"/>
  <c r="CI144" i="2"/>
  <c r="CH144" i="2"/>
  <c r="CG144" i="2"/>
  <c r="CF144" i="2"/>
  <c r="CQ143" i="2"/>
  <c r="CP143" i="2"/>
  <c r="CO143" i="2"/>
  <c r="CN143" i="2"/>
  <c r="CM143" i="2"/>
  <c r="CL143" i="2"/>
  <c r="CK143" i="2"/>
  <c r="CJ143" i="2"/>
  <c r="CI143" i="2"/>
  <c r="CH143" i="2"/>
  <c r="CG143" i="2"/>
  <c r="CF143" i="2"/>
  <c r="CQ142" i="2"/>
  <c r="CP142" i="2"/>
  <c r="CO142" i="2"/>
  <c r="CN142" i="2"/>
  <c r="CM142" i="2"/>
  <c r="CL142" i="2"/>
  <c r="CK142" i="2"/>
  <c r="CJ142" i="2"/>
  <c r="CI142" i="2"/>
  <c r="CH142" i="2"/>
  <c r="CG142" i="2"/>
  <c r="CF142" i="2"/>
  <c r="CQ141" i="2"/>
  <c r="CP141" i="2"/>
  <c r="CO141" i="2"/>
  <c r="CN141" i="2"/>
  <c r="CM141" i="2"/>
  <c r="CL141" i="2"/>
  <c r="CK141" i="2"/>
  <c r="CJ141" i="2"/>
  <c r="CI141" i="2"/>
  <c r="CH141" i="2"/>
  <c r="CG141" i="2"/>
  <c r="CF141" i="2"/>
  <c r="CQ140" i="2"/>
  <c r="CP140" i="2"/>
  <c r="CO140" i="2"/>
  <c r="CN140" i="2"/>
  <c r="CM140" i="2"/>
  <c r="CL140" i="2"/>
  <c r="CK140" i="2"/>
  <c r="CJ140" i="2"/>
  <c r="CI140" i="2"/>
  <c r="CH140" i="2"/>
  <c r="CG140" i="2"/>
  <c r="CF140" i="2"/>
  <c r="CQ137" i="2"/>
  <c r="CP137" i="2"/>
  <c r="CO137" i="2"/>
  <c r="CN137" i="2"/>
  <c r="CM137" i="2"/>
  <c r="CL137" i="2"/>
  <c r="CK137" i="2"/>
  <c r="CJ137" i="2"/>
  <c r="CI137" i="2"/>
  <c r="CH137" i="2"/>
  <c r="CG137" i="2"/>
  <c r="CF137" i="2"/>
  <c r="CQ136" i="2"/>
  <c r="CP136" i="2"/>
  <c r="CO136" i="2"/>
  <c r="CN136" i="2"/>
  <c r="CM136" i="2"/>
  <c r="CL136" i="2"/>
  <c r="CK136" i="2"/>
  <c r="CJ136" i="2"/>
  <c r="CI136" i="2"/>
  <c r="CH136" i="2"/>
  <c r="CG136" i="2"/>
  <c r="CF136" i="2"/>
  <c r="CQ135" i="2"/>
  <c r="CP135" i="2"/>
  <c r="CO135" i="2"/>
  <c r="CN135" i="2"/>
  <c r="CM135" i="2"/>
  <c r="CL135" i="2"/>
  <c r="CK135" i="2"/>
  <c r="CJ135" i="2"/>
  <c r="CI135" i="2"/>
  <c r="CH135" i="2"/>
  <c r="CG135" i="2"/>
  <c r="CF135" i="2"/>
  <c r="CQ134" i="2"/>
  <c r="CP134" i="2"/>
  <c r="CO134" i="2"/>
  <c r="CN134" i="2"/>
  <c r="CM134" i="2"/>
  <c r="CL134" i="2"/>
  <c r="CK134" i="2"/>
  <c r="CJ134" i="2"/>
  <c r="CI134" i="2"/>
  <c r="CH134" i="2"/>
  <c r="CG134" i="2"/>
  <c r="CF134" i="2"/>
  <c r="CQ133" i="2"/>
  <c r="CP133" i="2"/>
  <c r="CO133" i="2"/>
  <c r="CN133" i="2"/>
  <c r="CM133" i="2"/>
  <c r="CL133" i="2"/>
  <c r="CK133" i="2"/>
  <c r="CJ133" i="2"/>
  <c r="CI133" i="2"/>
  <c r="CH133" i="2"/>
  <c r="CG133" i="2"/>
  <c r="CF133" i="2"/>
  <c r="CQ132" i="2"/>
  <c r="CP132" i="2"/>
  <c r="CO132" i="2"/>
  <c r="CN132" i="2"/>
  <c r="CM132" i="2"/>
  <c r="CL132" i="2"/>
  <c r="CK132" i="2"/>
  <c r="CJ132" i="2"/>
  <c r="CI132" i="2"/>
  <c r="CH132" i="2"/>
  <c r="CG132" i="2"/>
  <c r="CF132" i="2"/>
  <c r="CQ131" i="2"/>
  <c r="CP131" i="2"/>
  <c r="CO131" i="2"/>
  <c r="CN131" i="2"/>
  <c r="CM131" i="2"/>
  <c r="CL131" i="2"/>
  <c r="CK131" i="2"/>
  <c r="CJ131" i="2"/>
  <c r="CI131" i="2"/>
  <c r="CH131" i="2"/>
  <c r="CG131" i="2"/>
  <c r="CF131" i="2"/>
  <c r="CE128" i="2"/>
  <c r="CE122" i="2"/>
  <c r="CE120" i="2"/>
  <c r="CE104" i="2"/>
  <c r="CE103" i="2"/>
  <c r="CE100" i="2"/>
  <c r="CE99" i="2"/>
  <c r="CE98" i="2"/>
  <c r="CE97" i="2"/>
  <c r="CE91" i="2"/>
  <c r="CE89" i="2"/>
  <c r="CE86" i="2"/>
  <c r="CE83" i="2"/>
  <c r="CE82" i="2"/>
  <c r="CE81" i="2"/>
  <c r="CE80" i="2"/>
  <c r="CE79" i="2"/>
  <c r="CE78" i="2"/>
  <c r="CE77" i="2"/>
  <c r="CE74" i="2"/>
  <c r="CE71" i="2"/>
  <c r="CE69" i="2"/>
  <c r="CE64" i="2"/>
  <c r="CE63" i="2"/>
  <c r="CE62" i="2"/>
  <c r="CE58" i="2"/>
  <c r="CE56" i="2"/>
  <c r="CE49" i="2"/>
  <c r="CE46" i="2"/>
  <c r="CE44" i="2"/>
  <c r="CE36" i="2"/>
  <c r="CE35" i="2"/>
  <c r="CE34" i="2"/>
  <c r="CE33" i="2"/>
  <c r="CE32" i="2"/>
  <c r="CE31" i="2"/>
  <c r="CE30" i="2"/>
  <c r="CQ29" i="2"/>
  <c r="CP29" i="2"/>
  <c r="CO29" i="2"/>
  <c r="CN29" i="2"/>
  <c r="CM29" i="2"/>
  <c r="CL29" i="2"/>
  <c r="CK29" i="2"/>
  <c r="CJ29" i="2"/>
  <c r="CI29" i="2"/>
  <c r="CH29" i="2"/>
  <c r="CG29" i="2"/>
  <c r="CF29" i="2"/>
  <c r="CQ25" i="2"/>
  <c r="CP25" i="2"/>
  <c r="CK25" i="2"/>
  <c r="CJ25" i="2"/>
  <c r="CI25" i="2"/>
  <c r="CH25" i="2"/>
  <c r="CG25" i="2"/>
  <c r="CF25" i="2"/>
  <c r="CN24" i="2"/>
  <c r="CM24" i="2"/>
  <c r="CK24" i="2"/>
  <c r="CJ24" i="2"/>
  <c r="CI24" i="2"/>
  <c r="CH24" i="2"/>
  <c r="CG24" i="2"/>
  <c r="CF24" i="2"/>
  <c r="CM19" i="2"/>
  <c r="CO19" i="2"/>
  <c r="CQ19" i="2"/>
  <c r="CP19" i="2"/>
  <c r="CL19" i="2"/>
  <c r="CK19" i="2"/>
  <c r="CJ19" i="2"/>
  <c r="CI19" i="2"/>
  <c r="CH19" i="2"/>
  <c r="CG19" i="2"/>
  <c r="CF19" i="2"/>
  <c r="CE18" i="2"/>
  <c r="CE17" i="2"/>
  <c r="CE13" i="2"/>
  <c r="CE12" i="2"/>
  <c r="CP24" i="2"/>
  <c r="CO25" i="2"/>
  <c r="CM25" i="2"/>
  <c r="CE9" i="2"/>
  <c r="CP8" i="2"/>
  <c r="CJ8" i="2"/>
  <c r="CI8" i="2"/>
  <c r="CH8" i="2"/>
  <c r="CG8" i="2"/>
  <c r="CF8" i="2"/>
  <c r="CP5" i="2" l="1"/>
  <c r="CF5" i="2"/>
  <c r="CG302" i="2"/>
  <c r="A217" i="2"/>
  <c r="F9" i="24"/>
  <c r="CQ52" i="4"/>
  <c r="CQ51" i="4"/>
  <c r="CH52" i="4"/>
  <c r="CH51" i="4"/>
  <c r="CI52" i="4"/>
  <c r="CI51" i="4"/>
  <c r="CQ107" i="9"/>
  <c r="CJ52" i="4"/>
  <c r="CJ51" i="4"/>
  <c r="CK52" i="4"/>
  <c r="CK51" i="4"/>
  <c r="CE148" i="2"/>
  <c r="CE145" i="2"/>
  <c r="CE144" i="2"/>
  <c r="CE135" i="2"/>
  <c r="CE164" i="2"/>
  <c r="CE137" i="2"/>
  <c r="CE29" i="2"/>
  <c r="CE173" i="2"/>
  <c r="CE133" i="2"/>
  <c r="CE134" i="2"/>
  <c r="CE112" i="2"/>
  <c r="CE110" i="2"/>
  <c r="CE213" i="2"/>
  <c r="CE260" i="2"/>
  <c r="CE273" i="2" s="1"/>
  <c r="CN8" i="2"/>
  <c r="CQ24" i="2"/>
  <c r="CL8" i="2"/>
  <c r="CE246" i="2"/>
  <c r="CE236" i="2"/>
  <c r="CE11" i="2"/>
  <c r="CE140" i="2"/>
  <c r="CN19" i="2"/>
  <c r="CE20" i="2"/>
  <c r="CE15" i="2"/>
  <c r="CE275" i="2" s="1"/>
  <c r="CO8" i="2"/>
  <c r="CO5" i="2" s="1"/>
  <c r="CE136" i="2"/>
  <c r="CE259" i="2"/>
  <c r="CE272" i="2" s="1"/>
  <c r="CE16" i="2"/>
  <c r="CE21" i="2"/>
  <c r="CO24" i="2"/>
  <c r="CE143" i="2"/>
  <c r="CL25" i="2"/>
  <c r="CL24" i="2"/>
  <c r="CE10" i="2"/>
  <c r="CN25" i="2"/>
  <c r="CE142" i="2"/>
  <c r="CQ8" i="2"/>
  <c r="CE14" i="2"/>
  <c r="CK8" i="2"/>
  <c r="CE129" i="2"/>
  <c r="CE141" i="2"/>
  <c r="CE297" i="2"/>
  <c r="CE131" i="2"/>
  <c r="CE146" i="2"/>
  <c r="CE132" i="2"/>
  <c r="CE266" i="2"/>
  <c r="CE298" i="2"/>
  <c r="CE48" i="13"/>
  <c r="CF48" i="13" s="1"/>
  <c r="CG48" i="13" s="1"/>
  <c r="CH48" i="13" s="1"/>
  <c r="CI48" i="13" s="1"/>
  <c r="CJ48" i="13" s="1"/>
  <c r="CK48" i="13" s="1"/>
  <c r="CL48" i="13" s="1"/>
  <c r="CM48" i="13" s="1"/>
  <c r="CN48" i="13" s="1"/>
  <c r="CO48" i="13" s="1"/>
  <c r="CE46" i="13"/>
  <c r="CF46" i="13" s="1"/>
  <c r="CG46" i="13" s="1"/>
  <c r="CH46" i="13" s="1"/>
  <c r="CI46" i="13" s="1"/>
  <c r="CJ46" i="13" s="1"/>
  <c r="CK46" i="13" s="1"/>
  <c r="CO45" i="13"/>
  <c r="CN45" i="13"/>
  <c r="CM45" i="13"/>
  <c r="CL45" i="13"/>
  <c r="CK45" i="13"/>
  <c r="CJ45" i="13"/>
  <c r="CI45" i="13"/>
  <c r="CH45" i="13"/>
  <c r="CG45" i="13"/>
  <c r="CF45" i="13"/>
  <c r="CE45" i="13"/>
  <c r="CE47" i="13" s="1"/>
  <c r="CD45" i="13"/>
  <c r="CD47" i="13" s="1"/>
  <c r="CD49" i="13" s="1"/>
  <c r="CI37" i="13"/>
  <c r="CW93" i="9" s="1"/>
  <c r="CH37" i="13"/>
  <c r="CV93" i="9" s="1"/>
  <c r="CG37" i="13"/>
  <c r="CU93" i="9" s="1"/>
  <c r="CF37" i="13"/>
  <c r="CT93" i="9" s="1"/>
  <c r="CD37" i="13"/>
  <c r="CR93" i="9" s="1"/>
  <c r="CC36" i="13"/>
  <c r="CC35" i="13"/>
  <c r="CC33" i="13"/>
  <c r="CC32" i="13"/>
  <c r="CC31" i="13"/>
  <c r="CC30" i="13"/>
  <c r="CC29" i="13"/>
  <c r="CC28" i="13"/>
  <c r="CC25" i="13"/>
  <c r="CC24" i="13"/>
  <c r="CC23" i="13"/>
  <c r="CC21" i="13"/>
  <c r="CC20" i="13"/>
  <c r="CC19" i="13"/>
  <c r="CC16" i="13"/>
  <c r="CE37" i="13"/>
  <c r="CS93" i="9" s="1"/>
  <c r="CC12" i="13"/>
  <c r="CC11" i="13"/>
  <c r="CC10" i="13"/>
  <c r="CC9" i="13"/>
  <c r="CC8" i="13"/>
  <c r="CC7" i="13"/>
  <c r="CC260" i="2"/>
  <c r="CB260" i="2"/>
  <c r="CA260" i="2"/>
  <c r="BZ260" i="2"/>
  <c r="BY260" i="2"/>
  <c r="CC259" i="2"/>
  <c r="CB259" i="2"/>
  <c r="CA259" i="2"/>
  <c r="BZ259" i="2"/>
  <c r="BY259" i="2"/>
  <c r="BW274" i="2"/>
  <c r="BV274" i="2"/>
  <c r="BU274" i="2"/>
  <c r="BT274" i="2"/>
  <c r="BS274" i="2"/>
  <c r="CE49" i="13" l="1"/>
  <c r="CQ28" i="10"/>
  <c r="CQ5" i="2"/>
  <c r="CQ291" i="2"/>
  <c r="CF47" i="13"/>
  <c r="CF49" i="13" s="1"/>
  <c r="F8" i="24"/>
  <c r="CE25" i="2"/>
  <c r="F7" i="24"/>
  <c r="F10" i="24"/>
  <c r="F11" i="24"/>
  <c r="CP52" i="4"/>
  <c r="CP51" i="4"/>
  <c r="CL52" i="4"/>
  <c r="CL51" i="4"/>
  <c r="CR52" i="4"/>
  <c r="CR51" i="4"/>
  <c r="CE24" i="2"/>
  <c r="CM52" i="4"/>
  <c r="CM51" i="4"/>
  <c r="CO52" i="4"/>
  <c r="CO51" i="4"/>
  <c r="CE19" i="2"/>
  <c r="CE299" i="2"/>
  <c r="CM8" i="2"/>
  <c r="CE8" i="2"/>
  <c r="CJ37" i="13"/>
  <c r="CX93" i="9" s="1"/>
  <c r="CC15" i="13"/>
  <c r="CJ47" i="13"/>
  <c r="CJ49" i="13" s="1"/>
  <c r="CH47" i="13"/>
  <c r="CH49" i="13" s="1"/>
  <c r="CI47" i="13"/>
  <c r="CI49" i="13" s="1"/>
  <c r="CL46" i="13"/>
  <c r="CK47" i="13"/>
  <c r="CK49" i="13" s="1"/>
  <c r="CC27" i="13"/>
  <c r="CC44" i="13"/>
  <c r="CC18" i="13"/>
  <c r="CM40" i="13"/>
  <c r="CN40" i="13" s="1"/>
  <c r="CO40" i="13" s="1"/>
  <c r="CC6" i="13"/>
  <c r="CG47" i="13"/>
  <c r="CG49" i="13" s="1"/>
  <c r="F6" i="24" l="1"/>
  <c r="F4" i="24"/>
  <c r="CN52" i="4"/>
  <c r="CN51" i="4"/>
  <c r="CC14" i="13"/>
  <c r="CC17" i="13"/>
  <c r="CL37" i="13"/>
  <c r="CZ93" i="9" s="1"/>
  <c r="CC34" i="13"/>
  <c r="CM46" i="13"/>
  <c r="CL47" i="13"/>
  <c r="CL49" i="13" s="1"/>
  <c r="CC40" i="13"/>
  <c r="CC26" i="13"/>
  <c r="CK37" i="13"/>
  <c r="CY93" i="9" s="1"/>
  <c r="CC22" i="13"/>
  <c r="F5" i="24" l="1"/>
  <c r="CM47" i="13"/>
  <c r="CM49" i="13" s="1"/>
  <c r="CN46" i="13"/>
  <c r="CM37" i="13"/>
  <c r="DA93" i="9" s="1"/>
  <c r="CO37" i="13" l="1"/>
  <c r="DC93" i="9" s="1"/>
  <c r="CN37" i="13"/>
  <c r="DB93" i="9" s="1"/>
  <c r="CN47" i="13"/>
  <c r="CN49" i="13" s="1"/>
  <c r="CO46" i="13"/>
  <c r="CO47" i="13" s="1"/>
  <c r="CO49" i="13" s="1"/>
  <c r="CQ93" i="9" l="1"/>
  <c r="CC13" i="13"/>
  <c r="CC37" i="13" s="1"/>
  <c r="BE11" i="2" l="1"/>
  <c r="CF233" i="2" l="1"/>
  <c r="BX274" i="2" l="1"/>
  <c r="CG233" i="2"/>
  <c r="BX215" i="2"/>
  <c r="BR100" i="2"/>
  <c r="BR99" i="2"/>
  <c r="BE99" i="2"/>
  <c r="BR78" i="2"/>
  <c r="CH233" i="2" l="1"/>
  <c r="CI233" i="2" l="1"/>
  <c r="CJ233" i="2" l="1"/>
  <c r="CK233" i="2" l="1"/>
  <c r="CL233" i="2" l="1"/>
  <c r="BR41" i="2"/>
  <c r="BR51" i="2" l="1"/>
  <c r="CM233" i="2"/>
  <c r="CF66" i="2"/>
  <c r="CF41" i="2" s="1"/>
  <c r="CF117" i="2" s="1"/>
  <c r="CN233" i="2" l="1"/>
  <c r="CG215" i="2"/>
  <c r="CG202" i="2" s="1"/>
  <c r="CF51" i="2"/>
  <c r="CF326" i="2"/>
  <c r="CF327" i="2" s="1"/>
  <c r="CG323" i="2" s="1"/>
  <c r="CF330" i="2"/>
  <c r="CF127" i="2" s="1"/>
  <c r="CO233" i="2" l="1"/>
  <c r="CH215" i="2"/>
  <c r="CH202" i="2" s="1"/>
  <c r="CG51" i="2"/>
  <c r="CG326" i="2"/>
  <c r="CG327" i="2" s="1"/>
  <c r="CH323" i="2" s="1"/>
  <c r="CG330" i="2"/>
  <c r="CG127" i="2" s="1"/>
  <c r="BR45" i="2" l="1"/>
  <c r="CF90" i="2"/>
  <c r="CF70" i="2"/>
  <c r="CF45" i="2" s="1"/>
  <c r="CI215" i="2"/>
  <c r="CI202" i="2" s="1"/>
  <c r="CH326" i="2"/>
  <c r="CH327" i="2" s="1"/>
  <c r="CI323" i="2" s="1"/>
  <c r="CH51" i="2"/>
  <c r="CH330" i="2"/>
  <c r="CH127" i="2" s="1"/>
  <c r="CP233" i="2"/>
  <c r="CQ233" i="2" l="1"/>
  <c r="CE221" i="2"/>
  <c r="CE233" i="2" s="1"/>
  <c r="CG197" i="2"/>
  <c r="CF210" i="2"/>
  <c r="CF243" i="2"/>
  <c r="CI326" i="2"/>
  <c r="CI327" i="2" s="1"/>
  <c r="CJ323" i="2" s="1"/>
  <c r="CI51" i="2"/>
  <c r="CI330" i="2"/>
  <c r="CI127" i="2" s="1"/>
  <c r="CJ215" i="2"/>
  <c r="CJ202" i="2" s="1"/>
  <c r="I78" i="22"/>
  <c r="H78" i="22"/>
  <c r="G78" i="22"/>
  <c r="I77" i="22"/>
  <c r="H77" i="22"/>
  <c r="G77" i="22"/>
  <c r="F77" i="22"/>
  <c r="E77" i="22"/>
  <c r="I76" i="22"/>
  <c r="H76" i="22"/>
  <c r="G76" i="22"/>
  <c r="F76" i="22"/>
  <c r="E76" i="22"/>
  <c r="I75" i="22"/>
  <c r="H75" i="22"/>
  <c r="G75" i="22"/>
  <c r="F75" i="22"/>
  <c r="E75" i="22"/>
  <c r="E66" i="22"/>
  <c r="I60" i="22"/>
  <c r="I66" i="22" s="1"/>
  <c r="H60" i="22"/>
  <c r="H66" i="22" s="1"/>
  <c r="G60" i="22"/>
  <c r="G66" i="22" s="1"/>
  <c r="F60" i="22"/>
  <c r="F66" i="22" s="1"/>
  <c r="I55" i="22"/>
  <c r="H55" i="22"/>
  <c r="G55" i="22"/>
  <c r="I54" i="22"/>
  <c r="H54" i="22"/>
  <c r="G54" i="22"/>
  <c r="I52" i="22"/>
  <c r="H52" i="22"/>
  <c r="G52" i="22"/>
  <c r="F52" i="22"/>
  <c r="E52" i="22"/>
  <c r="I51" i="22"/>
  <c r="H51" i="22"/>
  <c r="G51" i="22"/>
  <c r="I49" i="22"/>
  <c r="H49" i="22"/>
  <c r="G49" i="22"/>
  <c r="F49" i="22"/>
  <c r="E49" i="22"/>
  <c r="I48" i="22"/>
  <c r="H48" i="22"/>
  <c r="G48" i="22"/>
  <c r="F48" i="22"/>
  <c r="E48" i="22"/>
  <c r="E46" i="22"/>
  <c r="I39" i="22"/>
  <c r="H39" i="22"/>
  <c r="G39" i="22"/>
  <c r="F36" i="24" s="1"/>
  <c r="E39" i="22"/>
  <c r="E38" i="22"/>
  <c r="I31" i="22"/>
  <c r="H31" i="22"/>
  <c r="G31" i="22"/>
  <c r="F31" i="22"/>
  <c r="I30" i="22"/>
  <c r="H30" i="22"/>
  <c r="G30" i="22"/>
  <c r="I27" i="22"/>
  <c r="H27" i="22"/>
  <c r="G27" i="22"/>
  <c r="F32" i="24" s="1"/>
  <c r="F27" i="22"/>
  <c r="E32" i="24" s="1"/>
  <c r="F26" i="22"/>
  <c r="G26" i="22" s="1"/>
  <c r="H26" i="22" s="1"/>
  <c r="I26" i="22" s="1"/>
  <c r="J26" i="22" s="1"/>
  <c r="F25" i="22"/>
  <c r="E25" i="22"/>
  <c r="E55" i="22" s="1"/>
  <c r="F24" i="22"/>
  <c r="F54" i="22" s="1"/>
  <c r="E24" i="22"/>
  <c r="K23" i="22"/>
  <c r="J23" i="22"/>
  <c r="I23" i="22"/>
  <c r="H23" i="22"/>
  <c r="G23" i="22"/>
  <c r="F21" i="22"/>
  <c r="F20" i="22" s="1"/>
  <c r="E21" i="22"/>
  <c r="E20" i="22" s="1"/>
  <c r="K20" i="22"/>
  <c r="J20" i="22"/>
  <c r="I20" i="22"/>
  <c r="H20" i="22"/>
  <c r="G20" i="22"/>
  <c r="K17" i="22"/>
  <c r="J17" i="22"/>
  <c r="I17" i="22"/>
  <c r="H17" i="22"/>
  <c r="G17" i="22"/>
  <c r="F17" i="22"/>
  <c r="E17" i="22"/>
  <c r="K12" i="22"/>
  <c r="J12" i="22"/>
  <c r="I12" i="22"/>
  <c r="H12" i="22"/>
  <c r="G12" i="22"/>
  <c r="F12" i="22"/>
  <c r="E12" i="22"/>
  <c r="K9" i="22"/>
  <c r="J9" i="22"/>
  <c r="I9" i="22"/>
  <c r="H9" i="22"/>
  <c r="G9" i="22"/>
  <c r="F9" i="22"/>
  <c r="E9" i="22"/>
  <c r="K6" i="22"/>
  <c r="J6" i="22"/>
  <c r="J4" i="22" s="1"/>
  <c r="I6" i="22"/>
  <c r="H6" i="22"/>
  <c r="G6" i="22"/>
  <c r="F6" i="22"/>
  <c r="E6" i="22"/>
  <c r="I5" i="22"/>
  <c r="I16" i="22" s="1"/>
  <c r="H5" i="22"/>
  <c r="H16" i="22" s="1"/>
  <c r="G5" i="22"/>
  <c r="G16" i="22" s="1"/>
  <c r="F5" i="22"/>
  <c r="F46" i="22" s="1"/>
  <c r="K15" i="22" l="1"/>
  <c r="I36" i="24"/>
  <c r="G36" i="24"/>
  <c r="H36" i="24"/>
  <c r="I32" i="24"/>
  <c r="H32" i="24"/>
  <c r="G32" i="24"/>
  <c r="J15" i="22"/>
  <c r="CJ326" i="2"/>
  <c r="CJ327" i="2" s="1"/>
  <c r="CK323" i="2" s="1"/>
  <c r="CJ51" i="2"/>
  <c r="CJ330" i="2"/>
  <c r="CJ127" i="2" s="1"/>
  <c r="CH197" i="2"/>
  <c r="CG210" i="2"/>
  <c r="CG243" i="2"/>
  <c r="CK215" i="2"/>
  <c r="CK202" i="2" s="1"/>
  <c r="BZ299" i="2"/>
  <c r="CD299" i="2"/>
  <c r="CA299" i="2"/>
  <c r="BY299" i="2"/>
  <c r="CB299" i="2"/>
  <c r="CC299" i="2"/>
  <c r="G50" i="22"/>
  <c r="I47" i="22"/>
  <c r="I4" i="22"/>
  <c r="F79" i="22"/>
  <c r="F80" i="22" s="1"/>
  <c r="F57" i="22" s="1"/>
  <c r="F32" i="22" s="1"/>
  <c r="E33" i="24" s="1"/>
  <c r="H79" i="22"/>
  <c r="H80" i="22" s="1"/>
  <c r="H57" i="22" s="1"/>
  <c r="H32" i="22" s="1"/>
  <c r="H53" i="22"/>
  <c r="G79" i="22"/>
  <c r="G80" i="22" s="1"/>
  <c r="G57" i="22" s="1"/>
  <c r="G32" i="22" s="1"/>
  <c r="F33" i="24" s="1"/>
  <c r="I53" i="22"/>
  <c r="K4" i="22"/>
  <c r="G47" i="22"/>
  <c r="H47" i="22"/>
  <c r="E23" i="22"/>
  <c r="E53" i="22" s="1"/>
  <c r="F23" i="22"/>
  <c r="F53" i="22" s="1"/>
  <c r="H50" i="22"/>
  <c r="I50" i="22"/>
  <c r="E4" i="22"/>
  <c r="I79" i="22"/>
  <c r="I80" i="22" s="1"/>
  <c r="I57" i="22" s="1"/>
  <c r="I32" i="22" s="1"/>
  <c r="E50" i="22"/>
  <c r="F50" i="22"/>
  <c r="E54" i="22"/>
  <c r="E79" i="22"/>
  <c r="E80" i="22" s="1"/>
  <c r="E57" i="22" s="1"/>
  <c r="E58" i="22" s="1"/>
  <c r="E65" i="22" s="1"/>
  <c r="G53" i="22"/>
  <c r="G46" i="22"/>
  <c r="G15" i="22"/>
  <c r="H15" i="22"/>
  <c r="H46" i="22"/>
  <c r="I46" i="22"/>
  <c r="I15" i="22"/>
  <c r="E47" i="22"/>
  <c r="F47" i="22"/>
  <c r="E51" i="22"/>
  <c r="F4" i="22"/>
  <c r="F51" i="22"/>
  <c r="G4" i="22"/>
  <c r="H4" i="22"/>
  <c r="F55" i="22"/>
  <c r="F58" i="22" l="1"/>
  <c r="I33" i="24"/>
  <c r="H33" i="24"/>
  <c r="G33" i="24"/>
  <c r="CK51" i="2"/>
  <c r="CK326" i="2"/>
  <c r="CK327" i="2" s="1"/>
  <c r="CL323" i="2" s="1"/>
  <c r="CK330" i="2"/>
  <c r="CK127" i="2" s="1"/>
  <c r="CI197" i="2"/>
  <c r="CH210" i="2"/>
  <c r="CH243" i="2"/>
  <c r="CL215" i="2"/>
  <c r="CL202" i="2" s="1"/>
  <c r="I45" i="22"/>
  <c r="I58" i="22"/>
  <c r="I65" i="22" s="1"/>
  <c r="E15" i="22"/>
  <c r="E45" i="22" s="1"/>
  <c r="G58" i="22"/>
  <c r="G65" i="22" s="1"/>
  <c r="H58" i="22"/>
  <c r="H33" i="22" s="1"/>
  <c r="F15" i="22"/>
  <c r="F45" i="22" s="1"/>
  <c r="H45" i="22"/>
  <c r="F33" i="22"/>
  <c r="E34" i="24" s="1"/>
  <c r="F65" i="22"/>
  <c r="G45" i="22"/>
  <c r="H65" i="22" l="1"/>
  <c r="CJ197" i="2"/>
  <c r="CI210" i="2"/>
  <c r="CI243" i="2"/>
  <c r="CL51" i="2"/>
  <c r="CL326" i="2"/>
  <c r="CL327" i="2" s="1"/>
  <c r="CM323" i="2" s="1"/>
  <c r="CL330" i="2"/>
  <c r="CL127" i="2" s="1"/>
  <c r="CM215" i="2"/>
  <c r="CM202" i="2" s="1"/>
  <c r="I33" i="22"/>
  <c r="G33" i="22"/>
  <c r="F34" i="24" s="1"/>
  <c r="CR160" i="9"/>
  <c r="CS160" i="9"/>
  <c r="CT160" i="9"/>
  <c r="CU160" i="9"/>
  <c r="CV160" i="9"/>
  <c r="CW160" i="9"/>
  <c r="CX160" i="9"/>
  <c r="CY160" i="9"/>
  <c r="CZ160" i="9"/>
  <c r="DA160" i="9"/>
  <c r="DB160" i="9"/>
  <c r="DC160" i="9"/>
  <c r="AQ198" i="14"/>
  <c r="AQ197" i="14"/>
  <c r="AQ196" i="14"/>
  <c r="AQ195" i="14"/>
  <c r="AQ194" i="14"/>
  <c r="AQ193" i="14"/>
  <c r="AQ192" i="14"/>
  <c r="BC191" i="14"/>
  <c r="BB191" i="14"/>
  <c r="BA191" i="14"/>
  <c r="AZ191" i="14"/>
  <c r="AY191" i="14"/>
  <c r="AX191" i="14"/>
  <c r="AW191" i="14"/>
  <c r="AV191" i="14"/>
  <c r="AU191" i="14"/>
  <c r="AT191" i="14"/>
  <c r="AS191" i="14"/>
  <c r="AR191" i="14"/>
  <c r="AQ190" i="14"/>
  <c r="AQ189" i="14"/>
  <c r="AQ188" i="14"/>
  <c r="BC187" i="14"/>
  <c r="BB187" i="14"/>
  <c r="BA187" i="14"/>
  <c r="AZ187" i="14"/>
  <c r="AY187" i="14"/>
  <c r="AX187" i="14"/>
  <c r="AW187" i="14"/>
  <c r="AV187" i="14"/>
  <c r="AU187" i="14"/>
  <c r="AT187" i="14"/>
  <c r="AS187" i="14"/>
  <c r="AR187" i="14"/>
  <c r="AQ180" i="14"/>
  <c r="AQ179" i="14"/>
  <c r="BA173" i="14"/>
  <c r="AZ173" i="14"/>
  <c r="AQ177" i="14"/>
  <c r="AQ176" i="14"/>
  <c r="AQ175" i="14"/>
  <c r="AV173" i="14"/>
  <c r="AU173" i="14"/>
  <c r="AT173" i="14"/>
  <c r="AS173" i="14"/>
  <c r="AQ172" i="14"/>
  <c r="AQ171" i="14"/>
  <c r="AQ170" i="14"/>
  <c r="BC169" i="14"/>
  <c r="BB169" i="14"/>
  <c r="BA169" i="14"/>
  <c r="AZ169" i="14"/>
  <c r="AY169" i="14"/>
  <c r="AX169" i="14"/>
  <c r="AW169" i="14"/>
  <c r="AV169" i="14"/>
  <c r="AU169" i="14"/>
  <c r="AT169" i="14"/>
  <c r="AS169" i="14"/>
  <c r="AR169" i="14"/>
  <c r="AQ161" i="14"/>
  <c r="AQ160" i="14"/>
  <c r="AQ159" i="14"/>
  <c r="AQ156" i="14"/>
  <c r="AQ152" i="14"/>
  <c r="AQ151" i="14"/>
  <c r="AQ150" i="14"/>
  <c r="BC149" i="14"/>
  <c r="BB149" i="14"/>
  <c r="BA149" i="14"/>
  <c r="AZ149" i="14"/>
  <c r="AY149" i="14"/>
  <c r="AX149" i="14"/>
  <c r="AW149" i="14"/>
  <c r="AV149" i="14"/>
  <c r="AU149" i="14"/>
  <c r="AT149" i="14"/>
  <c r="AS149" i="14"/>
  <c r="AR149" i="14"/>
  <c r="AQ142" i="14"/>
  <c r="AQ141" i="14"/>
  <c r="CT147" i="9"/>
  <c r="CS147" i="9"/>
  <c r="CR147" i="9"/>
  <c r="AQ140" i="14"/>
  <c r="AQ139" i="14"/>
  <c r="AQ137" i="14"/>
  <c r="AQ136" i="14"/>
  <c r="AQ133" i="14"/>
  <c r="AQ132" i="14"/>
  <c r="AQ123" i="14"/>
  <c r="AQ119" i="14"/>
  <c r="AQ117" i="14"/>
  <c r="AR112" i="14"/>
  <c r="AQ105" i="14"/>
  <c r="AQ104" i="14"/>
  <c r="AQ103" i="14"/>
  <c r="AQ102" i="14"/>
  <c r="AQ101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99" i="14"/>
  <c r="AQ98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89" i="14"/>
  <c r="AQ88" i="14"/>
  <c r="AQ87" i="14"/>
  <c r="AQ86" i="14"/>
  <c r="AQ85" i="14"/>
  <c r="AQ84" i="14"/>
  <c r="AV80" i="14"/>
  <c r="AU80" i="14"/>
  <c r="AQ82" i="14"/>
  <c r="BC80" i="14"/>
  <c r="BA80" i="14"/>
  <c r="AZ80" i="14"/>
  <c r="AY80" i="14"/>
  <c r="AX80" i="14"/>
  <c r="AT80" i="14"/>
  <c r="AS80" i="14"/>
  <c r="AR80" i="14"/>
  <c r="AQ79" i="14"/>
  <c r="AT75" i="14"/>
  <c r="AR75" i="14"/>
  <c r="AQ78" i="14"/>
  <c r="AQ77" i="14"/>
  <c r="AQ76" i="14"/>
  <c r="BC75" i="14"/>
  <c r="BB75" i="14"/>
  <c r="BA75" i="14"/>
  <c r="AZ75" i="14"/>
  <c r="AY75" i="14"/>
  <c r="AX75" i="14"/>
  <c r="AW75" i="14"/>
  <c r="AV75" i="14"/>
  <c r="AU75" i="14"/>
  <c r="AS75" i="14"/>
  <c r="AQ46" i="14"/>
  <c r="AQ45" i="14"/>
  <c r="AQ43" i="14"/>
  <c r="AQ42" i="14"/>
  <c r="AQ41" i="14"/>
  <c r="AQ39" i="14"/>
  <c r="AQ38" i="14"/>
  <c r="BC35" i="14"/>
  <c r="BB35" i="14"/>
  <c r="BA35" i="14"/>
  <c r="AZ35" i="14"/>
  <c r="AY35" i="14"/>
  <c r="AX35" i="14"/>
  <c r="AW35" i="14"/>
  <c r="AV35" i="14"/>
  <c r="AU35" i="14"/>
  <c r="AS35" i="14"/>
  <c r="AR35" i="14"/>
  <c r="DC168" i="9"/>
  <c r="DB168" i="9"/>
  <c r="DA168" i="9"/>
  <c r="CZ168" i="9"/>
  <c r="CY168" i="9"/>
  <c r="CX168" i="9"/>
  <c r="CW168" i="9"/>
  <c r="CV168" i="9"/>
  <c r="CU168" i="9"/>
  <c r="CT168" i="9"/>
  <c r="CS168" i="9"/>
  <c r="CR168" i="9"/>
  <c r="DC155" i="9"/>
  <c r="DC31" i="9" s="1"/>
  <c r="DB155" i="9"/>
  <c r="DB31" i="9" s="1"/>
  <c r="DA155" i="9"/>
  <c r="DA31" i="9" s="1"/>
  <c r="CZ155" i="9"/>
  <c r="CZ31" i="9" s="1"/>
  <c r="CY155" i="9"/>
  <c r="CY31" i="9" s="1"/>
  <c r="CX155" i="9"/>
  <c r="CX31" i="9" s="1"/>
  <c r="CW155" i="9"/>
  <c r="CW31" i="9" s="1"/>
  <c r="CV155" i="9"/>
  <c r="CV31" i="9" s="1"/>
  <c r="CU155" i="9"/>
  <c r="CU31" i="9" s="1"/>
  <c r="CT155" i="9"/>
  <c r="CS155" i="9"/>
  <c r="CS31" i="9" s="1"/>
  <c r="CR155" i="9"/>
  <c r="DC157" i="9"/>
  <c r="DB157" i="9"/>
  <c r="DA157" i="9"/>
  <c r="CZ157" i="9"/>
  <c r="CY157" i="9"/>
  <c r="CX157" i="9"/>
  <c r="CW157" i="9"/>
  <c r="CV157" i="9"/>
  <c r="CU157" i="9"/>
  <c r="CT157" i="9"/>
  <c r="CS157" i="9"/>
  <c r="CR157" i="9"/>
  <c r="DC147" i="9"/>
  <c r="DB147" i="9"/>
  <c r="DA147" i="9"/>
  <c r="CZ147" i="9"/>
  <c r="CY147" i="9"/>
  <c r="AR13" i="14"/>
  <c r="CR139" i="9" s="1"/>
  <c r="BC12" i="14"/>
  <c r="BB12" i="14"/>
  <c r="BA12" i="14"/>
  <c r="AZ12" i="14"/>
  <c r="AY12" i="14"/>
  <c r="AX12" i="14"/>
  <c r="AW12" i="14"/>
  <c r="AV12" i="14"/>
  <c r="AU12" i="14"/>
  <c r="AT12" i="14"/>
  <c r="AS12" i="14"/>
  <c r="AR12" i="14"/>
  <c r="BC11" i="14"/>
  <c r="BB11" i="14"/>
  <c r="BA11" i="14"/>
  <c r="AZ11" i="14"/>
  <c r="AY11" i="14"/>
  <c r="AX11" i="14"/>
  <c r="AW11" i="14"/>
  <c r="AV11" i="14"/>
  <c r="AU11" i="14"/>
  <c r="AT11" i="14"/>
  <c r="AS11" i="14"/>
  <c r="AR11" i="14"/>
  <c r="AT10" i="14"/>
  <c r="AR10" i="14"/>
  <c r="I34" i="24" l="1"/>
  <c r="H34" i="24"/>
  <c r="G34" i="24"/>
  <c r="CR137" i="9"/>
  <c r="AZ106" i="14"/>
  <c r="AS199" i="14"/>
  <c r="AY106" i="14"/>
  <c r="BA199" i="14"/>
  <c r="AV199" i="14"/>
  <c r="AW106" i="14"/>
  <c r="AT106" i="14"/>
  <c r="AX106" i="14"/>
  <c r="BA106" i="14"/>
  <c r="BB106" i="14"/>
  <c r="AW199" i="14"/>
  <c r="CL8" i="10"/>
  <c r="CL7" i="10" s="1"/>
  <c r="CX115" i="9" s="1"/>
  <c r="CX162" i="9"/>
  <c r="DC145" i="9"/>
  <c r="DC23" i="9"/>
  <c r="CN8" i="10"/>
  <c r="CZ162" i="9"/>
  <c r="DB145" i="9"/>
  <c r="DB23" i="9"/>
  <c r="CR156" i="9"/>
  <c r="CQ157" i="9"/>
  <c r="CO8" i="10"/>
  <c r="DA162" i="9"/>
  <c r="AX162" i="14"/>
  <c r="CM8" i="10"/>
  <c r="CY162" i="9"/>
  <c r="CS156" i="9"/>
  <c r="CP8" i="10"/>
  <c r="CP7" i="10" s="1"/>
  <c r="DB115" i="9" s="1"/>
  <c r="DB162" i="9"/>
  <c r="AQ97" i="14"/>
  <c r="AY162" i="14"/>
  <c r="DA145" i="9"/>
  <c r="DA23" i="9"/>
  <c r="CT137" i="9"/>
  <c r="CT156" i="9"/>
  <c r="CQ8" i="10"/>
  <c r="DC162" i="9"/>
  <c r="DC159" i="9"/>
  <c r="DC36" i="9"/>
  <c r="DC35" i="9" s="1"/>
  <c r="CX156" i="9"/>
  <c r="CR159" i="9"/>
  <c r="CQ160" i="9"/>
  <c r="CR36" i="9"/>
  <c r="CU156" i="9"/>
  <c r="CS162" i="9"/>
  <c r="CG8" i="10"/>
  <c r="DB159" i="9"/>
  <c r="DB36" i="9"/>
  <c r="DB35" i="9" s="1"/>
  <c r="CV156" i="9"/>
  <c r="AT162" i="14"/>
  <c r="DA159" i="9"/>
  <c r="DA36" i="9"/>
  <c r="DA35" i="9" s="1"/>
  <c r="CS145" i="9"/>
  <c r="CW156" i="9"/>
  <c r="AS106" i="14"/>
  <c r="CR145" i="9"/>
  <c r="AT199" i="14"/>
  <c r="CZ159" i="9"/>
  <c r="CZ36" i="9"/>
  <c r="CZ35" i="9" s="1"/>
  <c r="CY159" i="9"/>
  <c r="CY36" i="9"/>
  <c r="CY35" i="9" s="1"/>
  <c r="CY156" i="9"/>
  <c r="CT145" i="9"/>
  <c r="AU199" i="14"/>
  <c r="CX159" i="9"/>
  <c r="CX36" i="9"/>
  <c r="CX35" i="9" s="1"/>
  <c r="CZ156" i="9"/>
  <c r="CT31" i="9"/>
  <c r="CW159" i="9"/>
  <c r="CW36" i="9"/>
  <c r="CW35" i="9" s="1"/>
  <c r="DA156" i="9"/>
  <c r="CV159" i="9"/>
  <c r="CV36" i="9"/>
  <c r="CV35" i="9" s="1"/>
  <c r="CR31" i="9"/>
  <c r="CQ155" i="9"/>
  <c r="DB156" i="9"/>
  <c r="CQ168" i="9"/>
  <c r="CU159" i="9"/>
  <c r="CU36" i="9"/>
  <c r="CU35" i="9" s="1"/>
  <c r="CY145" i="9"/>
  <c r="DC156" i="9"/>
  <c r="CT159" i="9"/>
  <c r="CT36" i="9"/>
  <c r="CT35" i="9" s="1"/>
  <c r="CZ145" i="9"/>
  <c r="CZ23" i="9"/>
  <c r="CF8" i="10"/>
  <c r="CF7" i="10" s="1"/>
  <c r="CR115" i="9" s="1"/>
  <c r="CS159" i="9"/>
  <c r="CS36" i="9"/>
  <c r="CS35" i="9" s="1"/>
  <c r="CM51" i="2"/>
  <c r="CM326" i="2"/>
  <c r="CM327" i="2" s="1"/>
  <c r="CN323" i="2" s="1"/>
  <c r="CM330" i="2"/>
  <c r="CM127" i="2" s="1"/>
  <c r="CN215" i="2"/>
  <c r="CN202" i="2" s="1"/>
  <c r="CK197" i="2"/>
  <c r="CJ210" i="2"/>
  <c r="CJ243" i="2"/>
  <c r="AR162" i="14"/>
  <c r="AV162" i="14"/>
  <c r="AT181" i="14"/>
  <c r="BB199" i="14"/>
  <c r="AR199" i="14"/>
  <c r="BC199" i="14"/>
  <c r="AS162" i="14"/>
  <c r="AX199" i="14"/>
  <c r="BC106" i="14"/>
  <c r="AY199" i="14"/>
  <c r="AR106" i="14"/>
  <c r="AQ191" i="14"/>
  <c r="AY90" i="14"/>
  <c r="BC90" i="14"/>
  <c r="AQ25" i="14"/>
  <c r="AV13" i="14"/>
  <c r="CV139" i="9" s="1"/>
  <c r="AT112" i="14"/>
  <c r="AV10" i="14"/>
  <c r="CV137" i="9" s="1"/>
  <c r="AV181" i="14"/>
  <c r="AZ181" i="14"/>
  <c r="AQ169" i="14"/>
  <c r="BB173" i="14"/>
  <c r="BB181" i="14" s="1"/>
  <c r="BA181" i="14"/>
  <c r="AZ162" i="14"/>
  <c r="BC162" i="14"/>
  <c r="BB162" i="14"/>
  <c r="AX90" i="14"/>
  <c r="BA90" i="14"/>
  <c r="AS90" i="14"/>
  <c r="AQ26" i="14"/>
  <c r="AQ22" i="14"/>
  <c r="AR173" i="14"/>
  <c r="AR181" i="14" s="1"/>
  <c r="AU106" i="14"/>
  <c r="CU147" i="9"/>
  <c r="AQ44" i="14"/>
  <c r="AV106" i="14"/>
  <c r="AQ83" i="14"/>
  <c r="AQ158" i="14"/>
  <c r="AU181" i="14"/>
  <c r="AQ48" i="14"/>
  <c r="AU162" i="14"/>
  <c r="AQ155" i="14"/>
  <c r="AQ187" i="14"/>
  <c r="AV90" i="14"/>
  <c r="AQ122" i="14"/>
  <c r="AW162" i="14"/>
  <c r="AW80" i="14"/>
  <c r="AX173" i="14"/>
  <c r="AX181" i="14" s="1"/>
  <c r="CX147" i="9"/>
  <c r="AQ138" i="14"/>
  <c r="AZ199" i="14"/>
  <c r="AQ11" i="14"/>
  <c r="AZ90" i="14"/>
  <c r="CV147" i="9"/>
  <c r="AQ36" i="14"/>
  <c r="AQ100" i="14"/>
  <c r="AW173" i="14"/>
  <c r="AW181" i="14" s="1"/>
  <c r="CW147" i="9"/>
  <c r="AQ75" i="14"/>
  <c r="AY173" i="14"/>
  <c r="AY181" i="14" s="1"/>
  <c r="AT90" i="14"/>
  <c r="AQ178" i="14"/>
  <c r="AQ17" i="14"/>
  <c r="AQ81" i="14"/>
  <c r="BB80" i="14"/>
  <c r="BB90" i="14" s="1"/>
  <c r="AQ174" i="14"/>
  <c r="AQ19" i="14"/>
  <c r="AQ37" i="14"/>
  <c r="AT35" i="14"/>
  <c r="AT13" i="14"/>
  <c r="CT139" i="9" s="1"/>
  <c r="BA162" i="14"/>
  <c r="AQ23" i="14"/>
  <c r="AU90" i="14"/>
  <c r="AS181" i="14"/>
  <c r="BC173" i="14"/>
  <c r="BC181" i="14" s="1"/>
  <c r="AQ149" i="14"/>
  <c r="AQ157" i="14"/>
  <c r="AQ12" i="14"/>
  <c r="AQ120" i="14"/>
  <c r="AR90" i="14"/>
  <c r="CQ159" i="9" l="1"/>
  <c r="CQ156" i="9"/>
  <c r="CQ147" i="9"/>
  <c r="CQ31" i="9"/>
  <c r="CR35" i="9"/>
  <c r="CQ35" i="9" s="1"/>
  <c r="CQ36" i="9"/>
  <c r="CV162" i="9"/>
  <c r="CJ8" i="10"/>
  <c r="CJ7" i="10" s="1"/>
  <c r="CV115" i="9" s="1"/>
  <c r="CX39" i="9"/>
  <c r="CX145" i="9"/>
  <c r="CW162" i="9"/>
  <c r="CK8" i="10"/>
  <c r="CR39" i="9"/>
  <c r="CR162" i="9"/>
  <c r="CU162" i="9"/>
  <c r="CI8" i="10"/>
  <c r="DB39" i="9"/>
  <c r="CW145" i="9"/>
  <c r="AQ106" i="14"/>
  <c r="CT162" i="9"/>
  <c r="CH8" i="10"/>
  <c r="CV145" i="9"/>
  <c r="CU145" i="9"/>
  <c r="CO215" i="2"/>
  <c r="CO202" i="2" s="1"/>
  <c r="CN51" i="2"/>
  <c r="CN326" i="2"/>
  <c r="CN327" i="2" s="1"/>
  <c r="CO323" i="2" s="1"/>
  <c r="CN330" i="2"/>
  <c r="CN127" i="2" s="1"/>
  <c r="CL197" i="2"/>
  <c r="CK210" i="2"/>
  <c r="CK243" i="2"/>
  <c r="AQ162" i="14"/>
  <c r="AQ199" i="14"/>
  <c r="AX13" i="14"/>
  <c r="CX139" i="9" s="1"/>
  <c r="AX10" i="14"/>
  <c r="CX137" i="9" s="1"/>
  <c r="AX112" i="14"/>
  <c r="AV112" i="14"/>
  <c r="AQ21" i="14"/>
  <c r="AQ80" i="14"/>
  <c r="AQ90" i="14" s="1"/>
  <c r="AQ134" i="14"/>
  <c r="AQ20" i="14"/>
  <c r="AQ35" i="14"/>
  <c r="AQ153" i="14"/>
  <c r="AW90" i="14"/>
  <c r="AQ181" i="14"/>
  <c r="AQ18" i="14"/>
  <c r="AQ173" i="14"/>
  <c r="E29" i="28" l="1"/>
  <c r="F29" i="24"/>
  <c r="E28" i="28"/>
  <c r="E24" i="28"/>
  <c r="CQ145" i="9"/>
  <c r="CE8" i="10"/>
  <c r="CE1" i="10" s="1"/>
  <c r="CQ163" i="9"/>
  <c r="CV39" i="9"/>
  <c r="CO51" i="2"/>
  <c r="CO326" i="2"/>
  <c r="CO327" i="2" s="1"/>
  <c r="CP323" i="2" s="1"/>
  <c r="CO330" i="2"/>
  <c r="CO127" i="2" s="1"/>
  <c r="CP215" i="2"/>
  <c r="CP202" i="2" s="1"/>
  <c r="CM197" i="2"/>
  <c r="CL210" i="2"/>
  <c r="CL243" i="2"/>
  <c r="BR50" i="2"/>
  <c r="AZ112" i="14"/>
  <c r="AZ10" i="14"/>
  <c r="CZ137" i="9" s="1"/>
  <c r="AZ13" i="14"/>
  <c r="CZ139" i="9" s="1"/>
  <c r="BB13" i="14"/>
  <c r="DB139" i="9" s="1"/>
  <c r="CQ162" i="9" l="1"/>
  <c r="CQ215" i="2"/>
  <c r="CQ202" i="2" s="1"/>
  <c r="CN197" i="2"/>
  <c r="CM210" i="2"/>
  <c r="CM243" i="2"/>
  <c r="CP51" i="2"/>
  <c r="CP326" i="2"/>
  <c r="CP327" i="2" s="1"/>
  <c r="CQ323" i="2" s="1"/>
  <c r="CP330" i="2"/>
  <c r="CP127" i="2" s="1"/>
  <c r="CG312" i="2"/>
  <c r="CF319" i="2"/>
  <c r="CF126" i="2" s="1"/>
  <c r="BB112" i="14"/>
  <c r="BB10" i="14"/>
  <c r="DB137" i="9" s="1"/>
  <c r="BR47" i="2" l="1"/>
  <c r="CO197" i="2"/>
  <c r="CN210" i="2"/>
  <c r="CN243" i="2"/>
  <c r="CF92" i="2"/>
  <c r="CQ51" i="2"/>
  <c r="CE51" i="2" s="1"/>
  <c r="CQ326" i="2"/>
  <c r="CQ327" i="2" s="1"/>
  <c r="CQ330" i="2"/>
  <c r="CQ127" i="2" s="1"/>
  <c r="CE127" i="2" s="1"/>
  <c r="CE202" i="2"/>
  <c r="CE215" i="2" s="1"/>
  <c r="CG315" i="2"/>
  <c r="CG316" i="2" s="1"/>
  <c r="CH312" i="2" s="1"/>
  <c r="CG50" i="2"/>
  <c r="CG319" i="2"/>
  <c r="CG126" i="2" s="1"/>
  <c r="BR88" i="2"/>
  <c r="AP116" i="14"/>
  <c r="BR48" i="2" l="1"/>
  <c r="CP197" i="2"/>
  <c r="CO210" i="2"/>
  <c r="CO243" i="2"/>
  <c r="CH315" i="2"/>
  <c r="CH316" i="2" s="1"/>
  <c r="CI312" i="2" s="1"/>
  <c r="CH50" i="2"/>
  <c r="CH319" i="2"/>
  <c r="CH126" i="2" s="1"/>
  <c r="CF93" i="2"/>
  <c r="CF73" i="2"/>
  <c r="CF60" i="2" s="1"/>
  <c r="CF48" i="2" s="1"/>
  <c r="CF124" i="2" s="1"/>
  <c r="AP26" i="14"/>
  <c r="AO26" i="14"/>
  <c r="AN26" i="14"/>
  <c r="AM26" i="14"/>
  <c r="AL26" i="14"/>
  <c r="AK26" i="14"/>
  <c r="AJ26" i="14"/>
  <c r="AI26" i="14"/>
  <c r="AH26" i="14"/>
  <c r="AG26" i="14"/>
  <c r="AF26" i="14"/>
  <c r="AP25" i="14"/>
  <c r="AO25" i="14"/>
  <c r="AN25" i="14"/>
  <c r="AM25" i="14"/>
  <c r="AL25" i="14"/>
  <c r="AK25" i="14"/>
  <c r="AP24" i="14"/>
  <c r="AO24" i="14"/>
  <c r="AN24" i="14"/>
  <c r="AM24" i="14"/>
  <c r="AL24" i="14"/>
  <c r="AK24" i="14"/>
  <c r="AP23" i="14"/>
  <c r="AO23" i="14"/>
  <c r="AN23" i="14"/>
  <c r="AM23" i="14"/>
  <c r="AL23" i="14"/>
  <c r="AK23" i="14"/>
  <c r="AJ23" i="14"/>
  <c r="AI23" i="14"/>
  <c r="AH23" i="14"/>
  <c r="AG23" i="14"/>
  <c r="AF23" i="14"/>
  <c r="AP19" i="14"/>
  <c r="AO19" i="14"/>
  <c r="AN19" i="14"/>
  <c r="AM19" i="14"/>
  <c r="AL19" i="14"/>
  <c r="AK19" i="14"/>
  <c r="AJ19" i="14"/>
  <c r="AI19" i="14"/>
  <c r="AH19" i="14"/>
  <c r="AG19" i="14"/>
  <c r="AF19" i="14"/>
  <c r="AP18" i="14"/>
  <c r="AO18" i="14"/>
  <c r="AN18" i="14"/>
  <c r="AM18" i="14"/>
  <c r="AL18" i="14"/>
  <c r="AK18" i="14"/>
  <c r="AJ17" i="14"/>
  <c r="AI17" i="14"/>
  <c r="AH17" i="14"/>
  <c r="AG17" i="14"/>
  <c r="AF17" i="14"/>
  <c r="AP14" i="14"/>
  <c r="AO14" i="14"/>
  <c r="AN14" i="14"/>
  <c r="AM14" i="14"/>
  <c r="AL14" i="14"/>
  <c r="AK14" i="14"/>
  <c r="AJ14" i="14"/>
  <c r="AI14" i="14"/>
  <c r="AH14" i="14"/>
  <c r="AG14" i="14"/>
  <c r="AF14" i="14"/>
  <c r="AP13" i="14"/>
  <c r="AO13" i="14"/>
  <c r="AN13" i="14"/>
  <c r="AM13" i="14"/>
  <c r="AL13" i="14"/>
  <c r="AK13" i="14"/>
  <c r="AJ13" i="14"/>
  <c r="AF13" i="14"/>
  <c r="AP12" i="14"/>
  <c r="AO12" i="14"/>
  <c r="AN12" i="14"/>
  <c r="AM12" i="14"/>
  <c r="AL12" i="14"/>
  <c r="AK12" i="14"/>
  <c r="AJ12" i="14"/>
  <c r="AI12" i="14"/>
  <c r="AH12" i="14"/>
  <c r="AG12" i="14"/>
  <c r="AF12" i="14"/>
  <c r="AP11" i="14"/>
  <c r="AO11" i="14"/>
  <c r="AN11" i="14"/>
  <c r="AM11" i="14"/>
  <c r="AL11" i="14"/>
  <c r="AK11" i="14"/>
  <c r="AJ11" i="14"/>
  <c r="AI11" i="14"/>
  <c r="AH11" i="14"/>
  <c r="AG11" i="14"/>
  <c r="AF11" i="14"/>
  <c r="AJ10" i="14"/>
  <c r="AI10" i="14"/>
  <c r="AH10" i="14"/>
  <c r="AG10" i="14"/>
  <c r="AF10" i="14"/>
  <c r="AE19" i="14"/>
  <c r="AE14" i="14"/>
  <c r="AE10" i="14"/>
  <c r="E186" i="14"/>
  <c r="F186" i="14"/>
  <c r="G186" i="14"/>
  <c r="H186" i="14"/>
  <c r="I186" i="14"/>
  <c r="J186" i="14"/>
  <c r="K186" i="14"/>
  <c r="L186" i="14"/>
  <c r="M186" i="14"/>
  <c r="N186" i="14"/>
  <c r="O186" i="14"/>
  <c r="P186" i="14"/>
  <c r="E187" i="14"/>
  <c r="F187" i="14"/>
  <c r="G187" i="14"/>
  <c r="H187" i="14"/>
  <c r="I187" i="14"/>
  <c r="J187" i="14"/>
  <c r="K187" i="14"/>
  <c r="L187" i="14"/>
  <c r="M187" i="14"/>
  <c r="N187" i="14"/>
  <c r="O187" i="14"/>
  <c r="P187" i="14"/>
  <c r="R187" i="14"/>
  <c r="S187" i="14"/>
  <c r="T187" i="14"/>
  <c r="U187" i="14"/>
  <c r="V187" i="14"/>
  <c r="W187" i="14"/>
  <c r="X187" i="14"/>
  <c r="Y187" i="14"/>
  <c r="Z187" i="14"/>
  <c r="AA187" i="14"/>
  <c r="AB187" i="14"/>
  <c r="AC187" i="14"/>
  <c r="AE187" i="14"/>
  <c r="AF187" i="14"/>
  <c r="AG187" i="14"/>
  <c r="AH187" i="14"/>
  <c r="AI187" i="14"/>
  <c r="AJ187" i="14"/>
  <c r="AK187" i="14"/>
  <c r="AL187" i="14"/>
  <c r="AM187" i="14"/>
  <c r="AN187" i="14"/>
  <c r="AO187" i="14"/>
  <c r="AP187" i="14"/>
  <c r="D188" i="14"/>
  <c r="Q188" i="14"/>
  <c r="AD188" i="14"/>
  <c r="D189" i="14"/>
  <c r="Q189" i="14"/>
  <c r="AD189" i="14"/>
  <c r="D190" i="14"/>
  <c r="Q190" i="14"/>
  <c r="AD190" i="14"/>
  <c r="E191" i="14"/>
  <c r="F191" i="14"/>
  <c r="G191" i="14"/>
  <c r="H191" i="14"/>
  <c r="I191" i="14"/>
  <c r="J191" i="14"/>
  <c r="K191" i="14"/>
  <c r="L191" i="14"/>
  <c r="M191" i="14"/>
  <c r="N191" i="14"/>
  <c r="O191" i="14"/>
  <c r="P191" i="14"/>
  <c r="R191" i="14"/>
  <c r="S191" i="14"/>
  <c r="T191" i="14"/>
  <c r="U191" i="14"/>
  <c r="V191" i="14"/>
  <c r="W191" i="14"/>
  <c r="X191" i="14"/>
  <c r="Y191" i="14"/>
  <c r="Z191" i="14"/>
  <c r="AA191" i="14"/>
  <c r="AB191" i="14"/>
  <c r="AE191" i="14"/>
  <c r="AF191" i="14"/>
  <c r="AG191" i="14"/>
  <c r="AH191" i="14"/>
  <c r="AI191" i="14"/>
  <c r="AJ191" i="14"/>
  <c r="AK191" i="14"/>
  <c r="AL191" i="14"/>
  <c r="AM191" i="14"/>
  <c r="AN191" i="14"/>
  <c r="AO191" i="14"/>
  <c r="AP191" i="14"/>
  <c r="D192" i="14"/>
  <c r="AC192" i="14"/>
  <c r="Q192" i="14" s="1"/>
  <c r="AD192" i="14"/>
  <c r="D193" i="14"/>
  <c r="Q193" i="14"/>
  <c r="AD193" i="14"/>
  <c r="D194" i="14"/>
  <c r="Q194" i="14"/>
  <c r="AD194" i="14"/>
  <c r="D195" i="14"/>
  <c r="Q195" i="14"/>
  <c r="AD195" i="14"/>
  <c r="D196" i="14"/>
  <c r="Q196" i="14"/>
  <c r="AD196" i="14"/>
  <c r="D197" i="14"/>
  <c r="Q197" i="14"/>
  <c r="AD197" i="14"/>
  <c r="D198" i="14"/>
  <c r="Q198" i="14"/>
  <c r="AD198" i="14"/>
  <c r="R10" i="14"/>
  <c r="S10" i="14"/>
  <c r="T10" i="14"/>
  <c r="U10" i="14"/>
  <c r="V10" i="14"/>
  <c r="W10" i="14"/>
  <c r="X10" i="14"/>
  <c r="Y10" i="14"/>
  <c r="Z10" i="14"/>
  <c r="AA10" i="14"/>
  <c r="AC10" i="14"/>
  <c r="R13" i="14"/>
  <c r="S13" i="14"/>
  <c r="T13" i="14"/>
  <c r="U13" i="14"/>
  <c r="V13" i="14"/>
  <c r="W13" i="14"/>
  <c r="X13" i="14"/>
  <c r="Y13" i="14"/>
  <c r="Z13" i="14"/>
  <c r="AA13" i="14"/>
  <c r="AC13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R18" i="14"/>
  <c r="R19" i="14"/>
  <c r="R20" i="14"/>
  <c r="R21" i="14"/>
  <c r="R22" i="14"/>
  <c r="R24" i="14"/>
  <c r="R25" i="14"/>
  <c r="S16" i="14"/>
  <c r="T16" i="14"/>
  <c r="U16" i="14"/>
  <c r="V16" i="14"/>
  <c r="W16" i="14"/>
  <c r="X16" i="14"/>
  <c r="Y16" i="14"/>
  <c r="Z16" i="14"/>
  <c r="AA16" i="14"/>
  <c r="AB16" i="14"/>
  <c r="AC16" i="14"/>
  <c r="S17" i="14"/>
  <c r="T17" i="14"/>
  <c r="U17" i="14"/>
  <c r="V17" i="14"/>
  <c r="W17" i="14"/>
  <c r="X17" i="14"/>
  <c r="Y17" i="14"/>
  <c r="Z17" i="14"/>
  <c r="AA17" i="14"/>
  <c r="AB17" i="14"/>
  <c r="AC17" i="14"/>
  <c r="S18" i="14"/>
  <c r="T18" i="14"/>
  <c r="U18" i="14"/>
  <c r="V18" i="14"/>
  <c r="W18" i="14"/>
  <c r="X18" i="14"/>
  <c r="Y18" i="14"/>
  <c r="Z18" i="14"/>
  <c r="AA18" i="14"/>
  <c r="AB18" i="14"/>
  <c r="S19" i="14"/>
  <c r="T19" i="14"/>
  <c r="U19" i="14"/>
  <c r="V19" i="14"/>
  <c r="W19" i="14"/>
  <c r="X19" i="14"/>
  <c r="Y19" i="14"/>
  <c r="Z19" i="14"/>
  <c r="AA19" i="14"/>
  <c r="AB19" i="14"/>
  <c r="AC19" i="14"/>
  <c r="S20" i="14"/>
  <c r="T20" i="14"/>
  <c r="U20" i="14"/>
  <c r="V20" i="14"/>
  <c r="W20" i="14"/>
  <c r="Y20" i="14"/>
  <c r="Z20" i="14"/>
  <c r="AA20" i="14"/>
  <c r="AB20" i="14"/>
  <c r="AC20" i="14"/>
  <c r="S21" i="14"/>
  <c r="T21" i="14"/>
  <c r="U21" i="14"/>
  <c r="V21" i="14"/>
  <c r="W21" i="14"/>
  <c r="X21" i="14"/>
  <c r="Y21" i="14"/>
  <c r="Z21" i="14"/>
  <c r="AA21" i="14"/>
  <c r="AB21" i="14"/>
  <c r="AC21" i="14"/>
  <c r="S22" i="14"/>
  <c r="T22" i="14"/>
  <c r="U22" i="14"/>
  <c r="V22" i="14"/>
  <c r="W22" i="14"/>
  <c r="X22" i="14"/>
  <c r="Y22" i="14"/>
  <c r="Z22" i="14"/>
  <c r="AA22" i="14"/>
  <c r="AB22" i="14"/>
  <c r="AC22" i="14"/>
  <c r="S23" i="14"/>
  <c r="T23" i="14"/>
  <c r="U23" i="14"/>
  <c r="V23" i="14"/>
  <c r="W23" i="14"/>
  <c r="X23" i="14"/>
  <c r="Y23" i="14"/>
  <c r="Z23" i="14"/>
  <c r="AA23" i="14"/>
  <c r="AB23" i="14"/>
  <c r="AC23" i="14"/>
  <c r="S24" i="14"/>
  <c r="T24" i="14"/>
  <c r="U24" i="14"/>
  <c r="V24" i="14"/>
  <c r="W24" i="14"/>
  <c r="X24" i="14"/>
  <c r="Y24" i="14"/>
  <c r="AA24" i="14"/>
  <c r="AB24" i="14"/>
  <c r="AC24" i="14"/>
  <c r="S25" i="14"/>
  <c r="T25" i="14"/>
  <c r="U25" i="14"/>
  <c r="V25" i="14"/>
  <c r="W25" i="14"/>
  <c r="X25" i="14"/>
  <c r="Y25" i="14"/>
  <c r="Z25" i="14"/>
  <c r="AA25" i="14"/>
  <c r="AB25" i="14"/>
  <c r="AC25" i="14"/>
  <c r="AD179" i="14"/>
  <c r="Q179" i="14"/>
  <c r="D179" i="14"/>
  <c r="AF20" i="14"/>
  <c r="AJ25" i="14"/>
  <c r="AI25" i="14"/>
  <c r="AH25" i="14"/>
  <c r="AG25" i="14"/>
  <c r="AF25" i="14"/>
  <c r="AE25" i="14"/>
  <c r="Q83" i="14"/>
  <c r="AD82" i="14"/>
  <c r="Q82" i="14"/>
  <c r="D82" i="14"/>
  <c r="AI13" i="14"/>
  <c r="AH13" i="14"/>
  <c r="AJ116" i="14"/>
  <c r="AH116" i="14"/>
  <c r="AF116" i="14"/>
  <c r="CF72" i="2" l="1"/>
  <c r="AG21" i="14"/>
  <c r="AF21" i="14"/>
  <c r="CF163" i="9" s="1"/>
  <c r="AE116" i="14"/>
  <c r="AI21" i="14"/>
  <c r="AH20" i="14"/>
  <c r="AJ20" i="14"/>
  <c r="AH21" i="14"/>
  <c r="AJ21" i="14"/>
  <c r="AG116" i="14"/>
  <c r="AG20" i="14"/>
  <c r="AI116" i="14"/>
  <c r="AI20" i="14"/>
  <c r="J199" i="14"/>
  <c r="M199" i="14"/>
  <c r="K199" i="14"/>
  <c r="AI18" i="14"/>
  <c r="AJ18" i="14"/>
  <c r="AF18" i="14"/>
  <c r="CQ197" i="2"/>
  <c r="CP210" i="2"/>
  <c r="CP243" i="2"/>
  <c r="CI50" i="2"/>
  <c r="CI315" i="2"/>
  <c r="CI316" i="2" s="1"/>
  <c r="CJ312" i="2" s="1"/>
  <c r="CI319" i="2"/>
  <c r="CI126" i="2" s="1"/>
  <c r="AE21" i="14"/>
  <c r="AE13" i="14"/>
  <c r="AG13" i="14"/>
  <c r="AE20" i="14"/>
  <c r="AE24" i="14"/>
  <c r="AF24" i="14"/>
  <c r="AG24" i="14"/>
  <c r="AH24" i="14"/>
  <c r="AI24" i="14"/>
  <c r="AE18" i="14"/>
  <c r="Y199" i="14"/>
  <c r="H199" i="14"/>
  <c r="X199" i="14"/>
  <c r="Z199" i="14"/>
  <c r="I199" i="14"/>
  <c r="AJ24" i="14"/>
  <c r="AP199" i="14"/>
  <c r="AO199" i="14"/>
  <c r="AN199" i="14"/>
  <c r="W199" i="14"/>
  <c r="F199" i="14"/>
  <c r="L199" i="14"/>
  <c r="AG18" i="14"/>
  <c r="AH18" i="14"/>
  <c r="AG199" i="14"/>
  <c r="O199" i="14"/>
  <c r="AF199" i="14"/>
  <c r="N199" i="14"/>
  <c r="AE199" i="14"/>
  <c r="AB199" i="14"/>
  <c r="AA199" i="14"/>
  <c r="D191" i="14"/>
  <c r="S199" i="14"/>
  <c r="AI199" i="14"/>
  <c r="G199" i="14"/>
  <c r="AD187" i="14"/>
  <c r="V199" i="14"/>
  <c r="E199" i="14"/>
  <c r="AC18" i="14"/>
  <c r="AL199" i="14"/>
  <c r="U199" i="14"/>
  <c r="AK199" i="14"/>
  <c r="T199" i="14"/>
  <c r="AJ199" i="14"/>
  <c r="AD191" i="14"/>
  <c r="R199" i="14"/>
  <c r="AH199" i="14"/>
  <c r="P199" i="14"/>
  <c r="AM199" i="14"/>
  <c r="D187" i="14"/>
  <c r="Q187" i="14"/>
  <c r="AC191" i="14"/>
  <c r="AC199" i="14" s="1"/>
  <c r="AE173" i="14"/>
  <c r="CI163" i="9" l="1"/>
  <c r="CG163" i="9"/>
  <c r="CE163" i="9"/>
  <c r="CJ163" i="9"/>
  <c r="CH163" i="9"/>
  <c r="CF87" i="2"/>
  <c r="CF85" i="2" s="1"/>
  <c r="BR42" i="2"/>
  <c r="CF67" i="2"/>
  <c r="CQ210" i="2"/>
  <c r="CQ243" i="2"/>
  <c r="CJ50" i="2"/>
  <c r="CJ315" i="2"/>
  <c r="CJ316" i="2" s="1"/>
  <c r="CK312" i="2" s="1"/>
  <c r="CJ319" i="2"/>
  <c r="CJ126" i="2" s="1"/>
  <c r="BR43" i="2"/>
  <c r="D199" i="14"/>
  <c r="Q199" i="14"/>
  <c r="AD199" i="14"/>
  <c r="Q191" i="14"/>
  <c r="CF68" i="2" l="1"/>
  <c r="CF88" i="2"/>
  <c r="CK50" i="2"/>
  <c r="CK315" i="2"/>
  <c r="CK316" i="2" s="1"/>
  <c r="CL312" i="2" s="1"/>
  <c r="CK319" i="2"/>
  <c r="CK126" i="2" s="1"/>
  <c r="CH16" i="9"/>
  <c r="CG16" i="9"/>
  <c r="CF16" i="9"/>
  <c r="CE16" i="9"/>
  <c r="BR128" i="2"/>
  <c r="BE128" i="2"/>
  <c r="AR128" i="2"/>
  <c r="AR127" i="2"/>
  <c r="AE128" i="2"/>
  <c r="AE127" i="2"/>
  <c r="R127" i="2"/>
  <c r="R128" i="2"/>
  <c r="E129" i="2"/>
  <c r="E128" i="2"/>
  <c r="E127" i="2"/>
  <c r="E126" i="2"/>
  <c r="CL50" i="2" l="1"/>
  <c r="CL315" i="2"/>
  <c r="CL316" i="2" s="1"/>
  <c r="CM312" i="2" s="1"/>
  <c r="CL319" i="2"/>
  <c r="CL126" i="2" s="1"/>
  <c r="CI16" i="9"/>
  <c r="CM50" i="2" l="1"/>
  <c r="CM315" i="2"/>
  <c r="CM316" i="2" s="1"/>
  <c r="CN312" i="2" s="1"/>
  <c r="CM319" i="2"/>
  <c r="CM126" i="2" s="1"/>
  <c r="CN50" i="2" l="1"/>
  <c r="CN315" i="2"/>
  <c r="CN316" i="2" s="1"/>
  <c r="CO312" i="2" s="1"/>
  <c r="CN319" i="2"/>
  <c r="CN126" i="2" s="1"/>
  <c r="CO50" i="2" l="1"/>
  <c r="CO315" i="2"/>
  <c r="CO316" i="2" s="1"/>
  <c r="CP312" i="2" s="1"/>
  <c r="CO319" i="2"/>
  <c r="CO126" i="2" s="1"/>
  <c r="CP50" i="2" l="1"/>
  <c r="CP315" i="2"/>
  <c r="CP316" i="2" s="1"/>
  <c r="CQ312" i="2" s="1"/>
  <c r="CP319" i="2"/>
  <c r="CP126" i="2" s="1"/>
  <c r="CQ315" i="2" l="1"/>
  <c r="CQ316" i="2" s="1"/>
  <c r="CQ50" i="2"/>
  <c r="CE50" i="2" s="1"/>
  <c r="CQ319" i="2"/>
  <c r="CQ126" i="2" s="1"/>
  <c r="BV66" i="11" l="1"/>
  <c r="BV65" i="11" s="1"/>
  <c r="BV59" i="11"/>
  <c r="BV58" i="11" l="1"/>
  <c r="BV60" i="11" s="1"/>
  <c r="BU278" i="2"/>
  <c r="BU212" i="2"/>
  <c r="CH199" i="2" l="1"/>
  <c r="BR45" i="3" l="1"/>
  <c r="BR55" i="3" s="1"/>
  <c r="BE45" i="3"/>
  <c r="BE55" i="3" s="1"/>
  <c r="AR45" i="3"/>
  <c r="AR55" i="3" s="1"/>
  <c r="AE45" i="3"/>
  <c r="AE55" i="3" s="1"/>
  <c r="R45" i="3"/>
  <c r="R55" i="3" s="1"/>
  <c r="E45" i="3"/>
  <c r="E55" i="3" s="1"/>
  <c r="BE35" i="3"/>
  <c r="AR35" i="3"/>
  <c r="AE35" i="3"/>
  <c r="R35" i="3"/>
  <c r="E35" i="3"/>
  <c r="BS41" i="3" l="1"/>
  <c r="CE40" i="3"/>
  <c r="BR11" i="5" l="1"/>
  <c r="BE11" i="5"/>
  <c r="AR11" i="5"/>
  <c r="AE11" i="5"/>
  <c r="R11" i="5"/>
  <c r="E11" i="5"/>
  <c r="AQ10" i="5" l="1"/>
  <c r="BF6" i="5"/>
  <c r="BF10" i="5" s="1"/>
  <c r="P12" i="21" l="1"/>
  <c r="O12" i="21"/>
  <c r="N12" i="21"/>
  <c r="M12" i="21"/>
  <c r="L12" i="21"/>
  <c r="K12" i="21"/>
  <c r="J12" i="21"/>
  <c r="I12" i="21"/>
  <c r="H12" i="21"/>
  <c r="G12" i="21"/>
  <c r="F12" i="21"/>
  <c r="P11" i="21"/>
  <c r="O11" i="21"/>
  <c r="N11" i="21"/>
  <c r="M11" i="21"/>
  <c r="L11" i="21"/>
  <c r="K11" i="21"/>
  <c r="J11" i="21"/>
  <c r="I11" i="21"/>
  <c r="H11" i="21"/>
  <c r="G11" i="21"/>
  <c r="F11" i="21"/>
  <c r="P10" i="21"/>
  <c r="O10" i="21"/>
  <c r="N10" i="21"/>
  <c r="M10" i="21"/>
  <c r="L10" i="21"/>
  <c r="K10" i="21"/>
  <c r="J10" i="21"/>
  <c r="I10" i="21"/>
  <c r="H10" i="21"/>
  <c r="G10" i="21"/>
  <c r="F10" i="21"/>
  <c r="P9" i="21"/>
  <c r="O9" i="21"/>
  <c r="N9" i="21"/>
  <c r="M9" i="21"/>
  <c r="L9" i="21"/>
  <c r="K9" i="21"/>
  <c r="J9" i="21"/>
  <c r="I9" i="21"/>
  <c r="H9" i="21"/>
  <c r="G9" i="21"/>
  <c r="F9" i="21"/>
  <c r="P8" i="21"/>
  <c r="O8" i="21"/>
  <c r="N8" i="21"/>
  <c r="M8" i="21"/>
  <c r="L8" i="21"/>
  <c r="K8" i="21"/>
  <c r="J8" i="21"/>
  <c r="I8" i="21"/>
  <c r="H8" i="21"/>
  <c r="G8" i="21"/>
  <c r="F8" i="21"/>
  <c r="P7" i="21"/>
  <c r="O7" i="21"/>
  <c r="N7" i="21"/>
  <c r="M7" i="21"/>
  <c r="L7" i="21"/>
  <c r="K7" i="21"/>
  <c r="J7" i="21"/>
  <c r="I7" i="21"/>
  <c r="H7" i="21"/>
  <c r="G7" i="21"/>
  <c r="F7" i="21"/>
  <c r="P6" i="21"/>
  <c r="O6" i="21"/>
  <c r="N6" i="21"/>
  <c r="M6" i="21"/>
  <c r="L6" i="21"/>
  <c r="K6" i="21"/>
  <c r="J6" i="21"/>
  <c r="I6" i="21"/>
  <c r="H6" i="21"/>
  <c r="G6" i="21"/>
  <c r="F6" i="21"/>
  <c r="P5" i="21"/>
  <c r="O5" i="21"/>
  <c r="N5" i="21"/>
  <c r="M5" i="21"/>
  <c r="L5" i="21"/>
  <c r="K5" i="21"/>
  <c r="J5" i="21"/>
  <c r="I5" i="21"/>
  <c r="H5" i="21"/>
  <c r="G5" i="21"/>
  <c r="F5" i="21"/>
  <c r="E8" i="21"/>
  <c r="E6" i="21"/>
  <c r="CD55" i="3"/>
  <c r="CC55" i="3"/>
  <c r="CB55" i="3"/>
  <c r="CA55" i="3"/>
  <c r="BZ55" i="3"/>
  <c r="BY55" i="3"/>
  <c r="BX55" i="3"/>
  <c r="BW55" i="3"/>
  <c r="BV55" i="3"/>
  <c r="BU55" i="3"/>
  <c r="BT55" i="3"/>
  <c r="BS55" i="3"/>
  <c r="H4" i="21" l="1"/>
  <c r="M4" i="21"/>
  <c r="O4" i="21"/>
  <c r="I4" i="21"/>
  <c r="P4" i="21"/>
  <c r="J4" i="21"/>
  <c r="K4" i="21"/>
  <c r="L4" i="21"/>
  <c r="N4" i="21"/>
  <c r="G4" i="21"/>
  <c r="F4" i="21"/>
  <c r="AQ286" i="2" l="1"/>
  <c r="AP286" i="2"/>
  <c r="AO286" i="2"/>
  <c r="AN286" i="2"/>
  <c r="AM286" i="2"/>
  <c r="AL286" i="2"/>
  <c r="AK286" i="2"/>
  <c r="AJ286" i="2"/>
  <c r="AI286" i="2"/>
  <c r="AH286" i="2"/>
  <c r="AG286" i="2"/>
  <c r="AF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Q286" i="2"/>
  <c r="N286" i="2"/>
  <c r="M286" i="2"/>
  <c r="L286" i="2"/>
  <c r="K286" i="2"/>
  <c r="J286" i="2"/>
  <c r="I286" i="2"/>
  <c r="H286" i="2"/>
  <c r="G286" i="2"/>
  <c r="F286" i="2"/>
  <c r="BQ286" i="2"/>
  <c r="BP286" i="2"/>
  <c r="BO286" i="2"/>
  <c r="BN286" i="2"/>
  <c r="BM286" i="2"/>
  <c r="BL286" i="2"/>
  <c r="BK286" i="2"/>
  <c r="BJ286" i="2"/>
  <c r="BI286" i="2"/>
  <c r="BH286" i="2"/>
  <c r="BG286" i="2"/>
  <c r="BF286" i="2"/>
  <c r="BD286" i="2"/>
  <c r="BC286" i="2"/>
  <c r="BB286" i="2"/>
  <c r="BA286" i="2"/>
  <c r="AZ286" i="2"/>
  <c r="AY286" i="2"/>
  <c r="AX286" i="2"/>
  <c r="AW286" i="2"/>
  <c r="AV286" i="2"/>
  <c r="AU286" i="2"/>
  <c r="AT286" i="2"/>
  <c r="AS286" i="2"/>
  <c r="BX213" i="2" l="1"/>
  <c r="BW213" i="2"/>
  <c r="BV213" i="2"/>
  <c r="BU213" i="2"/>
  <c r="BT213" i="2"/>
  <c r="BS213" i="2"/>
  <c r="BS215" i="2"/>
  <c r="BS211" i="2"/>
  <c r="BX271" i="2"/>
  <c r="BW271" i="2"/>
  <c r="BV271" i="2"/>
  <c r="BU271" i="2"/>
  <c r="BT271" i="2"/>
  <c r="BS271" i="2"/>
  <c r="BS270" i="2"/>
  <c r="BT270" i="2"/>
  <c r="BU270" i="2"/>
  <c r="BV270" i="2"/>
  <c r="BW270" i="2"/>
  <c r="BX270" i="2"/>
  <c r="BS245" i="2"/>
  <c r="BT245" i="2"/>
  <c r="BU245" i="2"/>
  <c r="BU235" i="2" s="1"/>
  <c r="BV245" i="2"/>
  <c r="BW245" i="2"/>
  <c r="BX245" i="2"/>
  <c r="BX212" i="2"/>
  <c r="BW212" i="2"/>
  <c r="BV212" i="2"/>
  <c r="BT212" i="2"/>
  <c r="BS212" i="2"/>
  <c r="BR184" i="2"/>
  <c r="BS109" i="2"/>
  <c r="BT109" i="2"/>
  <c r="BU109" i="2"/>
  <c r="BV109" i="2"/>
  <c r="BW109" i="2"/>
  <c r="BX109" i="2"/>
  <c r="BY109" i="2"/>
  <c r="BZ109" i="2"/>
  <c r="CA109" i="2"/>
  <c r="CB109" i="2"/>
  <c r="CC109" i="2"/>
  <c r="CD109" i="2"/>
  <c r="BR119" i="2"/>
  <c r="CF199" i="2" l="1"/>
  <c r="CG199" i="2"/>
  <c r="CI199" i="2"/>
  <c r="CJ199" i="2"/>
  <c r="CH223" i="2"/>
  <c r="CH245" i="2" s="1"/>
  <c r="CK199" i="2"/>
  <c r="BV235" i="2"/>
  <c r="BR109" i="2"/>
  <c r="BX235" i="2"/>
  <c r="BW235" i="2"/>
  <c r="BT235" i="2"/>
  <c r="BS235" i="2"/>
  <c r="CG223" i="2" l="1"/>
  <c r="CG245" i="2" s="1"/>
  <c r="CF223" i="2"/>
  <c r="CK223" i="2"/>
  <c r="CJ223" i="2"/>
  <c r="CJ245" i="2" s="1"/>
  <c r="CM199" i="2"/>
  <c r="BR11" i="2"/>
  <c r="E8" i="24" l="1"/>
  <c r="CF245" i="2"/>
  <c r="CI223" i="2"/>
  <c r="CI245" i="2" s="1"/>
  <c r="CK245" i="2"/>
  <c r="CL199" i="2"/>
  <c r="CM223" i="2"/>
  <c r="CM245" i="2" s="1"/>
  <c r="CN199" i="2"/>
  <c r="CO199" i="2"/>
  <c r="H8" i="24" l="1"/>
  <c r="G8" i="24"/>
  <c r="BR35" i="3"/>
  <c r="CN223" i="2"/>
  <c r="CN245" i="2" s="1"/>
  <c r="CP199" i="2"/>
  <c r="CL223" i="2"/>
  <c r="CL245" i="2" s="1"/>
  <c r="CP223" i="2"/>
  <c r="CO223" i="2"/>
  <c r="CO245" i="2" s="1"/>
  <c r="CP51" i="9"/>
  <c r="CP127" i="9" s="1"/>
  <c r="CO51" i="9"/>
  <c r="CO127" i="9" s="1"/>
  <c r="CN51" i="9"/>
  <c r="CN127" i="9" s="1"/>
  <c r="CM51" i="9"/>
  <c r="CM127" i="9" s="1"/>
  <c r="CL51" i="9"/>
  <c r="CL127" i="9" s="1"/>
  <c r="CK51" i="9"/>
  <c r="CK127" i="9" s="1"/>
  <c r="CJ51" i="9"/>
  <c r="CJ127" i="9" s="1"/>
  <c r="CI51" i="9"/>
  <c r="CI127" i="9" s="1"/>
  <c r="CH51" i="9"/>
  <c r="CH127" i="9" s="1"/>
  <c r="CG51" i="9"/>
  <c r="CG127" i="9" s="1"/>
  <c r="CF51" i="9"/>
  <c r="CF127" i="9" s="1"/>
  <c r="CJ50" i="9"/>
  <c r="CJ126" i="9" s="1"/>
  <c r="CI50" i="9"/>
  <c r="CI126" i="9" s="1"/>
  <c r="CH50" i="9"/>
  <c r="CH126" i="9" s="1"/>
  <c r="CG50" i="9"/>
  <c r="CG126" i="9" s="1"/>
  <c r="CF50" i="9"/>
  <c r="CF126" i="9" s="1"/>
  <c r="CJ49" i="9"/>
  <c r="CJ125" i="9" s="1"/>
  <c r="CI49" i="9"/>
  <c r="CI125" i="9" s="1"/>
  <c r="CH49" i="9"/>
  <c r="CH125" i="9" s="1"/>
  <c r="CG49" i="9"/>
  <c r="CG125" i="9" s="1"/>
  <c r="CF49" i="9"/>
  <c r="CF125" i="9" s="1"/>
  <c r="CJ48" i="9"/>
  <c r="CJ124" i="9" s="1"/>
  <c r="CI48" i="9"/>
  <c r="CH48" i="9"/>
  <c r="CH124" i="9" s="1"/>
  <c r="CG48" i="9"/>
  <c r="CG124" i="9" s="1"/>
  <c r="CF48" i="9"/>
  <c r="CF124" i="9" s="1"/>
  <c r="CP47" i="9"/>
  <c r="CP123" i="9" s="1"/>
  <c r="CO47" i="9"/>
  <c r="CO123" i="9" s="1"/>
  <c r="CN47" i="9"/>
  <c r="CN123" i="9" s="1"/>
  <c r="CM47" i="9"/>
  <c r="CM123" i="9" s="1"/>
  <c r="CL47" i="9"/>
  <c r="CL123" i="9" s="1"/>
  <c r="CK47" i="9"/>
  <c r="CK123" i="9" s="1"/>
  <c r="CJ47" i="9"/>
  <c r="CJ123" i="9" s="1"/>
  <c r="CI47" i="9"/>
  <c r="CI123" i="9" s="1"/>
  <c r="CH47" i="9"/>
  <c r="CH123" i="9" s="1"/>
  <c r="CG47" i="9"/>
  <c r="CG123" i="9" s="1"/>
  <c r="CF47" i="9"/>
  <c r="CF123" i="9" s="1"/>
  <c r="CJ46" i="9"/>
  <c r="CJ122" i="9" s="1"/>
  <c r="CI46" i="9"/>
  <c r="CI122" i="9" s="1"/>
  <c r="CH46" i="9"/>
  <c r="CH122" i="9" s="1"/>
  <c r="CG46" i="9"/>
  <c r="CG122" i="9" s="1"/>
  <c r="CF46" i="9"/>
  <c r="CF122" i="9" s="1"/>
  <c r="CP45" i="9"/>
  <c r="CP121" i="9" s="1"/>
  <c r="CO45" i="9"/>
  <c r="CO121" i="9" s="1"/>
  <c r="CN45" i="9"/>
  <c r="CN121" i="9" s="1"/>
  <c r="CM45" i="9"/>
  <c r="CM121" i="9" s="1"/>
  <c r="CL45" i="9"/>
  <c r="CL121" i="9" s="1"/>
  <c r="CK45" i="9"/>
  <c r="CK121" i="9" s="1"/>
  <c r="CJ45" i="9"/>
  <c r="CJ121" i="9" s="1"/>
  <c r="CI45" i="9"/>
  <c r="CI121" i="9" s="1"/>
  <c r="CH45" i="9"/>
  <c r="CH121" i="9" s="1"/>
  <c r="CG45" i="9"/>
  <c r="CG121" i="9" s="1"/>
  <c r="CF45" i="9"/>
  <c r="CF121" i="9" s="1"/>
  <c r="CJ44" i="9"/>
  <c r="CI44" i="9"/>
  <c r="CH44" i="9"/>
  <c r="CG44" i="9"/>
  <c r="CF44" i="9"/>
  <c r="CJ43" i="9"/>
  <c r="CJ119" i="9" s="1"/>
  <c r="CI43" i="9"/>
  <c r="CI119" i="9" s="1"/>
  <c r="CH43" i="9"/>
  <c r="CH119" i="9" s="1"/>
  <c r="CG43" i="9"/>
  <c r="CG119" i="9" s="1"/>
  <c r="CF43" i="9"/>
  <c r="CF119" i="9" s="1"/>
  <c r="CJ42" i="9"/>
  <c r="CJ118" i="9" s="1"/>
  <c r="CI42" i="9"/>
  <c r="CI118" i="9" s="1"/>
  <c r="CH42" i="9"/>
  <c r="CH118" i="9" s="1"/>
  <c r="CG42" i="9"/>
  <c r="CG118" i="9" s="1"/>
  <c r="CF42" i="9"/>
  <c r="CF118" i="9" s="1"/>
  <c r="CJ41" i="9"/>
  <c r="CI41" i="9"/>
  <c r="CH41" i="9"/>
  <c r="CG41" i="9"/>
  <c r="CF41" i="9"/>
  <c r="CE51" i="9"/>
  <c r="CE127" i="9" s="1"/>
  <c r="CE50" i="9"/>
  <c r="CE126" i="9" s="1"/>
  <c r="CE49" i="9"/>
  <c r="CE48" i="9"/>
  <c r="CE47" i="9"/>
  <c r="CE123" i="9" s="1"/>
  <c r="CE46" i="9"/>
  <c r="CE122" i="9" s="1"/>
  <c r="CE45" i="9"/>
  <c r="CE121" i="9" s="1"/>
  <c r="CE44" i="9"/>
  <c r="CE43" i="9"/>
  <c r="CE119" i="9" s="1"/>
  <c r="CE42" i="9"/>
  <c r="CE118" i="9" s="1"/>
  <c r="CE41" i="9"/>
  <c r="CP37" i="9"/>
  <c r="CP113" i="9" s="1"/>
  <c r="CO37" i="9"/>
  <c r="CO113" i="9" s="1"/>
  <c r="CN37" i="9"/>
  <c r="CN113" i="9" s="1"/>
  <c r="CM37" i="9"/>
  <c r="CM113" i="9" s="1"/>
  <c r="CL37" i="9"/>
  <c r="CL113" i="9" s="1"/>
  <c r="CK37" i="9"/>
  <c r="CK113" i="9" s="1"/>
  <c r="CJ37" i="9"/>
  <c r="CJ113" i="9" s="1"/>
  <c r="CI37" i="9"/>
  <c r="CI113" i="9" s="1"/>
  <c r="CH37" i="9"/>
  <c r="CH113" i="9" s="1"/>
  <c r="CG37" i="9"/>
  <c r="CG113" i="9" s="1"/>
  <c r="CF37" i="9"/>
  <c r="CF113" i="9" s="1"/>
  <c r="CE37" i="9"/>
  <c r="CE113" i="9" s="1"/>
  <c r="CJ34" i="9"/>
  <c r="CJ110" i="9" s="1"/>
  <c r="CI34" i="9"/>
  <c r="CI110" i="9" s="1"/>
  <c r="CH34" i="9"/>
  <c r="CH110" i="9" s="1"/>
  <c r="CG34" i="9"/>
  <c r="CG110" i="9" s="1"/>
  <c r="CF34" i="9"/>
  <c r="CF110" i="9" s="1"/>
  <c r="CE34" i="9"/>
  <c r="CE110" i="9" s="1"/>
  <c r="CJ27" i="9"/>
  <c r="CJ103" i="9" s="1"/>
  <c r="CI27" i="9"/>
  <c r="CI103" i="9" s="1"/>
  <c r="CH27" i="9"/>
  <c r="CH103" i="9" s="1"/>
  <c r="CG27" i="9"/>
  <c r="CG103" i="9" s="1"/>
  <c r="CF27" i="9"/>
  <c r="CF103" i="9" s="1"/>
  <c r="CP26" i="9"/>
  <c r="CP102" i="9" s="1"/>
  <c r="CO26" i="9"/>
  <c r="CO102" i="9" s="1"/>
  <c r="CN26" i="9"/>
  <c r="CN102" i="9" s="1"/>
  <c r="CM26" i="9"/>
  <c r="CM102" i="9" s="1"/>
  <c r="CL26" i="9"/>
  <c r="CL102" i="9" s="1"/>
  <c r="CK26" i="9"/>
  <c r="CK102" i="9" s="1"/>
  <c r="CJ26" i="9"/>
  <c r="CJ102" i="9" s="1"/>
  <c r="CI26" i="9"/>
  <c r="CI102" i="9" s="1"/>
  <c r="CH26" i="9"/>
  <c r="CH102" i="9" s="1"/>
  <c r="CG26" i="9"/>
  <c r="CG102" i="9" s="1"/>
  <c r="CF26" i="9"/>
  <c r="CF102" i="9" s="1"/>
  <c r="CP25" i="9"/>
  <c r="CP101" i="9" s="1"/>
  <c r="CO25" i="9"/>
  <c r="CO101" i="9" s="1"/>
  <c r="CN25" i="9"/>
  <c r="CN101" i="9" s="1"/>
  <c r="CM25" i="9"/>
  <c r="CM101" i="9" s="1"/>
  <c r="CL25" i="9"/>
  <c r="CL101" i="9" s="1"/>
  <c r="CK25" i="9"/>
  <c r="CK101" i="9" s="1"/>
  <c r="CJ25" i="9"/>
  <c r="CJ101" i="9" s="1"/>
  <c r="CI25" i="9"/>
  <c r="CI101" i="9" s="1"/>
  <c r="CH25" i="9"/>
  <c r="CH101" i="9" s="1"/>
  <c r="CG25" i="9"/>
  <c r="CG101" i="9" s="1"/>
  <c r="CF25" i="9"/>
  <c r="CF101" i="9" s="1"/>
  <c r="CP24" i="9"/>
  <c r="CP100" i="9" s="1"/>
  <c r="CO24" i="9"/>
  <c r="CO100" i="9" s="1"/>
  <c r="CN24" i="9"/>
  <c r="CN100" i="9" s="1"/>
  <c r="CM24" i="9"/>
  <c r="CM100" i="9" s="1"/>
  <c r="CL24" i="9"/>
  <c r="CL100" i="9" s="1"/>
  <c r="CK24" i="9"/>
  <c r="CK100" i="9" s="1"/>
  <c r="CJ24" i="9"/>
  <c r="CJ100" i="9" s="1"/>
  <c r="CI24" i="9"/>
  <c r="CI100" i="9" s="1"/>
  <c r="CH24" i="9"/>
  <c r="CH100" i="9" s="1"/>
  <c r="CG24" i="9"/>
  <c r="CG100" i="9" s="1"/>
  <c r="CF24" i="9"/>
  <c r="CF100" i="9" s="1"/>
  <c r="CP23" i="9"/>
  <c r="CO23" i="9"/>
  <c r="CN23" i="9"/>
  <c r="CM23" i="9"/>
  <c r="CJ23" i="9"/>
  <c r="CI23" i="9"/>
  <c r="CH23" i="9"/>
  <c r="CG23" i="9"/>
  <c r="CF23" i="9"/>
  <c r="CP22" i="9"/>
  <c r="CP98" i="9" s="1"/>
  <c r="CO22" i="9"/>
  <c r="CO98" i="9" s="1"/>
  <c r="CN22" i="9"/>
  <c r="CN98" i="9" s="1"/>
  <c r="CM22" i="9"/>
  <c r="CM98" i="9" s="1"/>
  <c r="CJ22" i="9"/>
  <c r="CJ98" i="9" s="1"/>
  <c r="CI22" i="9"/>
  <c r="CI98" i="9" s="1"/>
  <c r="CH22" i="9"/>
  <c r="CH98" i="9" s="1"/>
  <c r="CG22" i="9"/>
  <c r="CG98" i="9" s="1"/>
  <c r="CF22" i="9"/>
  <c r="CF98" i="9" s="1"/>
  <c r="CE27" i="9"/>
  <c r="CE103" i="9" s="1"/>
  <c r="CE26" i="9"/>
  <c r="CE102" i="9" s="1"/>
  <c r="CE25" i="9"/>
  <c r="CE101" i="9" s="1"/>
  <c r="CE24" i="9"/>
  <c r="CE100" i="9" s="1"/>
  <c r="CE23" i="9"/>
  <c r="CE22" i="9"/>
  <c r="CE98" i="9" s="1"/>
  <c r="CJ18" i="9"/>
  <c r="CI18" i="9"/>
  <c r="CH18" i="9"/>
  <c r="CG18" i="9"/>
  <c r="CF18" i="9"/>
  <c r="CE18" i="9"/>
  <c r="CI92" i="9"/>
  <c r="CH92" i="9"/>
  <c r="CG92" i="9"/>
  <c r="CJ15" i="9"/>
  <c r="CI15" i="9"/>
  <c r="CH15" i="9"/>
  <c r="CG15" i="9"/>
  <c r="CF15" i="9"/>
  <c r="CE92" i="9"/>
  <c r="CE15" i="9"/>
  <c r="CJ13" i="9"/>
  <c r="CI13" i="9"/>
  <c r="CH13" i="9"/>
  <c r="CG13" i="9"/>
  <c r="CF13" i="9"/>
  <c r="CE13" i="9"/>
  <c r="BX51" i="3"/>
  <c r="BW51" i="3"/>
  <c r="BV51" i="3"/>
  <c r="BU51" i="3"/>
  <c r="BT51" i="3"/>
  <c r="BS51" i="3"/>
  <c r="CP245" i="2" l="1"/>
  <c r="CJ3" i="9"/>
  <c r="CE3" i="9"/>
  <c r="CG3" i="9"/>
  <c r="CI3" i="9"/>
  <c r="CF3" i="9"/>
  <c r="CH3" i="9"/>
  <c r="BR199" i="2"/>
  <c r="BR212" i="2" s="1"/>
  <c r="BR223" i="2"/>
  <c r="CF92" i="9"/>
  <c r="CI124" i="9"/>
  <c r="CE125" i="9"/>
  <c r="CE124" i="9"/>
  <c r="BY25" i="4"/>
  <c r="BX25" i="4"/>
  <c r="CK29" i="4" s="1"/>
  <c r="CV98" i="9" s="1"/>
  <c r="CV22" i="9" s="1"/>
  <c r="BW25" i="4"/>
  <c r="CJ29" i="4" s="1"/>
  <c r="CU98" i="9" s="1"/>
  <c r="CU22" i="9" s="1"/>
  <c r="BV25" i="4"/>
  <c r="CI29" i="4" s="1"/>
  <c r="CT98" i="9" s="1"/>
  <c r="CT22" i="9" s="1"/>
  <c r="BU25" i="4"/>
  <c r="CH29" i="4" s="1"/>
  <c r="CS98" i="9" s="1"/>
  <c r="CS22" i="9" s="1"/>
  <c r="BX40" i="10"/>
  <c r="BW40" i="10"/>
  <c r="BV40" i="10"/>
  <c r="BU40" i="10"/>
  <c r="BT40" i="10"/>
  <c r="BS40" i="10"/>
  <c r="CL29" i="4" l="1"/>
  <c r="CW98" i="9" s="1"/>
  <c r="CW22" i="9" s="1"/>
  <c r="CL32" i="3"/>
  <c r="CL31" i="3" s="1"/>
  <c r="BR245" i="2"/>
  <c r="CQ199" i="2"/>
  <c r="CQ223" i="2"/>
  <c r="CE223" i="2" s="1"/>
  <c r="BR235" i="2"/>
  <c r="BX24" i="10"/>
  <c r="BW24" i="10"/>
  <c r="BV24" i="10"/>
  <c r="BU24" i="10"/>
  <c r="BT24" i="10"/>
  <c r="BS24" i="10"/>
  <c r="AB37" i="14"/>
  <c r="AB13" i="14" s="1"/>
  <c r="AB36" i="14"/>
  <c r="AB10" i="14" s="1"/>
  <c r="E5" i="21"/>
  <c r="CE40" i="10" l="1"/>
  <c r="CM29" i="4"/>
  <c r="CX98" i="9" s="1"/>
  <c r="CX22" i="9" s="1"/>
  <c r="CE34" i="3"/>
  <c r="CN32" i="3"/>
  <c r="CN31" i="3" s="1"/>
  <c r="CQ245" i="2"/>
  <c r="CE199" i="2"/>
  <c r="CE212" i="2" s="1"/>
  <c r="CE235" i="2"/>
  <c r="CE29" i="9"/>
  <c r="CE105" i="9" s="1"/>
  <c r="BT125" i="2"/>
  <c r="BX278" i="2"/>
  <c r="BW278" i="2"/>
  <c r="BV278" i="2"/>
  <c r="BT278" i="2"/>
  <c r="BX277" i="2"/>
  <c r="BW277" i="2"/>
  <c r="BV277" i="2"/>
  <c r="BU277" i="2"/>
  <c r="BT277" i="2"/>
  <c r="BX276" i="2"/>
  <c r="BW276" i="2"/>
  <c r="BV276" i="2"/>
  <c r="BU276" i="2"/>
  <c r="BT276" i="2"/>
  <c r="BX269" i="2"/>
  <c r="BW269" i="2"/>
  <c r="BV269" i="2"/>
  <c r="BU269" i="2"/>
  <c r="BT269" i="2"/>
  <c r="BS278" i="2"/>
  <c r="BS277" i="2"/>
  <c r="BS276" i="2"/>
  <c r="BS269" i="2"/>
  <c r="BX266" i="2"/>
  <c r="BX255" i="2" s="1"/>
  <c r="BW266" i="2"/>
  <c r="BW255" i="2" s="1"/>
  <c r="BV266" i="2"/>
  <c r="BV255" i="2" s="1"/>
  <c r="BU266" i="2"/>
  <c r="BU255" i="2" s="1"/>
  <c r="BT266" i="2"/>
  <c r="BT255" i="2" s="1"/>
  <c r="BX251" i="2"/>
  <c r="BW251" i="2"/>
  <c r="BV251" i="2"/>
  <c r="BU251" i="2"/>
  <c r="BT251" i="2"/>
  <c r="BX250" i="2"/>
  <c r="BW250" i="2"/>
  <c r="BV250" i="2"/>
  <c r="BU250" i="2"/>
  <c r="BT250" i="2"/>
  <c r="BX249" i="2"/>
  <c r="BW249" i="2"/>
  <c r="BV249" i="2"/>
  <c r="BU249" i="2"/>
  <c r="BT249" i="2"/>
  <c r="BX248" i="2"/>
  <c r="BW248" i="2"/>
  <c r="BV248" i="2"/>
  <c r="BU248" i="2"/>
  <c r="BT248" i="2"/>
  <c r="BX247" i="2"/>
  <c r="BW247" i="2"/>
  <c r="BV247" i="2"/>
  <c r="BU247" i="2"/>
  <c r="BT247" i="2"/>
  <c r="BX246" i="2"/>
  <c r="BX236" i="2" s="1"/>
  <c r="BW246" i="2"/>
  <c r="BW236" i="2" s="1"/>
  <c r="BV246" i="2"/>
  <c r="BV236" i="2" s="1"/>
  <c r="BU246" i="2"/>
  <c r="BU236" i="2" s="1"/>
  <c r="BT246" i="2"/>
  <c r="BT236" i="2" s="1"/>
  <c r="BX244" i="2"/>
  <c r="BW244" i="2"/>
  <c r="BV244" i="2"/>
  <c r="BU244" i="2"/>
  <c r="BT244" i="2"/>
  <c r="BX243" i="2"/>
  <c r="BW243" i="2"/>
  <c r="BV243" i="2"/>
  <c r="BU243" i="2"/>
  <c r="BT243" i="2"/>
  <c r="BS251" i="2"/>
  <c r="BS250" i="2"/>
  <c r="BS249" i="2"/>
  <c r="BS248" i="2"/>
  <c r="BS238" i="2" s="1"/>
  <c r="BS247" i="2"/>
  <c r="BS246" i="2"/>
  <c r="BS244" i="2"/>
  <c r="BS234" i="2" s="1"/>
  <c r="BS243" i="2"/>
  <c r="BX230" i="2"/>
  <c r="BW230" i="2"/>
  <c r="BV230" i="2"/>
  <c r="BU230" i="2"/>
  <c r="BT230" i="2"/>
  <c r="BX218" i="2"/>
  <c r="BW218" i="2"/>
  <c r="BV218" i="2"/>
  <c r="BU218" i="2"/>
  <c r="BT218" i="2"/>
  <c r="BX217" i="2"/>
  <c r="BW217" i="2"/>
  <c r="BV217" i="2"/>
  <c r="BU217" i="2"/>
  <c r="BT217" i="2"/>
  <c r="BX216" i="2"/>
  <c r="BW216" i="2"/>
  <c r="BV216" i="2"/>
  <c r="BU216" i="2"/>
  <c r="BT216" i="2"/>
  <c r="BW215" i="2"/>
  <c r="BV215" i="2"/>
  <c r="BU215" i="2"/>
  <c r="BT215" i="2"/>
  <c r="BX214" i="2"/>
  <c r="BW214" i="2"/>
  <c r="BV214" i="2"/>
  <c r="BU214" i="2"/>
  <c r="BT214" i="2"/>
  <c r="BX211" i="2"/>
  <c r="BW211" i="2"/>
  <c r="BV211" i="2"/>
  <c r="BU211" i="2"/>
  <c r="BT211" i="2"/>
  <c r="BX210" i="2"/>
  <c r="BW210" i="2"/>
  <c r="BV210" i="2"/>
  <c r="BU210" i="2"/>
  <c r="BT210" i="2"/>
  <c r="BS218" i="2"/>
  <c r="BS217" i="2"/>
  <c r="BS216" i="2"/>
  <c r="BS214" i="2"/>
  <c r="BS210" i="2"/>
  <c r="BX206" i="2"/>
  <c r="BW206" i="2"/>
  <c r="BV206" i="2"/>
  <c r="BU206" i="2"/>
  <c r="BT206" i="2"/>
  <c r="CD190" i="2"/>
  <c r="BX190" i="2"/>
  <c r="BW190" i="2"/>
  <c r="BV190" i="2"/>
  <c r="BU190" i="2"/>
  <c r="BT190" i="2"/>
  <c r="BS190" i="2"/>
  <c r="CD74" i="9"/>
  <c r="CD73" i="9"/>
  <c r="CD72" i="9"/>
  <c r="CD71" i="9"/>
  <c r="CD70" i="9"/>
  <c r="CD69" i="9"/>
  <c r="CD68" i="9"/>
  <c r="CD67" i="9"/>
  <c r="CD66" i="9"/>
  <c r="CP65" i="9"/>
  <c r="CO65" i="9"/>
  <c r="CN65" i="9"/>
  <c r="CM65" i="9"/>
  <c r="CL65" i="9"/>
  <c r="CK65" i="9"/>
  <c r="CJ65" i="9"/>
  <c r="CI65" i="9"/>
  <c r="CH65" i="9"/>
  <c r="CG65" i="9"/>
  <c r="CF65" i="9"/>
  <c r="CE65" i="9"/>
  <c r="CD64" i="9"/>
  <c r="CD62" i="9"/>
  <c r="CD61" i="9"/>
  <c r="CD60" i="9"/>
  <c r="CD59" i="9"/>
  <c r="CD58" i="9"/>
  <c r="CD57" i="9"/>
  <c r="CD56" i="9"/>
  <c r="CD55" i="9"/>
  <c r="CD54" i="9"/>
  <c r="CP53" i="9"/>
  <c r="CO53" i="9"/>
  <c r="CN53" i="9"/>
  <c r="CM53" i="9"/>
  <c r="CL53" i="9"/>
  <c r="CK53" i="9"/>
  <c r="CJ53" i="9"/>
  <c r="CI53" i="9"/>
  <c r="CH53" i="9"/>
  <c r="CG53" i="9"/>
  <c r="CF53" i="9"/>
  <c r="CE53" i="9"/>
  <c r="CN29" i="4" l="1"/>
  <c r="CY98" i="9" s="1"/>
  <c r="CY22" i="9" s="1"/>
  <c r="CF204" i="2"/>
  <c r="CG204" i="2"/>
  <c r="CF222" i="2"/>
  <c r="CH204" i="2"/>
  <c r="CI204" i="2"/>
  <c r="CJ204" i="2"/>
  <c r="CK204" i="2"/>
  <c r="BW237" i="2"/>
  <c r="CE245" i="2"/>
  <c r="BW240" i="2"/>
  <c r="BX234" i="2"/>
  <c r="BV240" i="2"/>
  <c r="BU240" i="2"/>
  <c r="BS240" i="2"/>
  <c r="BS241" i="2"/>
  <c r="BT240" i="2"/>
  <c r="BU237" i="2"/>
  <c r="BW233" i="2"/>
  <c r="BV233" i="2"/>
  <c r="BX238" i="2"/>
  <c r="BX233" i="2"/>
  <c r="BX237" i="2"/>
  <c r="BX240" i="2"/>
  <c r="BX239" i="2"/>
  <c r="BW241" i="2"/>
  <c r="BW238" i="2"/>
  <c r="BW234" i="2"/>
  <c r="BW239" i="2"/>
  <c r="BV241" i="2"/>
  <c r="BV238" i="2"/>
  <c r="BV237" i="2"/>
  <c r="BV239" i="2"/>
  <c r="BV234" i="2"/>
  <c r="BU234" i="2"/>
  <c r="BU241" i="2"/>
  <c r="BU238" i="2"/>
  <c r="BU239" i="2"/>
  <c r="CD65" i="9"/>
  <c r="BT241" i="2"/>
  <c r="BT238" i="2"/>
  <c r="BT234" i="2"/>
  <c r="BT233" i="2"/>
  <c r="BT239" i="2"/>
  <c r="BS236" i="2"/>
  <c r="BS239" i="2"/>
  <c r="BS237" i="2"/>
  <c r="BU233" i="2"/>
  <c r="BT237" i="2"/>
  <c r="BX241" i="2"/>
  <c r="BW242" i="2"/>
  <c r="BX242" i="2"/>
  <c r="BT242" i="2"/>
  <c r="BU242" i="2"/>
  <c r="BV242" i="2"/>
  <c r="BS233" i="2"/>
  <c r="CD53" i="9"/>
  <c r="CD25" i="9"/>
  <c r="CD24" i="9"/>
  <c r="DL24" i="9" l="1"/>
  <c r="DL25" i="9"/>
  <c r="D18" i="28"/>
  <c r="G18" i="28" s="1"/>
  <c r="D17" i="28"/>
  <c r="G17" i="28" s="1"/>
  <c r="CD100" i="9"/>
  <c r="DI24" i="9"/>
  <c r="CD101" i="9"/>
  <c r="DI25" i="9"/>
  <c r="CP32" i="3"/>
  <c r="CP31" i="3" s="1"/>
  <c r="CG222" i="2"/>
  <c r="CG244" i="2" s="1"/>
  <c r="CM204" i="2"/>
  <c r="CK227" i="2"/>
  <c r="CK249" i="2" s="1"/>
  <c r="CH228" i="2"/>
  <c r="CH250" i="2" s="1"/>
  <c r="CK228" i="2"/>
  <c r="CK250" i="2" s="1"/>
  <c r="CI228" i="2"/>
  <c r="CI250" i="2" s="1"/>
  <c r="CK225" i="2"/>
  <c r="CK247" i="2" s="1"/>
  <c r="CG228" i="2"/>
  <c r="CG250" i="2" s="1"/>
  <c r="CK222" i="2"/>
  <c r="CJ228" i="2"/>
  <c r="CJ250" i="2" s="1"/>
  <c r="CF228" i="2"/>
  <c r="CG225" i="2"/>
  <c r="CG247" i="2" s="1"/>
  <c r="CJ225" i="2"/>
  <c r="CI222" i="2"/>
  <c r="CI225" i="2"/>
  <c r="CI247" i="2" s="1"/>
  <c r="CF225" i="2"/>
  <c r="CF247" i="2" s="1"/>
  <c r="CH225" i="2"/>
  <c r="CH247" i="2" s="1"/>
  <c r="CH222" i="2"/>
  <c r="CJ227" i="2"/>
  <c r="CJ249" i="2" s="1"/>
  <c r="CH227" i="2"/>
  <c r="CH249" i="2" s="1"/>
  <c r="CI227" i="2"/>
  <c r="CI249" i="2" s="1"/>
  <c r="CF227" i="2"/>
  <c r="CG227" i="2"/>
  <c r="CJ222" i="2"/>
  <c r="D13" i="14"/>
  <c r="DI101" i="9" l="1"/>
  <c r="DI100" i="9"/>
  <c r="CE35" i="3"/>
  <c r="CF249" i="2"/>
  <c r="CI244" i="2"/>
  <c r="CK244" i="2"/>
  <c r="CN204" i="2"/>
  <c r="CM227" i="2"/>
  <c r="CM249" i="2" s="1"/>
  <c r="CH244" i="2"/>
  <c r="CM228" i="2"/>
  <c r="CM250" i="2" s="1"/>
  <c r="CF250" i="2"/>
  <c r="CM222" i="2"/>
  <c r="CM244" i="2" s="1"/>
  <c r="CJ244" i="2"/>
  <c r="CL204" i="2"/>
  <c r="CJ247" i="2"/>
  <c r="CO204" i="2"/>
  <c r="CM225" i="2"/>
  <c r="CM247" i="2" s="1"/>
  <c r="CG249" i="2"/>
  <c r="BE28" i="4"/>
  <c r="BD28" i="4"/>
  <c r="BC28" i="4"/>
  <c r="BB28" i="4"/>
  <c r="BA28" i="4"/>
  <c r="AZ28" i="4"/>
  <c r="AY28" i="4"/>
  <c r="AX28" i="4"/>
  <c r="AW28" i="4"/>
  <c r="AV28" i="4"/>
  <c r="AU28" i="4"/>
  <c r="AT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E28" i="4"/>
  <c r="AD28" i="4"/>
  <c r="AC28" i="4"/>
  <c r="AB28" i="4"/>
  <c r="AA28" i="4"/>
  <c r="Z28" i="4"/>
  <c r="Y28" i="4"/>
  <c r="X28" i="4"/>
  <c r="W28" i="4"/>
  <c r="V28" i="4"/>
  <c r="U28" i="4"/>
  <c r="T28" i="4"/>
  <c r="R28" i="4"/>
  <c r="Q28" i="4"/>
  <c r="P28" i="4"/>
  <c r="O28" i="4"/>
  <c r="N28" i="4"/>
  <c r="M28" i="4"/>
  <c r="L28" i="4"/>
  <c r="K28" i="4"/>
  <c r="J28" i="4"/>
  <c r="I28" i="4"/>
  <c r="H28" i="4"/>
  <c r="G28" i="4"/>
  <c r="CB37" i="13"/>
  <c r="CP17" i="9" s="1"/>
  <c r="CA37" i="13"/>
  <c r="CO17" i="9" s="1"/>
  <c r="BZ37" i="13"/>
  <c r="CN17" i="9" s="1"/>
  <c r="BY37" i="13"/>
  <c r="CM17" i="9" s="1"/>
  <c r="BX37" i="13"/>
  <c r="CL17" i="9" s="1"/>
  <c r="BW37" i="13"/>
  <c r="CK17" i="9" s="1"/>
  <c r="BV37" i="13"/>
  <c r="CJ17" i="9" s="1"/>
  <c r="BU37" i="13"/>
  <c r="CI17" i="9" s="1"/>
  <c r="BT37" i="13"/>
  <c r="CH17" i="9" s="1"/>
  <c r="BS37" i="13"/>
  <c r="CG17" i="9" s="1"/>
  <c r="BR37" i="13"/>
  <c r="CF17" i="9" s="1"/>
  <c r="BQ37" i="13"/>
  <c r="CE17" i="9" s="1"/>
  <c r="BO37" i="13"/>
  <c r="BN37" i="13"/>
  <c r="BM37" i="13"/>
  <c r="BL37" i="13"/>
  <c r="BK37" i="13"/>
  <c r="BJ37" i="13"/>
  <c r="BI37" i="13"/>
  <c r="BH37" i="13"/>
  <c r="BG37" i="13"/>
  <c r="BF37" i="13"/>
  <c r="BE37" i="13"/>
  <c r="BD37" i="13"/>
  <c r="BB37" i="13"/>
  <c r="BA37" i="13"/>
  <c r="AZ37" i="13"/>
  <c r="AY37" i="13"/>
  <c r="AX37" i="13"/>
  <c r="AW37" i="13"/>
  <c r="AV37" i="13"/>
  <c r="AU37" i="13"/>
  <c r="AT37" i="13"/>
  <c r="AS37" i="13"/>
  <c r="AR37" i="13"/>
  <c r="AQ37" i="13"/>
  <c r="AO37" i="13"/>
  <c r="AN37" i="13"/>
  <c r="AM37" i="13"/>
  <c r="AL37" i="13"/>
  <c r="AK37" i="13"/>
  <c r="AJ37" i="13"/>
  <c r="AI37" i="13"/>
  <c r="AH37" i="13"/>
  <c r="AG37" i="13"/>
  <c r="AF37" i="13"/>
  <c r="AE37" i="13"/>
  <c r="AD37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N37" i="13"/>
  <c r="M37" i="13"/>
  <c r="L37" i="13"/>
  <c r="K37" i="13"/>
  <c r="J37" i="13"/>
  <c r="I37" i="13"/>
  <c r="H37" i="13"/>
  <c r="F37" i="13"/>
  <c r="E37" i="13"/>
  <c r="D37" i="13"/>
  <c r="BP36" i="13"/>
  <c r="BE74" i="3"/>
  <c r="BF32" i="3"/>
  <c r="CN222" i="2" l="1"/>
  <c r="CN244" i="2" s="1"/>
  <c r="CO222" i="2"/>
  <c r="CO244" i="2" s="1"/>
  <c r="CN228" i="2"/>
  <c r="CN250" i="2" s="1"/>
  <c r="CN225" i="2"/>
  <c r="CN247" i="2" s="1"/>
  <c r="CO227" i="2"/>
  <c r="CO249" i="2" s="1"/>
  <c r="CP204" i="2"/>
  <c r="CL222" i="2"/>
  <c r="CO228" i="2"/>
  <c r="CO250" i="2" s="1"/>
  <c r="CL227" i="2"/>
  <c r="CL249" i="2" s="1"/>
  <c r="CL228" i="2"/>
  <c r="CL225" i="2"/>
  <c r="CP227" i="2"/>
  <c r="CN227" i="2"/>
  <c r="CN249" i="2" s="1"/>
  <c r="CO225" i="2"/>
  <c r="CO247" i="2" s="1"/>
  <c r="CD17" i="9"/>
  <c r="BF116" i="2"/>
  <c r="BR16" i="9" s="1"/>
  <c r="BE127" i="2"/>
  <c r="E22" i="24" l="1"/>
  <c r="D10" i="28"/>
  <c r="CL244" i="2"/>
  <c r="CP222" i="2"/>
  <c r="CP244" i="2" s="1"/>
  <c r="CP249" i="2"/>
  <c r="CL247" i="2"/>
  <c r="CP228" i="2"/>
  <c r="CP250" i="2" s="1"/>
  <c r="CL250" i="2"/>
  <c r="CE203" i="2"/>
  <c r="CE216" i="2" s="1"/>
  <c r="CP225" i="2"/>
  <c r="CP247" i="2" s="1"/>
  <c r="BS111" i="2"/>
  <c r="CE201" i="2" l="1"/>
  <c r="CE214" i="2" s="1"/>
  <c r="CQ204" i="2"/>
  <c r="CE204" i="2" s="1"/>
  <c r="CE217" i="2" s="1"/>
  <c r="CQ227" i="2"/>
  <c r="CE227" i="2" s="1"/>
  <c r="BX33" i="5"/>
  <c r="BW33" i="5"/>
  <c r="BV33" i="5"/>
  <c r="BU33" i="5"/>
  <c r="BT33" i="5"/>
  <c r="BS33" i="5"/>
  <c r="CQ249" i="2" l="1"/>
  <c r="CQ228" i="2"/>
  <c r="CE239" i="2"/>
  <c r="CE249" i="2"/>
  <c r="CQ222" i="2"/>
  <c r="CQ225" i="2"/>
  <c r="Q100" i="9"/>
  <c r="AD100" i="9"/>
  <c r="Q24" i="9"/>
  <c r="AD24" i="9"/>
  <c r="CQ247" i="2" l="1"/>
  <c r="CE225" i="2"/>
  <c r="CG218" i="2"/>
  <c r="CQ250" i="2"/>
  <c r="CE228" i="2"/>
  <c r="CQ244" i="2"/>
  <c r="CE222" i="2"/>
  <c r="CE234" i="2" s="1"/>
  <c r="CG238" i="2"/>
  <c r="CF226" i="2"/>
  <c r="CD19" i="10"/>
  <c r="CC19" i="10"/>
  <c r="CB19" i="10"/>
  <c r="CA19" i="10"/>
  <c r="BZ19" i="10"/>
  <c r="BY19" i="10"/>
  <c r="BX19" i="10"/>
  <c r="BW19" i="10"/>
  <c r="BV19" i="10"/>
  <c r="BU19" i="10"/>
  <c r="BT19" i="10"/>
  <c r="BS19" i="10"/>
  <c r="BR26" i="10"/>
  <c r="CG241" i="2" l="1"/>
  <c r="CF229" i="2"/>
  <c r="CE240" i="2"/>
  <c r="CE250" i="2"/>
  <c r="CE237" i="2"/>
  <c r="CE247" i="2"/>
  <c r="CH218" i="2"/>
  <c r="CG226" i="2"/>
  <c r="CH238" i="2"/>
  <c r="BR19" i="10"/>
  <c r="BR25" i="10"/>
  <c r="BR17" i="10"/>
  <c r="BR12" i="10"/>
  <c r="BR15" i="10"/>
  <c r="BR14" i="10"/>
  <c r="CH226" i="2" l="1"/>
  <c r="CI238" i="2"/>
  <c r="CI218" i="2"/>
  <c r="CF251" i="2"/>
  <c r="CG229" i="2"/>
  <c r="CG251" i="2" s="1"/>
  <c r="CH241" i="2"/>
  <c r="BR50" i="10"/>
  <c r="BR38" i="10"/>
  <c r="BR18" i="10"/>
  <c r="BR13" i="10"/>
  <c r="BR11" i="10"/>
  <c r="R44" i="11"/>
  <c r="AE44" i="11"/>
  <c r="AR44" i="11"/>
  <c r="BE44" i="11"/>
  <c r="BR44" i="11"/>
  <c r="AE45" i="11"/>
  <c r="AR45" i="11"/>
  <c r="BE45" i="11"/>
  <c r="BR45" i="11"/>
  <c r="S50" i="11"/>
  <c r="T50" i="11"/>
  <c r="V50" i="11"/>
  <c r="W50" i="11"/>
  <c r="Y50" i="11"/>
  <c r="Z50" i="11"/>
  <c r="AB50" i="11"/>
  <c r="AC50" i="11"/>
  <c r="AF50" i="11"/>
  <c r="AG50" i="11"/>
  <c r="AI50" i="11"/>
  <c r="AJ50" i="11"/>
  <c r="AL50" i="11"/>
  <c r="AM50" i="11"/>
  <c r="AO50" i="11"/>
  <c r="AP50" i="11"/>
  <c r="AO51" i="11"/>
  <c r="AP51" i="11"/>
  <c r="H53" i="11"/>
  <c r="H50" i="11" s="1"/>
  <c r="K53" i="11"/>
  <c r="K50" i="11" s="1"/>
  <c r="Q53" i="11"/>
  <c r="Q50" i="11" s="1"/>
  <c r="U53" i="11"/>
  <c r="U50" i="11" s="1"/>
  <c r="X53" i="11"/>
  <c r="X50" i="11" s="1"/>
  <c r="AA53" i="11"/>
  <c r="AA50" i="11" s="1"/>
  <c r="AD53" i="11"/>
  <c r="AD50" i="11" s="1"/>
  <c r="AH53" i="11"/>
  <c r="AH50" i="11" s="1"/>
  <c r="AK53" i="11"/>
  <c r="AK50" i="11" s="1"/>
  <c r="AN53" i="11"/>
  <c r="AN50" i="11" s="1"/>
  <c r="AQ53" i="11"/>
  <c r="AQ50" i="11" s="1"/>
  <c r="AN56" i="11"/>
  <c r="AN51" i="11" s="1"/>
  <c r="AQ56" i="11"/>
  <c r="AQ51" i="11" s="1"/>
  <c r="H57" i="11"/>
  <c r="H51" i="11" s="1"/>
  <c r="K57" i="11"/>
  <c r="K51" i="11" s="1"/>
  <c r="Q57" i="11"/>
  <c r="Q51" i="11" s="1"/>
  <c r="U57" i="11"/>
  <c r="U51" i="11" s="1"/>
  <c r="X57" i="11"/>
  <c r="X51" i="11" s="1"/>
  <c r="AA57" i="11"/>
  <c r="AA51" i="11" s="1"/>
  <c r="AD57" i="11"/>
  <c r="AD51" i="11" s="1"/>
  <c r="AH57" i="11"/>
  <c r="AH51" i="11" s="1"/>
  <c r="AK57" i="11"/>
  <c r="AK51" i="11" s="1"/>
  <c r="AR58" i="11"/>
  <c r="AS59" i="11"/>
  <c r="AS60" i="11" s="1"/>
  <c r="AT59" i="11"/>
  <c r="AU59" i="11"/>
  <c r="AU60" i="11" s="1"/>
  <c r="AV59" i="11"/>
  <c r="AW59" i="11"/>
  <c r="AX59" i="11"/>
  <c r="AY59" i="11"/>
  <c r="AZ59" i="11"/>
  <c r="BA59" i="11"/>
  <c r="BB59" i="11"/>
  <c r="BC59" i="11"/>
  <c r="BD59" i="11"/>
  <c r="BF59" i="11"/>
  <c r="BF58" i="11" s="1"/>
  <c r="BF60" i="11" s="1"/>
  <c r="BF61" i="11" s="1"/>
  <c r="BF50" i="11" s="1"/>
  <c r="BG59" i="11"/>
  <c r="BG58" i="11" s="1"/>
  <c r="BG60" i="11" s="1"/>
  <c r="BG61" i="11" s="1"/>
  <c r="BG50" i="11" s="1"/>
  <c r="BH59" i="11"/>
  <c r="BI59" i="11"/>
  <c r="BJ59" i="11"/>
  <c r="BK59" i="11"/>
  <c r="BK60" i="11" s="1"/>
  <c r="BK61" i="11" s="1"/>
  <c r="BK50" i="11" s="1"/>
  <c r="BL59" i="11"/>
  <c r="BL58" i="11" s="1"/>
  <c r="BL60" i="11" s="1"/>
  <c r="BM59" i="11"/>
  <c r="BM58" i="11" s="1"/>
  <c r="BM60" i="11" s="1"/>
  <c r="BN59" i="11"/>
  <c r="BO59" i="11"/>
  <c r="BO58" i="11" s="1"/>
  <c r="BO60" i="11" s="1"/>
  <c r="BP59" i="11"/>
  <c r="BQ59" i="11"/>
  <c r="BQ60" i="11" s="1"/>
  <c r="BQ61" i="11" s="1"/>
  <c r="BQ50" i="11" s="1"/>
  <c r="G60" i="11"/>
  <c r="H60" i="11"/>
  <c r="I60" i="11"/>
  <c r="J60" i="11"/>
  <c r="K60" i="11"/>
  <c r="L60" i="11"/>
  <c r="M60" i="11"/>
  <c r="N60" i="11"/>
  <c r="O60" i="11"/>
  <c r="P60" i="11"/>
  <c r="Q60" i="11"/>
  <c r="AV60" i="11"/>
  <c r="AV61" i="11" s="1"/>
  <c r="AV50" i="11" s="1"/>
  <c r="AW60" i="11"/>
  <c r="AW61" i="11" s="1"/>
  <c r="AW50" i="11" s="1"/>
  <c r="AX60" i="11"/>
  <c r="AX61" i="11" s="1"/>
  <c r="AX50" i="11" s="1"/>
  <c r="AY60" i="11"/>
  <c r="AY61" i="11" s="1"/>
  <c r="AY50" i="11" s="1"/>
  <c r="AZ60" i="11"/>
  <c r="AZ61" i="11" s="1"/>
  <c r="AZ50" i="11" s="1"/>
  <c r="BA60" i="11"/>
  <c r="BA61" i="11" s="1"/>
  <c r="BA50" i="11" s="1"/>
  <c r="BB60" i="11"/>
  <c r="BB61" i="11" s="1"/>
  <c r="BB50" i="11" s="1"/>
  <c r="BC60" i="11"/>
  <c r="BC61" i="11" s="1"/>
  <c r="BC50" i="11" s="1"/>
  <c r="BD60" i="11"/>
  <c r="BD61" i="11" s="1"/>
  <c r="BD50" i="11" s="1"/>
  <c r="BN60" i="11"/>
  <c r="BN61" i="11" s="1"/>
  <c r="BN50" i="11" s="1"/>
  <c r="G62" i="11"/>
  <c r="H62" i="11"/>
  <c r="I62" i="11"/>
  <c r="J62" i="11"/>
  <c r="K62" i="11"/>
  <c r="L62" i="11"/>
  <c r="M62" i="11"/>
  <c r="N62" i="11"/>
  <c r="O62" i="11"/>
  <c r="P62" i="11"/>
  <c r="Q62" i="11"/>
  <c r="AV62" i="11"/>
  <c r="AV63" i="11" s="1"/>
  <c r="G63" i="11"/>
  <c r="H63" i="11"/>
  <c r="I63" i="11"/>
  <c r="J63" i="11"/>
  <c r="K63" i="11"/>
  <c r="L63" i="11"/>
  <c r="M63" i="11"/>
  <c r="N63" i="11"/>
  <c r="O63" i="11"/>
  <c r="P63" i="11"/>
  <c r="Q63" i="11"/>
  <c r="BD65" i="11"/>
  <c r="BD67" i="11" s="1"/>
  <c r="AS66" i="11"/>
  <c r="AS67" i="11" s="1"/>
  <c r="AS68" i="11" s="1"/>
  <c r="AS51" i="11" s="1"/>
  <c r="AT66" i="11"/>
  <c r="AT67" i="11" s="1"/>
  <c r="AT68" i="11" s="1"/>
  <c r="AT51" i="11" s="1"/>
  <c r="AU66" i="11"/>
  <c r="AU67" i="11" s="1"/>
  <c r="AU69" i="11" s="1"/>
  <c r="AU70" i="11" s="1"/>
  <c r="AV66" i="11"/>
  <c r="AV67" i="11" s="1"/>
  <c r="AW66" i="11"/>
  <c r="AW67" i="11" s="1"/>
  <c r="AW68" i="11" s="1"/>
  <c r="AW51" i="11" s="1"/>
  <c r="AX66" i="11"/>
  <c r="AY66" i="11"/>
  <c r="AY67" i="11" s="1"/>
  <c r="AY68" i="11" s="1"/>
  <c r="AY51" i="11" s="1"/>
  <c r="AZ66" i="11"/>
  <c r="BA66" i="11"/>
  <c r="BB66" i="11"/>
  <c r="BB67" i="11" s="1"/>
  <c r="BB68" i="11" s="1"/>
  <c r="BB51" i="11" s="1"/>
  <c r="BC66" i="11"/>
  <c r="BC67" i="11" s="1"/>
  <c r="BC68" i="11" s="1"/>
  <c r="BC51" i="11" s="1"/>
  <c r="BD66" i="11"/>
  <c r="BF66" i="11"/>
  <c r="BF65" i="11" s="1"/>
  <c r="BF67" i="11" s="1"/>
  <c r="BF68" i="11" s="1"/>
  <c r="BF51" i="11" s="1"/>
  <c r="BG66" i="11"/>
  <c r="BG65" i="11" s="1"/>
  <c r="BG67" i="11" s="1"/>
  <c r="BH66" i="11"/>
  <c r="BH65" i="11" s="1"/>
  <c r="BI66" i="11"/>
  <c r="BJ66" i="11"/>
  <c r="BJ65" i="11" s="1"/>
  <c r="BJ67" i="11" s="1"/>
  <c r="BK66" i="11"/>
  <c r="BL66" i="11"/>
  <c r="BL65" i="11" s="1"/>
  <c r="BL67" i="11" s="1"/>
  <c r="BM66" i="11"/>
  <c r="BM65" i="11" s="1"/>
  <c r="BN66" i="11"/>
  <c r="BO66" i="11"/>
  <c r="BO65" i="11" s="1"/>
  <c r="BP66" i="11"/>
  <c r="BQ66" i="11"/>
  <c r="BJ68" i="11"/>
  <c r="BJ51" i="11" s="1"/>
  <c r="CD41" i="11"/>
  <c r="CC41" i="11"/>
  <c r="CB41" i="11"/>
  <c r="CA41" i="11"/>
  <c r="BZ41" i="11"/>
  <c r="BY41" i="11"/>
  <c r="BX41" i="11"/>
  <c r="BW41" i="11"/>
  <c r="BV41" i="11"/>
  <c r="BU41" i="11"/>
  <c r="BT41" i="11"/>
  <c r="BS41" i="11"/>
  <c r="CD40" i="11"/>
  <c r="CD54" i="11" s="1"/>
  <c r="CC40" i="11"/>
  <c r="CC54" i="11" s="1"/>
  <c r="CB40" i="11"/>
  <c r="CB54" i="11" s="1"/>
  <c r="CA40" i="11"/>
  <c r="CA54" i="11" s="1"/>
  <c r="BZ40" i="11"/>
  <c r="BZ54" i="11" s="1"/>
  <c r="BY40" i="11"/>
  <c r="BY54" i="11" s="1"/>
  <c r="BX40" i="11"/>
  <c r="BX54" i="11" s="1"/>
  <c r="BW40" i="11"/>
  <c r="BW54" i="11" s="1"/>
  <c r="BV40" i="11"/>
  <c r="BV54" i="11" s="1"/>
  <c r="BU40" i="11"/>
  <c r="BU54" i="11" s="1"/>
  <c r="BT40" i="11"/>
  <c r="BT54" i="11" s="1"/>
  <c r="BS40" i="11"/>
  <c r="BR39" i="11"/>
  <c r="BR35" i="11"/>
  <c r="BR34" i="11"/>
  <c r="BR28" i="11"/>
  <c r="BR27" i="11"/>
  <c r="BR21" i="11"/>
  <c r="BR20" i="11"/>
  <c r="BR14" i="11"/>
  <c r="BR13" i="11"/>
  <c r="BR7" i="11"/>
  <c r="BR6" i="11"/>
  <c r="CB50" i="13"/>
  <c r="CA50" i="13"/>
  <c r="BZ50" i="13"/>
  <c r="BY50" i="13"/>
  <c r="BX50" i="13"/>
  <c r="BW50" i="13"/>
  <c r="BV50" i="13"/>
  <c r="BU50" i="13"/>
  <c r="BT50" i="13"/>
  <c r="BS50" i="13"/>
  <c r="BR50" i="13"/>
  <c r="BQ50" i="13"/>
  <c r="BQ52" i="13" s="1"/>
  <c r="BQ54" i="13" s="1"/>
  <c r="CD45" i="5"/>
  <c r="CC45" i="5"/>
  <c r="CB45" i="5"/>
  <c r="CA45" i="5"/>
  <c r="BZ45" i="5"/>
  <c r="BY45" i="5"/>
  <c r="BX45" i="5"/>
  <c r="BX46" i="5" s="1"/>
  <c r="BW45" i="5"/>
  <c r="BW46" i="5" s="1"/>
  <c r="BV45" i="5"/>
  <c r="BV46" i="5" s="1"/>
  <c r="BU45" i="5"/>
  <c r="BU46" i="5" s="1"/>
  <c r="BT45" i="5"/>
  <c r="BT46" i="5" s="1"/>
  <c r="BS45" i="5"/>
  <c r="BS46" i="5" s="1"/>
  <c r="BY46" i="5" s="1"/>
  <c r="BZ46" i="5" s="1"/>
  <c r="CA46" i="5" s="1"/>
  <c r="CB46" i="5" s="1"/>
  <c r="CC46" i="5" s="1"/>
  <c r="CF46" i="5" s="1"/>
  <c r="BR30" i="5"/>
  <c r="BS25" i="5"/>
  <c r="CE33" i="9" s="1"/>
  <c r="BS23" i="5"/>
  <c r="BS21" i="5"/>
  <c r="BR20" i="5"/>
  <c r="BR19" i="5"/>
  <c r="BR18" i="5"/>
  <c r="BS15" i="5"/>
  <c r="BT15" i="5" s="1"/>
  <c r="BU15" i="5" s="1"/>
  <c r="BV15" i="5" s="1"/>
  <c r="BW15" i="5" s="1"/>
  <c r="BX15" i="5" s="1"/>
  <c r="BY15" i="5" s="1"/>
  <c r="BZ15" i="5" s="1"/>
  <c r="CA15" i="5" s="1"/>
  <c r="CB15" i="5" s="1"/>
  <c r="CC15" i="5" s="1"/>
  <c r="CD15" i="5" s="1"/>
  <c r="CF15" i="5" s="1"/>
  <c r="BS14" i="5"/>
  <c r="BT14" i="5" s="1"/>
  <c r="BU14" i="5" s="1"/>
  <c r="BS13" i="5"/>
  <c r="BT13" i="5" s="1"/>
  <c r="BU13" i="5" s="1"/>
  <c r="BV13" i="5" s="1"/>
  <c r="BW13" i="5" s="1"/>
  <c r="BX13" i="5" s="1"/>
  <c r="BY13" i="5" s="1"/>
  <c r="BZ13" i="5" s="1"/>
  <c r="CA13" i="5" s="1"/>
  <c r="CB13" i="5" s="1"/>
  <c r="CC13" i="5" s="1"/>
  <c r="CD13" i="5" s="1"/>
  <c r="CF13" i="5" s="1"/>
  <c r="BR9" i="5"/>
  <c r="BR8" i="5"/>
  <c r="BR7" i="5"/>
  <c r="CD6" i="5"/>
  <c r="CC6" i="5"/>
  <c r="CB6" i="5"/>
  <c r="CA6" i="5"/>
  <c r="BZ6" i="5"/>
  <c r="BY6" i="5"/>
  <c r="BX6" i="5"/>
  <c r="BW6" i="5"/>
  <c r="BV6" i="5"/>
  <c r="BU6" i="5"/>
  <c r="BT6" i="5"/>
  <c r="BS6" i="5"/>
  <c r="BS36" i="5" s="1"/>
  <c r="BS34" i="4"/>
  <c r="BS32" i="4"/>
  <c r="BS27" i="4"/>
  <c r="BS23" i="4"/>
  <c r="BS22" i="4"/>
  <c r="BS21" i="4"/>
  <c r="BS20" i="4"/>
  <c r="BS19" i="4"/>
  <c r="BT13" i="4"/>
  <c r="BU13" i="4" s="1"/>
  <c r="BS9" i="4"/>
  <c r="AZ62" i="11" l="1"/>
  <c r="AZ63" i="11" s="1"/>
  <c r="BB62" i="11"/>
  <c r="BB63" i="11" s="1"/>
  <c r="BA62" i="11"/>
  <c r="BA63" i="11" s="1"/>
  <c r="AY62" i="11"/>
  <c r="AY63" i="11" s="1"/>
  <c r="CE48" i="4"/>
  <c r="CD24" i="5"/>
  <c r="E24" i="24"/>
  <c r="H24" i="24" s="1"/>
  <c r="E25" i="24"/>
  <c r="AU61" i="11"/>
  <c r="AU50" i="11" s="1"/>
  <c r="AU62" i="11"/>
  <c r="AU63" i="11" s="1"/>
  <c r="BM67" i="11"/>
  <c r="BM69" i="11" s="1"/>
  <c r="BM70" i="11" s="1"/>
  <c r="BN65" i="11"/>
  <c r="BN67" i="11" s="1"/>
  <c r="AX62" i="11"/>
  <c r="AX63" i="11" s="1"/>
  <c r="CG46" i="5"/>
  <c r="CG13" i="5"/>
  <c r="CH13" i="5" s="1"/>
  <c r="CI13" i="5" s="1"/>
  <c r="CJ13" i="5" s="1"/>
  <c r="CK13" i="5" s="1"/>
  <c r="CL13" i="5" s="1"/>
  <c r="CM13" i="5" s="1"/>
  <c r="CN13" i="5" s="1"/>
  <c r="CO13" i="5" s="1"/>
  <c r="CP13" i="5" s="1"/>
  <c r="CQ13" i="5" s="1"/>
  <c r="CG15" i="5"/>
  <c r="CH15" i="5" s="1"/>
  <c r="CI15" i="5" s="1"/>
  <c r="CJ15" i="5" s="1"/>
  <c r="CK15" i="5" s="1"/>
  <c r="CL15" i="5" s="1"/>
  <c r="CM15" i="5" s="1"/>
  <c r="CN15" i="5" s="1"/>
  <c r="CO15" i="5" s="1"/>
  <c r="CP15" i="5" s="1"/>
  <c r="CQ15" i="5" s="1"/>
  <c r="BT35" i="5"/>
  <c r="BT36" i="5"/>
  <c r="BU35" i="5"/>
  <c r="BU36" i="5"/>
  <c r="BV35" i="5"/>
  <c r="BV36" i="5"/>
  <c r="BW35" i="5"/>
  <c r="BW36" i="5"/>
  <c r="BX35" i="5"/>
  <c r="BX36" i="5"/>
  <c r="CN16" i="9"/>
  <c r="CN92" i="9" s="1"/>
  <c r="CO16" i="9"/>
  <c r="CO92" i="9" s="1"/>
  <c r="CM16" i="9"/>
  <c r="CM92" i="9" s="1"/>
  <c r="BT48" i="4"/>
  <c r="BS35" i="5"/>
  <c r="BT10" i="5"/>
  <c r="BU10" i="5"/>
  <c r="BV10" i="5"/>
  <c r="BW10" i="5"/>
  <c r="CI241" i="2"/>
  <c r="CH229" i="2"/>
  <c r="CH251" i="2" s="1"/>
  <c r="CJ218" i="2"/>
  <c r="CI226" i="2"/>
  <c r="CJ238" i="2"/>
  <c r="CC10" i="5"/>
  <c r="CD10" i="5"/>
  <c r="BZ10" i="5"/>
  <c r="CL16" i="9"/>
  <c r="CL92" i="9" s="1"/>
  <c r="CA10" i="5"/>
  <c r="CB10" i="5"/>
  <c r="BY10" i="5"/>
  <c r="BX10" i="5"/>
  <c r="BT14" i="4"/>
  <c r="BT47" i="4" s="1"/>
  <c r="BS10" i="5"/>
  <c r="BD62" i="11"/>
  <c r="BD63" i="11" s="1"/>
  <c r="BC62" i="11"/>
  <c r="BC63" i="11" s="1"/>
  <c r="AW69" i="11"/>
  <c r="AW70" i="11" s="1"/>
  <c r="BC69" i="11"/>
  <c r="BC70" i="11" s="1"/>
  <c r="BR47" i="11"/>
  <c r="BT38" i="4"/>
  <c r="BU14" i="4"/>
  <c r="BU47" i="4" s="1"/>
  <c r="BQ62" i="11"/>
  <c r="BQ63" i="11" s="1"/>
  <c r="AT69" i="11"/>
  <c r="AT70" i="11" s="1"/>
  <c r="BN62" i="11"/>
  <c r="BN63" i="11" s="1"/>
  <c r="AW62" i="11"/>
  <c r="AW63" i="11" s="1"/>
  <c r="BH60" i="11"/>
  <c r="BH61" i="11" s="1"/>
  <c r="BH50" i="11" s="1"/>
  <c r="AS61" i="11"/>
  <c r="BO61" i="11"/>
  <c r="BO50" i="11" s="1"/>
  <c r="BO62" i="11"/>
  <c r="BO63" i="11" s="1"/>
  <c r="BR48" i="11"/>
  <c r="BA65" i="11"/>
  <c r="AR65" i="11" s="1"/>
  <c r="BD68" i="11"/>
  <c r="BD51" i="11" s="1"/>
  <c r="BD69" i="11"/>
  <c r="BD70" i="11" s="1"/>
  <c r="BK62" i="11"/>
  <c r="BK63" i="11" s="1"/>
  <c r="BJ58" i="11"/>
  <c r="BJ60" i="11" s="1"/>
  <c r="AR66" i="11"/>
  <c r="BL61" i="11"/>
  <c r="BL50" i="11" s="1"/>
  <c r="BL62" i="11"/>
  <c r="BL63" i="11" s="1"/>
  <c r="BK69" i="11"/>
  <c r="BK70" i="11" s="1"/>
  <c r="BH69" i="11"/>
  <c r="BH70" i="11" s="1"/>
  <c r="AV69" i="11"/>
  <c r="AV70" i="11" s="1"/>
  <c r="AV68" i="11"/>
  <c r="AV51" i="11" s="1"/>
  <c r="BF69" i="11"/>
  <c r="BF70" i="11" s="1"/>
  <c r="AT60" i="11"/>
  <c r="AT61" i="11" s="1"/>
  <c r="AT50" i="11" s="1"/>
  <c r="BL69" i="11"/>
  <c r="BL70" i="11" s="1"/>
  <c r="BL68" i="11"/>
  <c r="BL51" i="11" s="1"/>
  <c r="BR54" i="11"/>
  <c r="BB69" i="11"/>
  <c r="BB70" i="11" s="1"/>
  <c r="AS62" i="11"/>
  <c r="AR59" i="11"/>
  <c r="BM61" i="11"/>
  <c r="BM50" i="11" s="1"/>
  <c r="BM62" i="11"/>
  <c r="BM63" i="11" s="1"/>
  <c r="BG69" i="11"/>
  <c r="BG70" i="11" s="1"/>
  <c r="BG68" i="11"/>
  <c r="BG51" i="11" s="1"/>
  <c r="BI58" i="11"/>
  <c r="BI60" i="11" s="1"/>
  <c r="BI61" i="11" s="1"/>
  <c r="BI50" i="11" s="1"/>
  <c r="AY69" i="11"/>
  <c r="AY70" i="11" s="1"/>
  <c r="BJ69" i="11"/>
  <c r="BJ70" i="11" s="1"/>
  <c r="AU68" i="11"/>
  <c r="AU51" i="11" s="1"/>
  <c r="BG62" i="11"/>
  <c r="BG63" i="11" s="1"/>
  <c r="BP58" i="11"/>
  <c r="BP60" i="11" s="1"/>
  <c r="AS69" i="11"/>
  <c r="AZ67" i="11"/>
  <c r="AZ68" i="11" s="1"/>
  <c r="AZ51" i="11" s="1"/>
  <c r="BK65" i="11"/>
  <c r="BK67" i="11" s="1"/>
  <c r="BK68" i="11" s="1"/>
  <c r="BK51" i="11" s="1"/>
  <c r="BO67" i="11"/>
  <c r="BO68" i="11" s="1"/>
  <c r="BO51" i="11" s="1"/>
  <c r="AX67" i="11"/>
  <c r="AX68" i="11" s="1"/>
  <c r="AX51" i="11" s="1"/>
  <c r="BI65" i="11"/>
  <c r="BI67" i="11" s="1"/>
  <c r="BF62" i="11"/>
  <c r="BF63" i="11" s="1"/>
  <c r="BO69" i="11"/>
  <c r="BO70" i="11" s="1"/>
  <c r="BH67" i="11"/>
  <c r="BH68" i="11" s="1"/>
  <c r="BH51" i="11" s="1"/>
  <c r="BQ65" i="11"/>
  <c r="BQ67" i="11" s="1"/>
  <c r="BP65" i="11"/>
  <c r="BP67" i="11" s="1"/>
  <c r="BR41" i="11"/>
  <c r="BR40" i="11"/>
  <c r="BS66" i="11"/>
  <c r="BT66" i="11"/>
  <c r="BV14" i="5"/>
  <c r="BW14" i="5" s="1"/>
  <c r="BX14" i="5" s="1"/>
  <c r="BY14" i="5" s="1"/>
  <c r="BZ14" i="5" s="1"/>
  <c r="CA14" i="5" s="1"/>
  <c r="CB14" i="5" s="1"/>
  <c r="CC14" i="5" s="1"/>
  <c r="CD14" i="5" s="1"/>
  <c r="CF14" i="5" s="1"/>
  <c r="BR6" i="5"/>
  <c r="BR15" i="5"/>
  <c r="BT21" i="5"/>
  <c r="BR13" i="5"/>
  <c r="BT8" i="4"/>
  <c r="CB45" i="13"/>
  <c r="BS16" i="4"/>
  <c r="BS10" i="4"/>
  <c r="BS11" i="4"/>
  <c r="BV13" i="4"/>
  <c r="BW13" i="4" s="1"/>
  <c r="BX13" i="4" s="1"/>
  <c r="BR53" i="13"/>
  <c r="BS53" i="13" s="1"/>
  <c r="BT53" i="13" s="1"/>
  <c r="BU53" i="13" s="1"/>
  <c r="BV53" i="13" s="1"/>
  <c r="BW53" i="13" s="1"/>
  <c r="BX53" i="13" s="1"/>
  <c r="BY53" i="13" s="1"/>
  <c r="BZ53" i="13" s="1"/>
  <c r="CA53" i="13" s="1"/>
  <c r="CB53" i="13" s="1"/>
  <c r="BR51" i="13"/>
  <c r="BS51" i="13" s="1"/>
  <c r="BT51" i="13" s="1"/>
  <c r="E12" i="21"/>
  <c r="E11" i="21"/>
  <c r="E10" i="21"/>
  <c r="E9" i="21"/>
  <c r="E7" i="21"/>
  <c r="BR48" i="13"/>
  <c r="BS48" i="13" s="1"/>
  <c r="BT48" i="13" s="1"/>
  <c r="BU48" i="13" s="1"/>
  <c r="BV48" i="13" s="1"/>
  <c r="BW48" i="13" s="1"/>
  <c r="BX48" i="13" s="1"/>
  <c r="BY48" i="13" s="1"/>
  <c r="BZ48" i="13" s="1"/>
  <c r="CA48" i="13" s="1"/>
  <c r="CB48" i="13" s="1"/>
  <c r="BR46" i="13"/>
  <c r="BS46" i="13" s="1"/>
  <c r="BT46" i="13" s="1"/>
  <c r="BY45" i="13"/>
  <c r="BX45" i="13"/>
  <c r="BW45" i="13"/>
  <c r="BV45" i="13"/>
  <c r="BU45" i="13"/>
  <c r="BR45" i="13"/>
  <c r="BQ45" i="13"/>
  <c r="BQ47" i="13" s="1"/>
  <c r="BQ49" i="13" s="1"/>
  <c r="BP40" i="13"/>
  <c r="BP35" i="13"/>
  <c r="BP34" i="13"/>
  <c r="BP33" i="13"/>
  <c r="BP32" i="13"/>
  <c r="BP31" i="13"/>
  <c r="BP30" i="13"/>
  <c r="BP29" i="13"/>
  <c r="BP28" i="13"/>
  <c r="BP27" i="13"/>
  <c r="BP26" i="13"/>
  <c r="BP25" i="13"/>
  <c r="BP24" i="13"/>
  <c r="BP23" i="13"/>
  <c r="BP22" i="13"/>
  <c r="BP21" i="13"/>
  <c r="BP20" i="13"/>
  <c r="BP19" i="13"/>
  <c r="BP18" i="13"/>
  <c r="BP17" i="13"/>
  <c r="BP16" i="13"/>
  <c r="BP15" i="13"/>
  <c r="BP14" i="13"/>
  <c r="BP13" i="13"/>
  <c r="BP12" i="13"/>
  <c r="BP11" i="13"/>
  <c r="BP10" i="13"/>
  <c r="BP9" i="13"/>
  <c r="BP8" i="13"/>
  <c r="BP7" i="13"/>
  <c r="BP6" i="13"/>
  <c r="BM68" i="11" l="1"/>
  <c r="BM51" i="11" s="1"/>
  <c r="H25" i="24"/>
  <c r="G25" i="24"/>
  <c r="BN68" i="11"/>
  <c r="BN51" i="11" s="1"/>
  <c r="BN69" i="11"/>
  <c r="BN70" i="11" s="1"/>
  <c r="BY13" i="4"/>
  <c r="BZ13" i="4" s="1"/>
  <c r="CA13" i="4" s="1"/>
  <c r="CE15" i="5"/>
  <c r="CE13" i="5"/>
  <c r="CH46" i="5"/>
  <c r="CG14" i="5"/>
  <c r="CH14" i="5" s="1"/>
  <c r="CI14" i="5" s="1"/>
  <c r="CJ14" i="5" s="1"/>
  <c r="CK14" i="5" s="1"/>
  <c r="CL14" i="5" s="1"/>
  <c r="CM14" i="5" s="1"/>
  <c r="CN14" i="5" s="1"/>
  <c r="CO14" i="5" s="1"/>
  <c r="CP14" i="5" s="1"/>
  <c r="CQ14" i="5" s="1"/>
  <c r="CE32" i="9"/>
  <c r="BR14" i="5"/>
  <c r="E4" i="21"/>
  <c r="CK238" i="2"/>
  <c r="CJ226" i="2"/>
  <c r="CJ241" i="2"/>
  <c r="CI229" i="2"/>
  <c r="CI251" i="2" s="1"/>
  <c r="CK218" i="2"/>
  <c r="BU8" i="4"/>
  <c r="BU7" i="4" s="1"/>
  <c r="BU26" i="4" s="1"/>
  <c r="BP37" i="13"/>
  <c r="BR47" i="13"/>
  <c r="BR49" i="13" s="1"/>
  <c r="BR52" i="13"/>
  <c r="BR54" i="13" s="1"/>
  <c r="BS52" i="13"/>
  <c r="BS54" i="13" s="1"/>
  <c r="AZ69" i="11"/>
  <c r="AZ70" i="11" s="1"/>
  <c r="BS59" i="11"/>
  <c r="BS58" i="11" s="1"/>
  <c r="BS60" i="11" s="1"/>
  <c r="BT59" i="11"/>
  <c r="BT58" i="11" s="1"/>
  <c r="BT60" i="11" s="1"/>
  <c r="BH62" i="11"/>
  <c r="BH63" i="11" s="1"/>
  <c r="BQ68" i="11"/>
  <c r="BQ51" i="11" s="1"/>
  <c r="BQ69" i="11"/>
  <c r="BQ70" i="11" s="1"/>
  <c r="BI68" i="11"/>
  <c r="BI51" i="11" s="1"/>
  <c r="BI69" i="11"/>
  <c r="BI70" i="11" s="1"/>
  <c r="BJ61" i="11"/>
  <c r="BJ50" i="11" s="1"/>
  <c r="BJ62" i="11"/>
  <c r="BJ63" i="11" s="1"/>
  <c r="BP68" i="11"/>
  <c r="BP51" i="11" s="1"/>
  <c r="BP69" i="11"/>
  <c r="BP70" i="11" s="1"/>
  <c r="BP62" i="11"/>
  <c r="BP63" i="11" s="1"/>
  <c r="BP61" i="11"/>
  <c r="BP50" i="11" s="1"/>
  <c r="AT62" i="11"/>
  <c r="AT63" i="11" s="1"/>
  <c r="BA67" i="11"/>
  <c r="AX69" i="11"/>
  <c r="AX70" i="11" s="1"/>
  <c r="BT65" i="11"/>
  <c r="BT67" i="11" s="1"/>
  <c r="BT68" i="11" s="1"/>
  <c r="AS70" i="11"/>
  <c r="AS63" i="11"/>
  <c r="BS65" i="11"/>
  <c r="BS67" i="11" s="1"/>
  <c r="AR60" i="11"/>
  <c r="BI62" i="11"/>
  <c r="BI63" i="11" s="1"/>
  <c r="AS50" i="11"/>
  <c r="AR61" i="11"/>
  <c r="BU66" i="11"/>
  <c r="BU21" i="5"/>
  <c r="BU39" i="5"/>
  <c r="BT25" i="5"/>
  <c r="CF33" i="9" s="1"/>
  <c r="BR10" i="5"/>
  <c r="BU40" i="5"/>
  <c r="BT24" i="5"/>
  <c r="BT23" i="5"/>
  <c r="BV14" i="4"/>
  <c r="BV47" i="4" s="1"/>
  <c r="BS45" i="13"/>
  <c r="BS47" i="13" s="1"/>
  <c r="BS49" i="13" s="1"/>
  <c r="BT45" i="13"/>
  <c r="BT47" i="13" s="1"/>
  <c r="BT49" i="13" s="1"/>
  <c r="BZ45" i="13"/>
  <c r="CA45" i="13"/>
  <c r="BS33" i="4"/>
  <c r="BS18" i="4"/>
  <c r="BW14" i="4"/>
  <c r="BW47" i="4" s="1"/>
  <c r="BX14" i="4"/>
  <c r="BX47" i="4" s="1"/>
  <c r="BT7" i="4"/>
  <c r="BT26" i="4" s="1"/>
  <c r="BT52" i="13"/>
  <c r="BT54" i="13" s="1"/>
  <c r="BU51" i="13"/>
  <c r="BU46" i="13"/>
  <c r="AE23" i="14"/>
  <c r="BU65" i="11" l="1"/>
  <c r="BE70" i="11"/>
  <c r="BE63" i="11"/>
  <c r="CI46" i="5"/>
  <c r="CE14" i="5"/>
  <c r="CK241" i="2"/>
  <c r="CJ229" i="2"/>
  <c r="CJ251" i="2" s="1"/>
  <c r="CL238" i="2"/>
  <c r="CK226" i="2"/>
  <c r="CL218" i="2"/>
  <c r="CB13" i="4"/>
  <c r="CF32" i="9"/>
  <c r="BU5" i="4"/>
  <c r="BT45" i="10" s="1"/>
  <c r="BT33" i="10"/>
  <c r="BT42" i="10"/>
  <c r="BT69" i="11"/>
  <c r="BT70" i="11" s="1"/>
  <c r="BT61" i="11"/>
  <c r="BT50" i="11" s="1"/>
  <c r="CF36" i="9" s="1"/>
  <c r="BT62" i="11"/>
  <c r="BT63" i="11" s="1"/>
  <c r="BU59" i="11"/>
  <c r="BU60" i="11" s="1"/>
  <c r="BU61" i="11" s="1"/>
  <c r="BU50" i="11" s="1"/>
  <c r="CG36" i="9" s="1"/>
  <c r="BS61" i="11"/>
  <c r="BS50" i="11" s="1"/>
  <c r="CE36" i="9" s="1"/>
  <c r="BS62" i="11"/>
  <c r="BS63" i="11" s="1"/>
  <c r="BS68" i="11"/>
  <c r="BS69" i="11"/>
  <c r="BS70" i="11" s="1"/>
  <c r="BA68" i="11"/>
  <c r="BA51" i="11" s="1"/>
  <c r="BA69" i="11"/>
  <c r="AR67" i="11"/>
  <c r="AR62" i="11"/>
  <c r="AP62" i="11" s="1"/>
  <c r="AR63" i="11"/>
  <c r="BU67" i="11"/>
  <c r="BU69" i="11" s="1"/>
  <c r="BU41" i="5"/>
  <c r="BV21" i="5"/>
  <c r="BU23" i="5"/>
  <c r="BU24" i="5"/>
  <c r="BV25" i="5"/>
  <c r="CH33" i="9" s="1"/>
  <c r="BT5" i="4"/>
  <c r="BT42" i="4"/>
  <c r="BW8" i="4"/>
  <c r="BW7" i="4" s="1"/>
  <c r="BW26" i="4" s="1"/>
  <c r="BV8" i="4"/>
  <c r="BY14" i="4"/>
  <c r="BY47" i="4" s="1"/>
  <c r="BV51" i="13"/>
  <c r="BU52" i="13"/>
  <c r="BU54" i="13" s="1"/>
  <c r="BV46" i="13"/>
  <c r="BU47" i="13"/>
  <c r="BU49" i="13" s="1"/>
  <c r="BT27" i="10" l="1"/>
  <c r="BT31" i="10"/>
  <c r="BT49" i="10"/>
  <c r="BT37" i="10"/>
  <c r="BT47" i="10"/>
  <c r="CH40" i="5"/>
  <c r="CH41" i="5" s="1"/>
  <c r="CJ46" i="5"/>
  <c r="CM218" i="2"/>
  <c r="CM238" i="2"/>
  <c r="CL226" i="2"/>
  <c r="CL241" i="2"/>
  <c r="CK229" i="2"/>
  <c r="CK251" i="2" s="1"/>
  <c r="CC13" i="4"/>
  <c r="BS47" i="10"/>
  <c r="BS42" i="10"/>
  <c r="BS45" i="10"/>
  <c r="BS37" i="10"/>
  <c r="BS33" i="10"/>
  <c r="BS49" i="10"/>
  <c r="BS31" i="10"/>
  <c r="BS27" i="10"/>
  <c r="CG35" i="9"/>
  <c r="CF35" i="9"/>
  <c r="BU68" i="11"/>
  <c r="BU70" i="11"/>
  <c r="BU62" i="11"/>
  <c r="BU63" i="11" s="1"/>
  <c r="BA70" i="11"/>
  <c r="AR70" i="11" s="1"/>
  <c r="AR69" i="11"/>
  <c r="AP69" i="11" s="1"/>
  <c r="BV67" i="11"/>
  <c r="BW66" i="11"/>
  <c r="BV24" i="5"/>
  <c r="CH32" i="9" s="1"/>
  <c r="BV23" i="5"/>
  <c r="BW25" i="5"/>
  <c r="CI33" i="9" s="1"/>
  <c r="BW21" i="5"/>
  <c r="BV7" i="4"/>
  <c r="BV26" i="4" s="1"/>
  <c r="BY8" i="4"/>
  <c r="BX8" i="4"/>
  <c r="BX7" i="4" s="1"/>
  <c r="BX26" i="4" s="1"/>
  <c r="BZ14" i="4"/>
  <c r="BZ47" i="4" s="1"/>
  <c r="BW5" i="4"/>
  <c r="BV52" i="13"/>
  <c r="BV54" i="13" s="1"/>
  <c r="BW51" i="13"/>
  <c r="BW46" i="13"/>
  <c r="BV47" i="13"/>
  <c r="BV49" i="13" s="1"/>
  <c r="CC154" i="9"/>
  <c r="CB154" i="9"/>
  <c r="CA154" i="9"/>
  <c r="BY154" i="9"/>
  <c r="BX154" i="9"/>
  <c r="BW154" i="9"/>
  <c r="BV154" i="9"/>
  <c r="BU154" i="9"/>
  <c r="BT154" i="9"/>
  <c r="BS154" i="9"/>
  <c r="BR154" i="9"/>
  <c r="D23" i="14"/>
  <c r="D22" i="14"/>
  <c r="CC155" i="9"/>
  <c r="CB155" i="9"/>
  <c r="CA155" i="9"/>
  <c r="BZ155" i="9"/>
  <c r="BY155" i="9"/>
  <c r="BX155" i="9"/>
  <c r="BW155" i="9"/>
  <c r="BV155" i="9"/>
  <c r="BU155" i="9"/>
  <c r="BT155" i="9"/>
  <c r="BS155" i="9"/>
  <c r="R23" i="14"/>
  <c r="BR155" i="9" s="1"/>
  <c r="Q47" i="14"/>
  <c r="D47" i="14"/>
  <c r="AD47" i="14"/>
  <c r="BV45" i="10" l="1"/>
  <c r="BV47" i="10"/>
  <c r="CK46" i="5"/>
  <c r="CN218" i="2"/>
  <c r="CN238" i="2"/>
  <c r="CM226" i="2"/>
  <c r="CM241" i="2"/>
  <c r="CL229" i="2"/>
  <c r="CL251" i="2" s="1"/>
  <c r="CD13" i="4"/>
  <c r="BV49" i="10"/>
  <c r="BV31" i="10"/>
  <c r="BV42" i="10"/>
  <c r="BV37" i="10"/>
  <c r="BV33" i="10"/>
  <c r="BV27" i="10"/>
  <c r="CE35" i="9"/>
  <c r="BV61" i="11"/>
  <c r="BV50" i="11" s="1"/>
  <c r="CH36" i="9" s="1"/>
  <c r="BV62" i="11"/>
  <c r="BV63" i="11" s="1"/>
  <c r="BW59" i="11"/>
  <c r="BW58" i="11" s="1"/>
  <c r="BW60" i="11" s="1"/>
  <c r="BV68" i="11"/>
  <c r="BV69" i="11"/>
  <c r="BV70" i="11" s="1"/>
  <c r="BW65" i="11"/>
  <c r="BW67" i="11" s="1"/>
  <c r="BX66" i="11"/>
  <c r="BX40" i="5"/>
  <c r="BX21" i="5"/>
  <c r="BX39" i="5"/>
  <c r="BW24" i="5"/>
  <c r="CI32" i="9" s="1"/>
  <c r="BW23" i="5"/>
  <c r="BY7" i="4"/>
  <c r="BY26" i="4" s="1"/>
  <c r="BZ8" i="4"/>
  <c r="BZ7" i="4" s="1"/>
  <c r="BV5" i="4"/>
  <c r="BX5" i="4"/>
  <c r="BS41" i="4"/>
  <c r="BX51" i="13"/>
  <c r="BW52" i="13"/>
  <c r="BW54" i="13" s="1"/>
  <c r="BX46" i="13"/>
  <c r="BW47" i="13"/>
  <c r="BW49" i="13" s="1"/>
  <c r="BU45" i="10" l="1"/>
  <c r="BU47" i="10"/>
  <c r="BW45" i="10"/>
  <c r="BW47" i="10"/>
  <c r="CG35" i="5"/>
  <c r="CF32" i="5"/>
  <c r="CR110" i="9" s="1"/>
  <c r="CL46" i="5"/>
  <c r="CN241" i="2"/>
  <c r="CM229" i="2"/>
  <c r="CM251" i="2" s="1"/>
  <c r="CO238" i="2"/>
  <c r="CN226" i="2"/>
  <c r="CO218" i="2"/>
  <c r="CE13" i="4"/>
  <c r="CG13" i="4" s="1"/>
  <c r="BS13" i="4"/>
  <c r="BW49" i="10"/>
  <c r="BW33" i="10"/>
  <c r="BW37" i="10"/>
  <c r="BW31" i="10"/>
  <c r="BW42" i="10"/>
  <c r="BW27" i="10"/>
  <c r="BU37" i="10"/>
  <c r="BU42" i="10"/>
  <c r="BU33" i="10"/>
  <c r="BU49" i="10"/>
  <c r="BU31" i="10"/>
  <c r="BU27" i="10"/>
  <c r="BW61" i="11"/>
  <c r="BW50" i="11" s="1"/>
  <c r="CI36" i="9" s="1"/>
  <c r="BW62" i="11"/>
  <c r="BW63" i="11" s="1"/>
  <c r="BX59" i="11"/>
  <c r="BX60" i="11" s="1"/>
  <c r="BX61" i="11" s="1"/>
  <c r="BX50" i="11" s="1"/>
  <c r="CJ36" i="9" s="1"/>
  <c r="BW68" i="11"/>
  <c r="BW69" i="11"/>
  <c r="BW70" i="11" s="1"/>
  <c r="BX65" i="11"/>
  <c r="BX67" i="11" s="1"/>
  <c r="BY66" i="11"/>
  <c r="BY21" i="5"/>
  <c r="BX24" i="5"/>
  <c r="BX23" i="5"/>
  <c r="BX41" i="5"/>
  <c r="BZ5" i="4"/>
  <c r="CB14" i="4"/>
  <c r="CB47" i="4" s="1"/>
  <c r="CA14" i="4"/>
  <c r="CA47" i="4" s="1"/>
  <c r="BY5" i="4"/>
  <c r="BX52" i="13"/>
  <c r="BX54" i="13" s="1"/>
  <c r="BY51" i="13"/>
  <c r="BX47" i="13"/>
  <c r="BX49" i="13" s="1"/>
  <c r="BY46" i="13"/>
  <c r="BY27" i="10" l="1"/>
  <c r="BY49" i="10"/>
  <c r="BY37" i="10"/>
  <c r="BY31" i="10"/>
  <c r="BY33" i="10"/>
  <c r="BY42" i="10"/>
  <c r="BY45" i="10"/>
  <c r="BY47" i="10"/>
  <c r="BX47" i="10"/>
  <c r="BX45" i="10"/>
  <c r="BX31" i="10"/>
  <c r="CR34" i="9"/>
  <c r="CH13" i="4"/>
  <c r="CM46" i="5"/>
  <c r="CG32" i="5"/>
  <c r="CS110" i="9" s="1"/>
  <c r="CH35" i="5"/>
  <c r="CF36" i="5"/>
  <c r="CK40" i="5"/>
  <c r="CK41" i="5" s="1"/>
  <c r="CP218" i="2"/>
  <c r="CO241" i="2"/>
  <c r="CN229" i="2"/>
  <c r="CN251" i="2" s="1"/>
  <c r="CP238" i="2"/>
  <c r="CO226" i="2"/>
  <c r="BX37" i="10"/>
  <c r="BX49" i="10"/>
  <c r="BX42" i="10"/>
  <c r="BX33" i="10"/>
  <c r="BX27" i="10"/>
  <c r="BX62" i="11"/>
  <c r="BX63" i="11" s="1"/>
  <c r="CJ35" i="9"/>
  <c r="CH35" i="9"/>
  <c r="CI35" i="9"/>
  <c r="BY59" i="11"/>
  <c r="BY58" i="11" s="1"/>
  <c r="BX68" i="11"/>
  <c r="BX69" i="11"/>
  <c r="BX70" i="11" s="1"/>
  <c r="BY65" i="11"/>
  <c r="BY67" i="11" s="1"/>
  <c r="BZ66" i="11"/>
  <c r="BZ21" i="5"/>
  <c r="CB8" i="4"/>
  <c r="CB7" i="4" s="1"/>
  <c r="CA8" i="4"/>
  <c r="BS6" i="4"/>
  <c r="BY52" i="13"/>
  <c r="BY54" i="13" s="1"/>
  <c r="BZ51" i="13"/>
  <c r="BY47" i="13"/>
  <c r="BY49" i="13" s="1"/>
  <c r="BZ46" i="13"/>
  <c r="CK49" i="9" l="1"/>
  <c r="CK125" i="9" s="1"/>
  <c r="CK43" i="9"/>
  <c r="CK119" i="9" s="1"/>
  <c r="CK48" i="9"/>
  <c r="CK50" i="9"/>
  <c r="CK126" i="9" s="1"/>
  <c r="CK46" i="9"/>
  <c r="CK42" i="9"/>
  <c r="CS34" i="9"/>
  <c r="CI13" i="4"/>
  <c r="CG36" i="5"/>
  <c r="CF29" i="5"/>
  <c r="CI35" i="5"/>
  <c r="CH32" i="5"/>
  <c r="CT110" i="9" s="1"/>
  <c r="CN46" i="5"/>
  <c r="CQ238" i="2"/>
  <c r="CP226" i="2"/>
  <c r="CP241" i="2"/>
  <c r="CO229" i="2"/>
  <c r="CO251" i="2" s="1"/>
  <c r="CQ218" i="2"/>
  <c r="BY60" i="11"/>
  <c r="BY61" i="11" s="1"/>
  <c r="BY50" i="11" s="1"/>
  <c r="CK36" i="9" s="1"/>
  <c r="BZ59" i="11"/>
  <c r="BZ58" i="11" s="1"/>
  <c r="BZ60" i="11" s="1"/>
  <c r="BZ61" i="11" s="1"/>
  <c r="BZ50" i="11" s="1"/>
  <c r="CL36" i="9" s="1"/>
  <c r="BY68" i="11"/>
  <c r="BY69" i="11"/>
  <c r="BY70" i="11" s="1"/>
  <c r="BZ65" i="11"/>
  <c r="BZ67" i="11" s="1"/>
  <c r="CA66" i="11"/>
  <c r="CA40" i="5"/>
  <c r="CA21" i="5"/>
  <c r="CA39" i="5"/>
  <c r="CB5" i="4"/>
  <c r="CA7" i="4"/>
  <c r="CD14" i="4"/>
  <c r="CD47" i="4" s="1"/>
  <c r="CC14" i="4"/>
  <c r="CC47" i="4" s="1"/>
  <c r="BZ52" i="13"/>
  <c r="BZ54" i="13" s="1"/>
  <c r="CA51" i="13"/>
  <c r="BZ47" i="13"/>
  <c r="BZ49" i="13" s="1"/>
  <c r="CA46" i="13"/>
  <c r="CH28" i="4" l="1"/>
  <c r="CS99" i="9"/>
  <c r="CS23" i="9" s="1"/>
  <c r="CA42" i="10"/>
  <c r="CA33" i="10"/>
  <c r="CA45" i="10"/>
  <c r="CA49" i="10"/>
  <c r="CA37" i="10"/>
  <c r="CA31" i="10"/>
  <c r="CA47" i="10"/>
  <c r="CA27" i="10"/>
  <c r="CK118" i="9"/>
  <c r="CK122" i="9"/>
  <c r="CL42" i="9"/>
  <c r="CL118" i="9" s="1"/>
  <c r="CL44" i="9"/>
  <c r="CL43" i="9"/>
  <c r="CL119" i="9" s="1"/>
  <c r="CL46" i="9"/>
  <c r="CL122" i="9" s="1"/>
  <c r="CL50" i="9"/>
  <c r="CL126" i="9" s="1"/>
  <c r="CK124" i="9"/>
  <c r="CL48" i="9"/>
  <c r="CL124" i="9" s="1"/>
  <c r="CL49" i="9"/>
  <c r="CL125" i="9" s="1"/>
  <c r="CT34" i="9"/>
  <c r="BY62" i="11"/>
  <c r="BY63" i="11" s="1"/>
  <c r="CK35" i="9"/>
  <c r="CH35" i="4"/>
  <c r="CH24" i="4"/>
  <c r="CJ13" i="4"/>
  <c r="CO46" i="5"/>
  <c r="CN40" i="5"/>
  <c r="CN41" i="5" s="1"/>
  <c r="CF25" i="5"/>
  <c r="CR109" i="9" s="1"/>
  <c r="CG29" i="5"/>
  <c r="CG25" i="5" s="1"/>
  <c r="CS109" i="9" s="1"/>
  <c r="CH36" i="5"/>
  <c r="CJ35" i="5"/>
  <c r="CI32" i="5"/>
  <c r="CU110" i="9" s="1"/>
  <c r="CQ241" i="2"/>
  <c r="CP229" i="2"/>
  <c r="CP251" i="2" s="1"/>
  <c r="CQ226" i="2"/>
  <c r="CA41" i="5"/>
  <c r="CA59" i="11"/>
  <c r="CA60" i="11" s="1"/>
  <c r="CA61" i="11" s="1"/>
  <c r="CA50" i="11" s="1"/>
  <c r="CM36" i="9" s="1"/>
  <c r="BR35" i="10"/>
  <c r="BR40" i="10"/>
  <c r="BZ68" i="11"/>
  <c r="BZ69" i="11"/>
  <c r="BZ70" i="11" s="1"/>
  <c r="CA65" i="11"/>
  <c r="CA67" i="11" s="1"/>
  <c r="BZ62" i="11"/>
  <c r="BZ63" i="11" s="1"/>
  <c r="CB66" i="11"/>
  <c r="CB21" i="5"/>
  <c r="CC8" i="4"/>
  <c r="CC7" i="4" s="1"/>
  <c r="CA5" i="4"/>
  <c r="CD8" i="4"/>
  <c r="CD7" i="4" s="1"/>
  <c r="CB51" i="13"/>
  <c r="CB52" i="13" s="1"/>
  <c r="CB54" i="13" s="1"/>
  <c r="CA52" i="13"/>
  <c r="CA54" i="13" s="1"/>
  <c r="CB46" i="13"/>
  <c r="CB47" i="13" s="1"/>
  <c r="CB49" i="13" s="1"/>
  <c r="CA47" i="13"/>
  <c r="CA49" i="13" s="1"/>
  <c r="CI28" i="4" l="1"/>
  <c r="CI35" i="4" s="1"/>
  <c r="CT99" i="9"/>
  <c r="CT23" i="9" s="1"/>
  <c r="CR33" i="9"/>
  <c r="CR108" i="9"/>
  <c r="BZ31" i="10"/>
  <c r="BZ47" i="10"/>
  <c r="BZ37" i="10"/>
  <c r="BZ27" i="10"/>
  <c r="BZ45" i="10"/>
  <c r="BZ42" i="10"/>
  <c r="BZ49" i="10"/>
  <c r="BZ33" i="10"/>
  <c r="CS33" i="9"/>
  <c r="CS32" i="9" s="1"/>
  <c r="CS108" i="9"/>
  <c r="CM44" i="9"/>
  <c r="CM50" i="9"/>
  <c r="CM126" i="9" s="1"/>
  <c r="CM49" i="9"/>
  <c r="CM125" i="9" s="1"/>
  <c r="CM42" i="9"/>
  <c r="CM118" i="9" s="1"/>
  <c r="CM46" i="9"/>
  <c r="CM122" i="9" s="1"/>
  <c r="CM43" i="9"/>
  <c r="CM119" i="9" s="1"/>
  <c r="CM48" i="9"/>
  <c r="CU34" i="9"/>
  <c r="CK13" i="4"/>
  <c r="CI36" i="5"/>
  <c r="CH29" i="5"/>
  <c r="CK35" i="5"/>
  <c r="CJ32" i="5"/>
  <c r="CV110" i="9" s="1"/>
  <c r="CP46" i="5"/>
  <c r="CE226" i="2"/>
  <c r="CE205" i="2"/>
  <c r="CE218" i="2" s="1"/>
  <c r="CQ229" i="2"/>
  <c r="CE229" i="2" s="1"/>
  <c r="CM35" i="9"/>
  <c r="CL35" i="9"/>
  <c r="BS15" i="4"/>
  <c r="BS17" i="4"/>
  <c r="BR43" i="10"/>
  <c r="CE47" i="4"/>
  <c r="CB59" i="11"/>
  <c r="CB58" i="11" s="1"/>
  <c r="CB60" i="11" s="1"/>
  <c r="BR21" i="10"/>
  <c r="CA68" i="11"/>
  <c r="CA69" i="11"/>
  <c r="CA70" i="11" s="1"/>
  <c r="CB65" i="11"/>
  <c r="CB67" i="11" s="1"/>
  <c r="CA62" i="11"/>
  <c r="CA63" i="11" s="1"/>
  <c r="CD66" i="11"/>
  <c r="CC66" i="11"/>
  <c r="CC21" i="5"/>
  <c r="BR26" i="5"/>
  <c r="CD5" i="4"/>
  <c r="CC5" i="4"/>
  <c r="CI24" i="4" l="1"/>
  <c r="CJ28" i="4"/>
  <c r="CJ35" i="4" s="1"/>
  <c r="CU99" i="9"/>
  <c r="CU23" i="9" s="1"/>
  <c r="CR32" i="9"/>
  <c r="CB45" i="10"/>
  <c r="CB37" i="10"/>
  <c r="CB42" i="10"/>
  <c r="CB49" i="10"/>
  <c r="CB31" i="10"/>
  <c r="CB27" i="10"/>
  <c r="CB33" i="10"/>
  <c r="CB47" i="10"/>
  <c r="CC49" i="10"/>
  <c r="CC47" i="10"/>
  <c r="CC33" i="10"/>
  <c r="CC31" i="10"/>
  <c r="CC42" i="10"/>
  <c r="CC27" i="10"/>
  <c r="CC37" i="10"/>
  <c r="CC45" i="10"/>
  <c r="CN43" i="9"/>
  <c r="CN119" i="9" s="1"/>
  <c r="CN42" i="9"/>
  <c r="CN46" i="9"/>
  <c r="CN122" i="9" s="1"/>
  <c r="CN49" i="9"/>
  <c r="CN125" i="9" s="1"/>
  <c r="CN50" i="9"/>
  <c r="CN126" i="9" s="1"/>
  <c r="CM124" i="9"/>
  <c r="CN48" i="9"/>
  <c r="CN124" i="9" s="1"/>
  <c r="CN44" i="9"/>
  <c r="CV34" i="9"/>
  <c r="CL13" i="4"/>
  <c r="CQ46" i="5"/>
  <c r="CL35" i="5"/>
  <c r="CK32" i="5"/>
  <c r="CW110" i="9" s="1"/>
  <c r="CJ36" i="5"/>
  <c r="CI29" i="5"/>
  <c r="CI25" i="5" s="1"/>
  <c r="CU109" i="9" s="1"/>
  <c r="CE238" i="2"/>
  <c r="CE248" i="2"/>
  <c r="CE251" i="2"/>
  <c r="CE241" i="2"/>
  <c r="CQ251" i="2"/>
  <c r="BP44" i="13"/>
  <c r="BS47" i="4"/>
  <c r="CE8" i="4"/>
  <c r="BS14" i="4"/>
  <c r="CC59" i="11"/>
  <c r="CC58" i="11" s="1"/>
  <c r="CC60" i="11" s="1"/>
  <c r="CD59" i="11"/>
  <c r="CD60" i="11" s="1"/>
  <c r="CD61" i="11" s="1"/>
  <c r="CB68" i="11"/>
  <c r="CB69" i="11"/>
  <c r="CB70" i="11" s="1"/>
  <c r="CB61" i="11"/>
  <c r="CB50" i="11" s="1"/>
  <c r="CN36" i="9" s="1"/>
  <c r="CB62" i="11"/>
  <c r="CB63" i="11" s="1"/>
  <c r="CC65" i="11"/>
  <c r="CC67" i="11" s="1"/>
  <c r="CC68" i="11" s="1"/>
  <c r="CD65" i="11"/>
  <c r="CD67" i="11" s="1"/>
  <c r="BR32" i="11"/>
  <c r="BR18" i="11"/>
  <c r="BR28" i="5"/>
  <c r="CD41" i="5"/>
  <c r="CD21" i="5"/>
  <c r="BR21" i="5" s="1"/>
  <c r="CD50" i="11" l="1"/>
  <c r="CP36" i="9" s="1"/>
  <c r="CP35" i="9" s="1"/>
  <c r="CJ24" i="4"/>
  <c r="CU33" i="9"/>
  <c r="CU32" i="9" s="1"/>
  <c r="CU108" i="9"/>
  <c r="CK28" i="4"/>
  <c r="CK24" i="4" s="1"/>
  <c r="CV99" i="9"/>
  <c r="CV23" i="9" s="1"/>
  <c r="CO49" i="9"/>
  <c r="CO125" i="9" s="1"/>
  <c r="CO48" i="9"/>
  <c r="CN118" i="9"/>
  <c r="CO42" i="9"/>
  <c r="CO118" i="9" s="1"/>
  <c r="CO44" i="9"/>
  <c r="CO50" i="9"/>
  <c r="CO126" i="9" s="1"/>
  <c r="CO46" i="9"/>
  <c r="CO122" i="9" s="1"/>
  <c r="CO43" i="9"/>
  <c r="CO119" i="9" s="1"/>
  <c r="CW34" i="9"/>
  <c r="CM13" i="4"/>
  <c r="CQ40" i="5"/>
  <c r="CQ41" i="5" s="1"/>
  <c r="CM35" i="5"/>
  <c r="CL32" i="5"/>
  <c r="CX110" i="9" s="1"/>
  <c r="CK36" i="5"/>
  <c r="CJ29" i="5"/>
  <c r="CE7" i="4"/>
  <c r="CE26" i="4" s="1"/>
  <c r="BS8" i="4"/>
  <c r="CD68" i="11"/>
  <c r="CD69" i="11"/>
  <c r="CD70" i="11" s="1"/>
  <c r="CC61" i="11"/>
  <c r="CC50" i="11" s="1"/>
  <c r="CO36" i="9" s="1"/>
  <c r="CC62" i="11"/>
  <c r="CC63" i="11" s="1"/>
  <c r="CC69" i="11"/>
  <c r="CC70" i="11" s="1"/>
  <c r="CD62" i="11"/>
  <c r="CD63" i="11" s="1"/>
  <c r="BR25" i="11"/>
  <c r="BR11" i="11"/>
  <c r="BR22" i="5"/>
  <c r="BS12" i="4"/>
  <c r="CD36" i="9" l="1"/>
  <c r="DL36" i="9"/>
  <c r="CK35" i="4"/>
  <c r="CE28" i="5"/>
  <c r="CL28" i="4"/>
  <c r="CL35" i="4" s="1"/>
  <c r="CW99" i="9"/>
  <c r="CW23" i="9" s="1"/>
  <c r="D29" i="28"/>
  <c r="G29" i="28" s="1"/>
  <c r="CP50" i="9"/>
  <c r="CP126" i="9" s="1"/>
  <c r="CP42" i="9"/>
  <c r="CP118" i="9" s="1"/>
  <c r="CP44" i="9"/>
  <c r="CO124" i="9"/>
  <c r="CP46" i="9"/>
  <c r="CP48" i="9"/>
  <c r="CP124" i="9" s="1"/>
  <c r="DI36" i="9"/>
  <c r="CX34" i="9"/>
  <c r="CL24" i="4"/>
  <c r="CN13" i="4"/>
  <c r="CL36" i="5"/>
  <c r="CK29" i="5"/>
  <c r="CF22" i="5"/>
  <c r="CJ25" i="5"/>
  <c r="CV109" i="9" s="1"/>
  <c r="CN35" i="5"/>
  <c r="CM32" i="5"/>
  <c r="CY110" i="9" s="1"/>
  <c r="BR63" i="11"/>
  <c r="BR24" i="5"/>
  <c r="BR49" i="11"/>
  <c r="CO35" i="9"/>
  <c r="CN35" i="9"/>
  <c r="CD37" i="9"/>
  <c r="BS7" i="4"/>
  <c r="BS5" i="4" s="1"/>
  <c r="CE5" i="4"/>
  <c r="BR70" i="11"/>
  <c r="DL37" i="9" l="1"/>
  <c r="CV33" i="9"/>
  <c r="CV32" i="9" s="1"/>
  <c r="CV108" i="9"/>
  <c r="CM28" i="4"/>
  <c r="CM24" i="4" s="1"/>
  <c r="CX99" i="9"/>
  <c r="CX23" i="9" s="1"/>
  <c r="CD31" i="10"/>
  <c r="CD37" i="10"/>
  <c r="CD45" i="10"/>
  <c r="CD42" i="10"/>
  <c r="CD27" i="10"/>
  <c r="CD49" i="10"/>
  <c r="CD42" i="9"/>
  <c r="D30" i="28"/>
  <c r="G30" i="28" s="1"/>
  <c r="CD48" i="9"/>
  <c r="CP122" i="9"/>
  <c r="CD46" i="9"/>
  <c r="DI37" i="9"/>
  <c r="CD35" i="9"/>
  <c r="CY34" i="9"/>
  <c r="CO13" i="4"/>
  <c r="CO35" i="5"/>
  <c r="CO32" i="5" s="1"/>
  <c r="CN32" i="5"/>
  <c r="CZ110" i="9" s="1"/>
  <c r="CG22" i="5"/>
  <c r="CG23" i="5" s="1"/>
  <c r="CF23" i="5"/>
  <c r="CM36" i="5"/>
  <c r="CL29" i="5"/>
  <c r="CD113" i="9"/>
  <c r="DL35" i="9" l="1"/>
  <c r="D35" i="28"/>
  <c r="CD118" i="9"/>
  <c r="CM35" i="4"/>
  <c r="CO1" i="4"/>
  <c r="CY99" i="9"/>
  <c r="CY23" i="9" s="1"/>
  <c r="CD122" i="9"/>
  <c r="D39" i="28"/>
  <c r="CD124" i="9"/>
  <c r="D41" i="28"/>
  <c r="E29" i="24"/>
  <c r="D28" i="28"/>
  <c r="G28" i="28" s="1"/>
  <c r="DI113" i="9"/>
  <c r="CG48" i="10"/>
  <c r="CS126" i="9" s="1"/>
  <c r="CS50" i="9" s="1"/>
  <c r="CG30" i="10"/>
  <c r="CS118" i="9" s="1"/>
  <c r="CS42" i="9" s="1"/>
  <c r="CG41" i="10"/>
  <c r="CG39" i="10" s="1"/>
  <c r="CS122" i="9" s="1"/>
  <c r="CS46" i="9" s="1"/>
  <c r="CG22" i="10"/>
  <c r="CG32" i="10"/>
  <c r="CS119" i="9" s="1"/>
  <c r="CS43" i="9" s="1"/>
  <c r="CG44" i="10"/>
  <c r="CS124" i="9" s="1"/>
  <c r="CS48" i="9" s="1"/>
  <c r="CG46" i="10"/>
  <c r="CS125" i="9" s="1"/>
  <c r="CS49" i="9" s="1"/>
  <c r="CG36" i="10"/>
  <c r="CG34" i="10" s="1"/>
  <c r="CS120" i="9" s="1"/>
  <c r="CS44" i="9" s="1"/>
  <c r="DI35" i="9"/>
  <c r="CZ34" i="9"/>
  <c r="CN28" i="4"/>
  <c r="CP13" i="4"/>
  <c r="CO24" i="4"/>
  <c r="CH22" i="5"/>
  <c r="CL25" i="5"/>
  <c r="CX109" i="9" s="1"/>
  <c r="CN36" i="5"/>
  <c r="CM29" i="5"/>
  <c r="CM25" i="5" s="1"/>
  <c r="CY109" i="9" s="1"/>
  <c r="CP35" i="5"/>
  <c r="CP32" i="5" s="1"/>
  <c r="DA110" i="9"/>
  <c r="BR27" i="10"/>
  <c r="CD47" i="9"/>
  <c r="BR42" i="10"/>
  <c r="CD50" i="9"/>
  <c r="CD45" i="9"/>
  <c r="BR45" i="10"/>
  <c r="BR44" i="10"/>
  <c r="BR22" i="10"/>
  <c r="BR41" i="10"/>
  <c r="BR39" i="10" s="1"/>
  <c r="DL45" i="9" l="1"/>
  <c r="DL47" i="9"/>
  <c r="CY33" i="9"/>
  <c r="CY32" i="9" s="1"/>
  <c r="CY108" i="9"/>
  <c r="CX33" i="9"/>
  <c r="CX32" i="9" s="1"/>
  <c r="CX108" i="9"/>
  <c r="D43" i="28"/>
  <c r="D40" i="28"/>
  <c r="G40" i="28" s="1"/>
  <c r="G29" i="24"/>
  <c r="H29" i="24"/>
  <c r="D38" i="28"/>
  <c r="G38" i="28" s="1"/>
  <c r="CH44" i="10"/>
  <c r="CT124" i="9" s="1"/>
  <c r="CT48" i="9" s="1"/>
  <c r="CH22" i="10"/>
  <c r="CH41" i="10"/>
  <c r="CH39" i="10" s="1"/>
  <c r="CT122" i="9" s="1"/>
  <c r="CH36" i="10"/>
  <c r="CH34" i="10" s="1"/>
  <c r="CT120" i="9" s="1"/>
  <c r="CT44" i="9" s="1"/>
  <c r="CH30" i="10"/>
  <c r="CT118" i="9" s="1"/>
  <c r="CT42" i="9" s="1"/>
  <c r="CH46" i="10"/>
  <c r="CT125" i="9" s="1"/>
  <c r="CH48" i="10"/>
  <c r="CH32" i="10"/>
  <c r="DI47" i="9"/>
  <c r="DI45" i="9"/>
  <c r="DA34" i="9"/>
  <c r="CQ13" i="4"/>
  <c r="CP24" i="4"/>
  <c r="CN24" i="4"/>
  <c r="CN35" i="4"/>
  <c r="CQ35" i="5"/>
  <c r="CQ32" i="5" s="1"/>
  <c r="DB110" i="9"/>
  <c r="CO36" i="5"/>
  <c r="CN29" i="5"/>
  <c r="CH23" i="5"/>
  <c r="CI22" i="5"/>
  <c r="CI23" i="5" s="1"/>
  <c r="CD126" i="9"/>
  <c r="CD123" i="9"/>
  <c r="CD121" i="9"/>
  <c r="CD31" i="3"/>
  <c r="CC31" i="3"/>
  <c r="BX82" i="3"/>
  <c r="BW82" i="3"/>
  <c r="BV82" i="3"/>
  <c r="BU82" i="3"/>
  <c r="BT82" i="3"/>
  <c r="BS82" i="3"/>
  <c r="BR63" i="3"/>
  <c r="BR62" i="3"/>
  <c r="BR61" i="3"/>
  <c r="BR60" i="3"/>
  <c r="CD59" i="3"/>
  <c r="CC59" i="3"/>
  <c r="CB59" i="3"/>
  <c r="CA59" i="3"/>
  <c r="BZ59" i="3"/>
  <c r="BY59" i="3"/>
  <c r="BX59" i="3"/>
  <c r="BW59" i="3"/>
  <c r="BV59" i="3"/>
  <c r="BU59" i="3"/>
  <c r="BT59" i="3"/>
  <c r="BS59" i="3"/>
  <c r="CD54" i="3"/>
  <c r="CC54" i="3"/>
  <c r="CB54" i="3"/>
  <c r="CA54" i="3"/>
  <c r="BZ54" i="3"/>
  <c r="BY54" i="3"/>
  <c r="BX54" i="3"/>
  <c r="BW54" i="3"/>
  <c r="BV54" i="3"/>
  <c r="BU54" i="3"/>
  <c r="BT54" i="3"/>
  <c r="BS54" i="3"/>
  <c r="CD53" i="3"/>
  <c r="CC53" i="3"/>
  <c r="CB53" i="3"/>
  <c r="CA53" i="3"/>
  <c r="BZ53" i="3"/>
  <c r="BY53" i="3"/>
  <c r="BX53" i="3"/>
  <c r="BW53" i="3"/>
  <c r="BV53" i="3"/>
  <c r="BU53" i="3"/>
  <c r="BT53" i="3"/>
  <c r="BS53" i="3"/>
  <c r="BR50" i="3"/>
  <c r="BR49" i="3"/>
  <c r="BR48" i="3"/>
  <c r="BR47" i="3"/>
  <c r="BR46" i="3"/>
  <c r="BR44" i="3"/>
  <c r="BR43" i="3"/>
  <c r="BR40" i="3"/>
  <c r="BR39" i="3"/>
  <c r="BR37" i="3"/>
  <c r="BR36" i="3"/>
  <c r="BR34" i="3"/>
  <c r="CB31" i="3"/>
  <c r="CA31" i="3"/>
  <c r="BZ31" i="3"/>
  <c r="BY31" i="3"/>
  <c r="BW31" i="3"/>
  <c r="BV31" i="3"/>
  <c r="BU31" i="3"/>
  <c r="BT31" i="3"/>
  <c r="BS31" i="3"/>
  <c r="BR31" i="3" s="1"/>
  <c r="CD22" i="3"/>
  <c r="CC22" i="3"/>
  <c r="CB22" i="3"/>
  <c r="CA22" i="3"/>
  <c r="BZ22" i="3"/>
  <c r="BY22" i="3"/>
  <c r="BX22" i="3"/>
  <c r="BW22" i="3"/>
  <c r="BV22" i="3"/>
  <c r="BU22" i="3"/>
  <c r="BT22" i="3"/>
  <c r="BS22" i="3"/>
  <c r="BR20" i="3"/>
  <c r="BR19" i="3"/>
  <c r="BR18" i="3"/>
  <c r="BR17" i="3"/>
  <c r="BR16" i="3"/>
  <c r="BR15" i="3"/>
  <c r="BR14" i="3"/>
  <c r="BR13" i="3"/>
  <c r="BR12" i="3"/>
  <c r="BR11" i="3"/>
  <c r="BR9" i="3"/>
  <c r="BR8" i="3"/>
  <c r="CC7" i="3"/>
  <c r="CB7" i="3"/>
  <c r="CA7" i="3"/>
  <c r="BZ7" i="3"/>
  <c r="BY7" i="3"/>
  <c r="BX7" i="3"/>
  <c r="BW7" i="3"/>
  <c r="BV7" i="3"/>
  <c r="BU7" i="3"/>
  <c r="BT7" i="3"/>
  <c r="BU68" i="3" s="1"/>
  <c r="BS7" i="3"/>
  <c r="BT68" i="3" s="1"/>
  <c r="DI121" i="9" l="1"/>
  <c r="CT119" i="9"/>
  <c r="DI123" i="9"/>
  <c r="CI36" i="10"/>
  <c r="CI34" i="10" s="1"/>
  <c r="CU120" i="9" s="1"/>
  <c r="CU44" i="9" s="1"/>
  <c r="CI48" i="10"/>
  <c r="CU126" i="9" s="1"/>
  <c r="CU50" i="9" s="1"/>
  <c r="CT46" i="9"/>
  <c r="CI30" i="10"/>
  <c r="CI46" i="10"/>
  <c r="CU125" i="9" s="1"/>
  <c r="CU49" i="9" s="1"/>
  <c r="CT126" i="9"/>
  <c r="CT49" i="9"/>
  <c r="CI22" i="10"/>
  <c r="CI41" i="10"/>
  <c r="CI39" i="10" s="1"/>
  <c r="CU122" i="9" s="1"/>
  <c r="CU46" i="9" s="1"/>
  <c r="CI44" i="10"/>
  <c r="CI32" i="10"/>
  <c r="CU119" i="9" s="1"/>
  <c r="CU43" i="9" s="1"/>
  <c r="DB34" i="9"/>
  <c r="CR13" i="4"/>
  <c r="CQ24" i="4"/>
  <c r="DC110" i="9"/>
  <c r="CJ22" i="5"/>
  <c r="CJ23" i="5" s="1"/>
  <c r="CP36" i="5"/>
  <c r="CO29" i="5"/>
  <c r="CO25" i="5" s="1"/>
  <c r="DA109" i="9" s="1"/>
  <c r="CE27" i="5"/>
  <c r="BR53" i="3"/>
  <c r="BW73" i="3"/>
  <c r="BX68" i="3"/>
  <c r="BU73" i="3"/>
  <c r="BV68" i="3"/>
  <c r="BX79" i="3"/>
  <c r="BV73" i="3"/>
  <c r="BW68" i="3"/>
  <c r="BR22" i="3"/>
  <c r="BR59" i="3"/>
  <c r="BR54" i="3"/>
  <c r="BR7" i="3"/>
  <c r="CE2" i="3" s="1"/>
  <c r="BX73" i="3"/>
  <c r="BS52" i="3"/>
  <c r="BS73" i="3"/>
  <c r="BT79" i="3"/>
  <c r="BU79" i="3"/>
  <c r="BV79" i="3"/>
  <c r="BS79" i="3"/>
  <c r="BW79" i="3"/>
  <c r="BT52" i="3"/>
  <c r="BT73" i="3"/>
  <c r="DA33" i="9" l="1"/>
  <c r="DA32" i="9" s="1"/>
  <c r="DA108" i="9"/>
  <c r="CJ44" i="10"/>
  <c r="CV124" i="9" s="1"/>
  <c r="CV48" i="9" s="1"/>
  <c r="CJ48" i="10"/>
  <c r="CV126" i="9" s="1"/>
  <c r="CV50" i="9" s="1"/>
  <c r="CJ22" i="10"/>
  <c r="CJ36" i="10"/>
  <c r="CU124" i="9"/>
  <c r="CJ30" i="10"/>
  <c r="CV118" i="9" s="1"/>
  <c r="CV42" i="9" s="1"/>
  <c r="CT50" i="9"/>
  <c r="CJ46" i="10"/>
  <c r="CV125" i="9" s="1"/>
  <c r="CT43" i="9"/>
  <c r="CJ41" i="10"/>
  <c r="CJ39" i="10" s="1"/>
  <c r="CV122" i="9" s="1"/>
  <c r="CJ32" i="10"/>
  <c r="CV119" i="9" s="1"/>
  <c r="CV43" i="9" s="1"/>
  <c r="CU118" i="9"/>
  <c r="DC34" i="9"/>
  <c r="CQ110" i="9"/>
  <c r="CR24" i="4"/>
  <c r="CF13" i="4"/>
  <c r="BY24" i="10"/>
  <c r="CQ36" i="5"/>
  <c r="CP29" i="5"/>
  <c r="CP25" i="5" s="1"/>
  <c r="DB109" i="9" s="1"/>
  <c r="CK22" i="5"/>
  <c r="BX83" i="3"/>
  <c r="BV83" i="3"/>
  <c r="BU83" i="3"/>
  <c r="BT83" i="3"/>
  <c r="BW83" i="3"/>
  <c r="BR38" i="3"/>
  <c r="DB33" i="9" l="1"/>
  <c r="DB32" i="9" s="1"/>
  <c r="DB108" i="9"/>
  <c r="CV46" i="9"/>
  <c r="CJ34" i="10"/>
  <c r="CV120" i="9" s="1"/>
  <c r="CK22" i="10"/>
  <c r="CU42" i="9"/>
  <c r="CK41" i="10"/>
  <c r="CK39" i="10" s="1"/>
  <c r="CW122" i="9" s="1"/>
  <c r="CW46" i="9" s="1"/>
  <c r="CK46" i="10"/>
  <c r="CW125" i="9" s="1"/>
  <c r="CW49" i="9" s="1"/>
  <c r="CK32" i="10"/>
  <c r="CW119" i="9" s="1"/>
  <c r="CW43" i="9" s="1"/>
  <c r="CV49" i="9"/>
  <c r="CK48" i="10"/>
  <c r="CK44" i="10"/>
  <c r="CU48" i="9"/>
  <c r="CK30" i="10"/>
  <c r="CK36" i="10"/>
  <c r="CK34" i="10" s="1"/>
  <c r="CW120" i="9" s="1"/>
  <c r="CW44" i="9" s="1"/>
  <c r="CQ34" i="9"/>
  <c r="CQ29" i="5"/>
  <c r="CK23" i="5"/>
  <c r="CL22" i="5"/>
  <c r="CL23" i="5" s="1"/>
  <c r="CE29" i="5"/>
  <c r="CF29" i="9"/>
  <c r="BX299" i="2"/>
  <c r="BW299" i="2"/>
  <c r="BV299" i="2"/>
  <c r="BU299" i="2"/>
  <c r="BT299" i="2"/>
  <c r="BS299" i="2"/>
  <c r="BR298" i="2"/>
  <c r="CD297" i="2"/>
  <c r="CP31" i="9" s="1"/>
  <c r="CC297" i="2"/>
  <c r="CO31" i="9" s="1"/>
  <c r="CB297" i="2"/>
  <c r="CN31" i="9" s="1"/>
  <c r="CA297" i="2"/>
  <c r="CM31" i="9" s="1"/>
  <c r="BZ297" i="2"/>
  <c r="CL31" i="9" s="1"/>
  <c r="BY297" i="2"/>
  <c r="CK31" i="9" s="1"/>
  <c r="BX297" i="2"/>
  <c r="CJ31" i="9" s="1"/>
  <c r="BW297" i="2"/>
  <c r="CI31" i="9" s="1"/>
  <c r="BV297" i="2"/>
  <c r="CH31" i="9" s="1"/>
  <c r="BU297" i="2"/>
  <c r="CG31" i="9" s="1"/>
  <c r="BT297" i="2"/>
  <c r="CF31" i="9" s="1"/>
  <c r="BS297" i="2"/>
  <c r="CE31" i="9" s="1"/>
  <c r="BR294" i="2"/>
  <c r="BR285" i="2"/>
  <c r="BR283" i="2"/>
  <c r="CG29" i="9"/>
  <c r="CG105" i="9" s="1"/>
  <c r="BR260" i="2"/>
  <c r="BR259" i="2"/>
  <c r="BR224" i="2"/>
  <c r="BR200" i="2"/>
  <c r="BR189" i="2"/>
  <c r="BR188" i="2"/>
  <c r="BR187" i="2"/>
  <c r="BR186" i="2"/>
  <c r="BR185" i="2"/>
  <c r="BR183" i="2"/>
  <c r="BR182" i="2"/>
  <c r="BR180" i="2"/>
  <c r="BR179" i="2"/>
  <c r="BR178" i="2"/>
  <c r="BR177" i="2"/>
  <c r="BR176" i="2"/>
  <c r="BR175" i="2"/>
  <c r="BR174" i="2"/>
  <c r="CD173" i="2"/>
  <c r="CC173" i="2"/>
  <c r="CB173" i="2"/>
  <c r="CA173" i="2"/>
  <c r="BZ173" i="2"/>
  <c r="BY173" i="2"/>
  <c r="BX173" i="2"/>
  <c r="BW173" i="2"/>
  <c r="BV173" i="2"/>
  <c r="BU173" i="2"/>
  <c r="BT173" i="2"/>
  <c r="BS173" i="2"/>
  <c r="BR172" i="2"/>
  <c r="BR171" i="2"/>
  <c r="BR170" i="2"/>
  <c r="BR169" i="2"/>
  <c r="BR168" i="2"/>
  <c r="BR167" i="2"/>
  <c r="BR166" i="2"/>
  <c r="BR165" i="2"/>
  <c r="CD164" i="2"/>
  <c r="CC164" i="2"/>
  <c r="CB164" i="2"/>
  <c r="CA164" i="2"/>
  <c r="BZ164" i="2"/>
  <c r="BY164" i="2"/>
  <c r="BX164" i="2"/>
  <c r="BW164" i="2"/>
  <c r="BV164" i="2"/>
  <c r="BU164" i="2"/>
  <c r="BT164" i="2"/>
  <c r="BS164" i="2"/>
  <c r="BR154" i="2"/>
  <c r="BR153" i="2"/>
  <c r="BR152" i="2"/>
  <c r="BR151" i="2"/>
  <c r="BR150" i="2"/>
  <c r="BR149" i="2"/>
  <c r="CD148" i="2"/>
  <c r="CC148" i="2"/>
  <c r="CB148" i="2"/>
  <c r="CA148" i="2"/>
  <c r="BZ148" i="2"/>
  <c r="BY148" i="2"/>
  <c r="BX148" i="2"/>
  <c r="BW148" i="2"/>
  <c r="BV148" i="2"/>
  <c r="BU148" i="2"/>
  <c r="BT148" i="2"/>
  <c r="BS148" i="2"/>
  <c r="BR129" i="2"/>
  <c r="BR122" i="2"/>
  <c r="BR120" i="2"/>
  <c r="BR118" i="2"/>
  <c r="CD112" i="2"/>
  <c r="CC112" i="2"/>
  <c r="CB112" i="2"/>
  <c r="CA112" i="2"/>
  <c r="BZ112" i="2"/>
  <c r="BY112" i="2"/>
  <c r="BX112" i="2"/>
  <c r="BW112" i="2"/>
  <c r="BV112" i="2"/>
  <c r="BU112" i="2"/>
  <c r="BT112" i="2"/>
  <c r="BS112" i="2"/>
  <c r="CD110" i="2"/>
  <c r="CC110" i="2"/>
  <c r="CB110" i="2"/>
  <c r="CA110" i="2"/>
  <c r="BZ110" i="2"/>
  <c r="BY110" i="2"/>
  <c r="BX110" i="2"/>
  <c r="BW110" i="2"/>
  <c r="BV110" i="2"/>
  <c r="BU110" i="2"/>
  <c r="BT110" i="2"/>
  <c r="BS110" i="2"/>
  <c r="BT107" i="2"/>
  <c r="BS107" i="2"/>
  <c r="BR91" i="2"/>
  <c r="BR89" i="2"/>
  <c r="BR86" i="2"/>
  <c r="BR83" i="2"/>
  <c r="BR82" i="2"/>
  <c r="BR81" i="2"/>
  <c r="BR80" i="2"/>
  <c r="BR79" i="2"/>
  <c r="BR77" i="2"/>
  <c r="BR75" i="2"/>
  <c r="BR74" i="2"/>
  <c r="BR46" i="2"/>
  <c r="BR44" i="2"/>
  <c r="BR36" i="2"/>
  <c r="BR35" i="2"/>
  <c r="BR34" i="2"/>
  <c r="BR33" i="2"/>
  <c r="BR32" i="2"/>
  <c r="BR31" i="2"/>
  <c r="BR30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1" i="2"/>
  <c r="BR20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8" i="2"/>
  <c r="BR17" i="2"/>
  <c r="BR16" i="2"/>
  <c r="BR15" i="2"/>
  <c r="BR14" i="2"/>
  <c r="BR13" i="2"/>
  <c r="BR12" i="2"/>
  <c r="BR10" i="2"/>
  <c r="BR9" i="2"/>
  <c r="CD8" i="2"/>
  <c r="CC8" i="2"/>
  <c r="CB8" i="2"/>
  <c r="CA8" i="2"/>
  <c r="BZ8" i="2"/>
  <c r="BY8" i="2"/>
  <c r="BX8" i="2"/>
  <c r="BX231" i="2" s="1"/>
  <c r="BW8" i="2"/>
  <c r="BW231" i="2" s="1"/>
  <c r="BV8" i="2"/>
  <c r="BV231" i="2" s="1"/>
  <c r="BU8" i="2"/>
  <c r="BU231" i="2" s="1"/>
  <c r="BT8" i="2"/>
  <c r="BT231" i="2" s="1"/>
  <c r="BS8" i="2"/>
  <c r="BS231" i="2" s="1"/>
  <c r="CP168" i="9"/>
  <c r="CP120" i="9" s="1"/>
  <c r="CO168" i="9"/>
  <c r="CO120" i="9" s="1"/>
  <c r="CN168" i="9"/>
  <c r="CN120" i="9" s="1"/>
  <c r="CM168" i="9"/>
  <c r="CM120" i="9" s="1"/>
  <c r="CL168" i="9"/>
  <c r="CL120" i="9" s="1"/>
  <c r="CK168" i="9"/>
  <c r="CJ168" i="9"/>
  <c r="CJ120" i="9" s="1"/>
  <c r="CI168" i="9"/>
  <c r="CI120" i="9" s="1"/>
  <c r="CH168" i="9"/>
  <c r="CH120" i="9" s="1"/>
  <c r="CG168" i="9"/>
  <c r="CG120" i="9" s="1"/>
  <c r="CF168" i="9"/>
  <c r="CF120" i="9" s="1"/>
  <c r="AE26" i="14"/>
  <c r="CE168" i="9" s="1"/>
  <c r="CE120" i="9" s="1"/>
  <c r="Q26" i="14"/>
  <c r="D26" i="14"/>
  <c r="CP154" i="9"/>
  <c r="CO154" i="9"/>
  <c r="CN154" i="9"/>
  <c r="CM154" i="9"/>
  <c r="CL154" i="9"/>
  <c r="CK154" i="9"/>
  <c r="CJ154" i="9"/>
  <c r="CI154" i="9"/>
  <c r="CH154" i="9"/>
  <c r="CG154" i="9"/>
  <c r="CF154" i="9"/>
  <c r="CP155" i="9"/>
  <c r="CO155" i="9"/>
  <c r="CN155" i="9"/>
  <c r="CM155" i="9"/>
  <c r="CL155" i="9"/>
  <c r="CK155" i="9"/>
  <c r="CJ155" i="9"/>
  <c r="CI155" i="9"/>
  <c r="CH155" i="9"/>
  <c r="CG155" i="9"/>
  <c r="CF155" i="9"/>
  <c r="CE155" i="9"/>
  <c r="CE154" i="9"/>
  <c r="CJ117" i="9"/>
  <c r="CI117" i="9"/>
  <c r="CH117" i="9"/>
  <c r="CG117" i="9"/>
  <c r="CF117" i="9"/>
  <c r="CE117" i="9"/>
  <c r="CP157" i="9"/>
  <c r="CO157" i="9"/>
  <c r="CN157" i="9"/>
  <c r="CM157" i="9"/>
  <c r="CL157" i="9"/>
  <c r="CK157" i="9"/>
  <c r="CJ157" i="9"/>
  <c r="CI157" i="9"/>
  <c r="CI109" i="9" s="1"/>
  <c r="CH157" i="9"/>
  <c r="CG157" i="9"/>
  <c r="CF157" i="9"/>
  <c r="CF109" i="9" s="1"/>
  <c r="CE157" i="9"/>
  <c r="CE109" i="9" s="1"/>
  <c r="CP139" i="9"/>
  <c r="CO139" i="9"/>
  <c r="CN139" i="9"/>
  <c r="CM139" i="9"/>
  <c r="CL139" i="9"/>
  <c r="CK139" i="9"/>
  <c r="CJ139" i="9"/>
  <c r="CJ91" i="9" s="1"/>
  <c r="CI139" i="9"/>
  <c r="CI91" i="9" s="1"/>
  <c r="CH139" i="9"/>
  <c r="CH91" i="9" s="1"/>
  <c r="CG139" i="9"/>
  <c r="CG91" i="9" s="1"/>
  <c r="CF139" i="9"/>
  <c r="CF91" i="9" s="1"/>
  <c r="CE139" i="9"/>
  <c r="CE91" i="9" s="1"/>
  <c r="AD180" i="14"/>
  <c r="Q180" i="14"/>
  <c r="D180" i="14"/>
  <c r="AD178" i="14"/>
  <c r="Q178" i="14"/>
  <c r="D178" i="14"/>
  <c r="AD177" i="14"/>
  <c r="Q177" i="14"/>
  <c r="D177" i="14"/>
  <c r="AD176" i="14"/>
  <c r="Q176" i="14"/>
  <c r="D176" i="14"/>
  <c r="AD175" i="14"/>
  <c r="Q175" i="14"/>
  <c r="D175" i="14"/>
  <c r="AD174" i="14"/>
  <c r="Q174" i="14"/>
  <c r="D174" i="14"/>
  <c r="AP173" i="14"/>
  <c r="AO173" i="14"/>
  <c r="AN173" i="14"/>
  <c r="AM173" i="14"/>
  <c r="AL173" i="14"/>
  <c r="AK173" i="14"/>
  <c r="AJ173" i="14"/>
  <c r="AI173" i="14"/>
  <c r="AH173" i="14"/>
  <c r="AG173" i="14"/>
  <c r="AF173" i="14"/>
  <c r="AC173" i="14"/>
  <c r="AB173" i="14"/>
  <c r="AA173" i="14"/>
  <c r="Z173" i="14"/>
  <c r="Y173" i="14"/>
  <c r="X173" i="14"/>
  <c r="W173" i="14"/>
  <c r="V173" i="14"/>
  <c r="U173" i="14"/>
  <c r="T173" i="14"/>
  <c r="S173" i="14"/>
  <c r="R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AD172" i="14"/>
  <c r="Q172" i="14"/>
  <c r="D172" i="14"/>
  <c r="AD171" i="14"/>
  <c r="Q171" i="14"/>
  <c r="D171" i="14"/>
  <c r="AD170" i="14"/>
  <c r="Q170" i="14"/>
  <c r="D170" i="14"/>
  <c r="AP169" i="14"/>
  <c r="AO169" i="14"/>
  <c r="AN169" i="14"/>
  <c r="AM169" i="14"/>
  <c r="AL169" i="14"/>
  <c r="AK169" i="14"/>
  <c r="AJ169" i="14"/>
  <c r="AI169" i="14"/>
  <c r="AH169" i="14"/>
  <c r="AG169" i="14"/>
  <c r="AF169" i="14"/>
  <c r="AE169" i="14"/>
  <c r="AC169" i="14"/>
  <c r="AB169" i="14"/>
  <c r="AA169" i="14"/>
  <c r="Z169" i="14"/>
  <c r="Y169" i="14"/>
  <c r="X169" i="14"/>
  <c r="W169" i="14"/>
  <c r="V169" i="14"/>
  <c r="U169" i="14"/>
  <c r="T169" i="14"/>
  <c r="S169" i="14"/>
  <c r="R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AD155" i="14"/>
  <c r="Q155" i="14"/>
  <c r="D155" i="14"/>
  <c r="AD140" i="14"/>
  <c r="Q140" i="14"/>
  <c r="D140" i="14"/>
  <c r="AD119" i="14"/>
  <c r="Q119" i="14"/>
  <c r="D119" i="14"/>
  <c r="Q23" i="14"/>
  <c r="Q50" i="14"/>
  <c r="Q49" i="14"/>
  <c r="D50" i="14"/>
  <c r="D49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AD161" i="14"/>
  <c r="AD160" i="14"/>
  <c r="AD159" i="14"/>
  <c r="AD158" i="14"/>
  <c r="AD157" i="14"/>
  <c r="AD156" i="14"/>
  <c r="AD152" i="14"/>
  <c r="AD151" i="14"/>
  <c r="AD150" i="14"/>
  <c r="AP149" i="14"/>
  <c r="AO149" i="14"/>
  <c r="AN149" i="14"/>
  <c r="AM149" i="14"/>
  <c r="AL149" i="14"/>
  <c r="AK149" i="14"/>
  <c r="AJ149" i="14"/>
  <c r="AI149" i="14"/>
  <c r="AH149" i="14"/>
  <c r="AG149" i="14"/>
  <c r="AF149" i="14"/>
  <c r="AE149" i="14"/>
  <c r="AD142" i="14"/>
  <c r="AD141" i="14"/>
  <c r="AD139" i="14"/>
  <c r="AD138" i="14"/>
  <c r="AD137" i="14"/>
  <c r="AD136" i="14"/>
  <c r="AD133" i="14"/>
  <c r="AD132" i="14"/>
  <c r="AD131" i="14"/>
  <c r="AP130" i="14"/>
  <c r="AO130" i="14"/>
  <c r="AN130" i="14"/>
  <c r="AM130" i="14"/>
  <c r="AL130" i="14"/>
  <c r="AK130" i="14"/>
  <c r="AJ130" i="14"/>
  <c r="AI130" i="14"/>
  <c r="AH130" i="14"/>
  <c r="AG130" i="14"/>
  <c r="AF130" i="14"/>
  <c r="AE130" i="14"/>
  <c r="AD123" i="14"/>
  <c r="AD122" i="14"/>
  <c r="AD120" i="14"/>
  <c r="AD118" i="14"/>
  <c r="AD117" i="14"/>
  <c r="AD115" i="14"/>
  <c r="AD114" i="14"/>
  <c r="AD113" i="14"/>
  <c r="AP112" i="14"/>
  <c r="AP124" i="14" s="1"/>
  <c r="AO112" i="14"/>
  <c r="AN112" i="14"/>
  <c r="AM112" i="14"/>
  <c r="AL112" i="14"/>
  <c r="AK112" i="14"/>
  <c r="AJ112" i="14"/>
  <c r="AI112" i="14"/>
  <c r="AH112" i="14"/>
  <c r="AG112" i="14"/>
  <c r="AF112" i="14"/>
  <c r="AE112" i="14"/>
  <c r="AD105" i="14"/>
  <c r="AD104" i="14"/>
  <c r="AD103" i="14"/>
  <c r="AD102" i="14"/>
  <c r="AD101" i="14"/>
  <c r="AP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99" i="14"/>
  <c r="AD98" i="14"/>
  <c r="AP97" i="14"/>
  <c r="AO97" i="14"/>
  <c r="AN97" i="14"/>
  <c r="AM97" i="14"/>
  <c r="AL97" i="14"/>
  <c r="AK97" i="14"/>
  <c r="AJ97" i="14"/>
  <c r="AI97" i="14"/>
  <c r="AH97" i="14"/>
  <c r="AG97" i="14"/>
  <c r="AF97" i="14"/>
  <c r="AE97" i="14"/>
  <c r="AD89" i="14"/>
  <c r="AD88" i="14"/>
  <c r="AD87" i="14"/>
  <c r="AD86" i="14"/>
  <c r="AD85" i="14"/>
  <c r="AD84" i="14"/>
  <c r="AD83" i="14"/>
  <c r="AJ80" i="14"/>
  <c r="AI80" i="14"/>
  <c r="AH80" i="14"/>
  <c r="AG80" i="14"/>
  <c r="AF80" i="14"/>
  <c r="AE80" i="14"/>
  <c r="AD79" i="14"/>
  <c r="AD78" i="14"/>
  <c r="AD77" i="14"/>
  <c r="AJ75" i="14"/>
  <c r="AI75" i="14"/>
  <c r="AH75" i="14"/>
  <c r="AG75" i="14"/>
  <c r="AF75" i="14"/>
  <c r="AE75" i="14"/>
  <c r="AD48" i="14"/>
  <c r="AD46" i="14"/>
  <c r="AD45" i="14"/>
  <c r="AD44" i="14"/>
  <c r="AD43" i="14"/>
  <c r="AD42" i="14"/>
  <c r="AD41" i="14"/>
  <c r="AD39" i="14"/>
  <c r="AD38" i="14"/>
  <c r="AD37" i="14"/>
  <c r="AD36" i="14"/>
  <c r="AP35" i="14"/>
  <c r="AO35" i="14"/>
  <c r="AN35" i="14"/>
  <c r="AM35" i="14"/>
  <c r="AL35" i="14"/>
  <c r="AK35" i="14"/>
  <c r="AJ35" i="14"/>
  <c r="AI35" i="14"/>
  <c r="AH35" i="14"/>
  <c r="AG35" i="14"/>
  <c r="AF35" i="14"/>
  <c r="AE35" i="14"/>
  <c r="CP160" i="9"/>
  <c r="CP112" i="9" s="1"/>
  <c r="CO160" i="9"/>
  <c r="CO112" i="9" s="1"/>
  <c r="CN160" i="9"/>
  <c r="CN112" i="9" s="1"/>
  <c r="CM160" i="9"/>
  <c r="CM112" i="9" s="1"/>
  <c r="CL160" i="9"/>
  <c r="CL112" i="9" s="1"/>
  <c r="CK160" i="9"/>
  <c r="CK112" i="9" s="1"/>
  <c r="CJ160" i="9"/>
  <c r="CJ112" i="9" s="1"/>
  <c r="CI160" i="9"/>
  <c r="CI112" i="9" s="1"/>
  <c r="CH160" i="9"/>
  <c r="CH112" i="9" s="1"/>
  <c r="CG160" i="9"/>
  <c r="CG112" i="9" s="1"/>
  <c r="CF160" i="9"/>
  <c r="CF112" i="9" s="1"/>
  <c r="CE160" i="9"/>
  <c r="CE112" i="9" s="1"/>
  <c r="CF142" i="9"/>
  <c r="AE17" i="14"/>
  <c r="CG137" i="9"/>
  <c r="CG89" i="9" s="1"/>
  <c r="AE12" i="14"/>
  <c r="CP141" i="9"/>
  <c r="CP93" i="9" s="1"/>
  <c r="CO141" i="9"/>
  <c r="CO93" i="9" s="1"/>
  <c r="CN141" i="9"/>
  <c r="CN93" i="9" s="1"/>
  <c r="CM141" i="9"/>
  <c r="CM93" i="9" s="1"/>
  <c r="CL141" i="9"/>
  <c r="CL93" i="9" s="1"/>
  <c r="CH141" i="9"/>
  <c r="CH93" i="9" s="1"/>
  <c r="CG141" i="9"/>
  <c r="CG93" i="9" s="1"/>
  <c r="CF141" i="9"/>
  <c r="CF93" i="9" s="1"/>
  <c r="AE11" i="14"/>
  <c r="CE141" i="9" s="1"/>
  <c r="CE93" i="9" s="1"/>
  <c r="CD231" i="2" l="1"/>
  <c r="CD232" i="2"/>
  <c r="CE3" i="2"/>
  <c r="CE4" i="2"/>
  <c r="E27" i="28"/>
  <c r="E181" i="14"/>
  <c r="E10" i="24"/>
  <c r="E9" i="24"/>
  <c r="BT268" i="2"/>
  <c r="BR25" i="2"/>
  <c r="E7" i="24"/>
  <c r="BU268" i="2"/>
  <c r="BV268" i="2"/>
  <c r="E11" i="24"/>
  <c r="BW268" i="2"/>
  <c r="BX268" i="2"/>
  <c r="CL32" i="10"/>
  <c r="CX119" i="9" s="1"/>
  <c r="CL46" i="10"/>
  <c r="CX125" i="9" s="1"/>
  <c r="CW118" i="9"/>
  <c r="CL41" i="10"/>
  <c r="CL39" i="10" s="1"/>
  <c r="CX122" i="9" s="1"/>
  <c r="CX46" i="9" s="1"/>
  <c r="CL36" i="10"/>
  <c r="CL34" i="10" s="1"/>
  <c r="CX120" i="9" s="1"/>
  <c r="CX44" i="9" s="1"/>
  <c r="CW124" i="9"/>
  <c r="CL30" i="10"/>
  <c r="CX118" i="9" s="1"/>
  <c r="CX42" i="9" s="1"/>
  <c r="CL44" i="10"/>
  <c r="CX124" i="9" s="1"/>
  <c r="CX48" i="9" s="1"/>
  <c r="CL22" i="10"/>
  <c r="CV44" i="9"/>
  <c r="CW126" i="9"/>
  <c r="CL48" i="10"/>
  <c r="CX126" i="9" s="1"/>
  <c r="CX50" i="9" s="1"/>
  <c r="F181" i="14"/>
  <c r="W181" i="14"/>
  <c r="CF94" i="9"/>
  <c r="BZ24" i="10"/>
  <c r="CA24" i="10"/>
  <c r="BY51" i="3"/>
  <c r="CM22" i="5"/>
  <c r="CM23" i="5" s="1"/>
  <c r="O181" i="14"/>
  <c r="P181" i="14"/>
  <c r="AC181" i="14"/>
  <c r="CF107" i="9"/>
  <c r="CG107" i="9"/>
  <c r="CH107" i="9"/>
  <c r="CI107" i="9"/>
  <c r="CJ107" i="9"/>
  <c r="CK107" i="9"/>
  <c r="CL107" i="9"/>
  <c r="CM107" i="9"/>
  <c r="CN107" i="9"/>
  <c r="CO107" i="9"/>
  <c r="CH156" i="9"/>
  <c r="CH108" i="9" s="1"/>
  <c r="CH109" i="9"/>
  <c r="CP107" i="9"/>
  <c r="BR272" i="2"/>
  <c r="BR246" i="2"/>
  <c r="CF105" i="9"/>
  <c r="CD267" i="2"/>
  <c r="BU29" i="10"/>
  <c r="BU308" i="2"/>
  <c r="BV303" i="2"/>
  <c r="BU267" i="2"/>
  <c r="BU292" i="2"/>
  <c r="BU293" i="2"/>
  <c r="BX38" i="4"/>
  <c r="BX42" i="4" s="1"/>
  <c r="BV29" i="10"/>
  <c r="BW303" i="2"/>
  <c r="BV308" i="2"/>
  <c r="BV267" i="2"/>
  <c r="BV292" i="2"/>
  <c r="BV293" i="2"/>
  <c r="BY38" i="4"/>
  <c r="BY42" i="4" s="1"/>
  <c r="BW29" i="10"/>
  <c r="BX303" i="2"/>
  <c r="BW308" i="2"/>
  <c r="BW267" i="2"/>
  <c r="BW292" i="2"/>
  <c r="BW293" i="2"/>
  <c r="BX29" i="10"/>
  <c r="BX308" i="2"/>
  <c r="BX267" i="2"/>
  <c r="BX292" i="2"/>
  <c r="BX293" i="2"/>
  <c r="CE107" i="9"/>
  <c r="CD31" i="9"/>
  <c r="BV38" i="4"/>
  <c r="BV42" i="4" s="1"/>
  <c r="BT29" i="10"/>
  <c r="BU303" i="2"/>
  <c r="BT308" i="2"/>
  <c r="BT292" i="2"/>
  <c r="BT267" i="2"/>
  <c r="BT293" i="2"/>
  <c r="BS29" i="10"/>
  <c r="BS308" i="2"/>
  <c r="BT303" i="2"/>
  <c r="BS293" i="2"/>
  <c r="BS292" i="2"/>
  <c r="BU38" i="4"/>
  <c r="BW38" i="4"/>
  <c r="BR24" i="2"/>
  <c r="BT52" i="4"/>
  <c r="BT51" i="4"/>
  <c r="CH29" i="9"/>
  <c r="CH105" i="9" s="1"/>
  <c r="BU52" i="4"/>
  <c r="BU51" i="4"/>
  <c r="CI29" i="9"/>
  <c r="CI105" i="9" s="1"/>
  <c r="BV52" i="4"/>
  <c r="BV51" i="4"/>
  <c r="CJ29" i="9"/>
  <c r="CJ105" i="9" s="1"/>
  <c r="BW52" i="4"/>
  <c r="BW51" i="4"/>
  <c r="BX52" i="4"/>
  <c r="BX51" i="4"/>
  <c r="BT23" i="10"/>
  <c r="BT20" i="10" s="1"/>
  <c r="CF40" i="9" s="1"/>
  <c r="BY52" i="4"/>
  <c r="BY51" i="4"/>
  <c r="BU23" i="10"/>
  <c r="BU20" i="10" s="1"/>
  <c r="CG40" i="9" s="1"/>
  <c r="BZ52" i="4"/>
  <c r="BZ51" i="4"/>
  <c r="BR262" i="2"/>
  <c r="BR275" i="2" s="1"/>
  <c r="BV23" i="10"/>
  <c r="BV20" i="10" s="1"/>
  <c r="CH40" i="9" s="1"/>
  <c r="CA52" i="4"/>
  <c r="CA51" i="4"/>
  <c r="BW23" i="10"/>
  <c r="BW20" i="10" s="1"/>
  <c r="CI40" i="9" s="1"/>
  <c r="CB52" i="4"/>
  <c r="CB51" i="4"/>
  <c r="BX23" i="10"/>
  <c r="BX20" i="10" s="1"/>
  <c r="CJ40" i="9" s="1"/>
  <c r="CC52" i="4"/>
  <c r="CC51" i="4"/>
  <c r="CD52" i="4"/>
  <c r="CD51" i="4"/>
  <c r="CE52" i="4"/>
  <c r="CE51" i="4"/>
  <c r="CJ30" i="9"/>
  <c r="CJ106" i="9" s="1"/>
  <c r="AN181" i="14"/>
  <c r="CJ141" i="9"/>
  <c r="CJ93" i="9" s="1"/>
  <c r="CK141" i="9"/>
  <c r="CK93" i="9" s="1"/>
  <c r="CI141" i="9"/>
  <c r="CI93" i="9" s="1"/>
  <c r="CP162" i="9"/>
  <c r="CD8" i="10"/>
  <c r="CD6" i="10" s="1"/>
  <c r="CE147" i="9"/>
  <c r="CF147" i="9"/>
  <c r="BU28" i="4"/>
  <c r="BU35" i="4" s="1"/>
  <c r="CG147" i="9"/>
  <c r="BV28" i="4"/>
  <c r="BV35" i="4" s="1"/>
  <c r="CH147" i="9"/>
  <c r="BW28" i="4"/>
  <c r="BW35" i="4" s="1"/>
  <c r="CI147" i="9"/>
  <c r="CI99" i="9" s="1"/>
  <c r="BX28" i="4"/>
  <c r="BX35" i="4" s="1"/>
  <c r="CE162" i="9"/>
  <c r="BS8" i="10"/>
  <c r="CJ147" i="9"/>
  <c r="BY28" i="4"/>
  <c r="BY35" i="4" s="1"/>
  <c r="CF162" i="9"/>
  <c r="BT8" i="10"/>
  <c r="BT6" i="10" s="1"/>
  <c r="CK147" i="9"/>
  <c r="CG162" i="9"/>
  <c r="BU8" i="10"/>
  <c r="BU6" i="10" s="1"/>
  <c r="CL147" i="9"/>
  <c r="CH162" i="9"/>
  <c r="BV8" i="10"/>
  <c r="BV6" i="10" s="1"/>
  <c r="CM147" i="9"/>
  <c r="CB28" i="4"/>
  <c r="CI162" i="9"/>
  <c r="BW8" i="10"/>
  <c r="BW6" i="10" s="1"/>
  <c r="CN147" i="9"/>
  <c r="CC28" i="4"/>
  <c r="CJ162" i="9"/>
  <c r="BX8" i="10"/>
  <c r="BX6" i="10" s="1"/>
  <c r="CO147" i="9"/>
  <c r="CD28" i="4"/>
  <c r="CL162" i="9"/>
  <c r="BZ8" i="10"/>
  <c r="BZ6" i="10" s="1"/>
  <c r="CP147" i="9"/>
  <c r="CE28" i="4"/>
  <c r="CM162" i="9"/>
  <c r="CA8" i="10"/>
  <c r="CA6" i="10" s="1"/>
  <c r="CN162" i="9"/>
  <c r="CB8" i="10"/>
  <c r="CB6" i="10" s="1"/>
  <c r="CO162" i="9"/>
  <c r="CC8" i="10"/>
  <c r="CC6" i="10" s="1"/>
  <c r="CJ152" i="9"/>
  <c r="CM156" i="9"/>
  <c r="CE137" i="9"/>
  <c r="CE89" i="9" s="1"/>
  <c r="CF137" i="9"/>
  <c r="CF89" i="9" s="1"/>
  <c r="CH137" i="9"/>
  <c r="CH89" i="9" s="1"/>
  <c r="CI137" i="9"/>
  <c r="CI89" i="9" s="1"/>
  <c r="CE142" i="9"/>
  <c r="CJ137" i="9"/>
  <c r="CJ89" i="9" s="1"/>
  <c r="CH142" i="9"/>
  <c r="CJ142" i="9"/>
  <c r="CD139" i="9"/>
  <c r="AG15" i="14"/>
  <c r="CF138" i="9"/>
  <c r="CG138" i="9"/>
  <c r="CG136" i="9" s="1"/>
  <c r="CH138" i="9"/>
  <c r="CL159" i="9"/>
  <c r="CL111" i="9" s="1"/>
  <c r="CP156" i="9"/>
  <c r="CP152" i="9"/>
  <c r="CF159" i="9"/>
  <c r="CF111" i="9" s="1"/>
  <c r="CG159" i="9"/>
  <c r="CG111" i="9" s="1"/>
  <c r="CM159" i="9"/>
  <c r="CM111" i="9" s="1"/>
  <c r="CE138" i="9"/>
  <c r="CO159" i="9"/>
  <c r="CO111" i="9" s="1"/>
  <c r="CD168" i="9"/>
  <c r="CN159" i="9"/>
  <c r="CN111" i="9" s="1"/>
  <c r="CP159" i="9"/>
  <c r="CP111" i="9" s="1"/>
  <c r="CE156" i="9"/>
  <c r="CE108" i="9" s="1"/>
  <c r="CF152" i="9"/>
  <c r="CG156" i="9"/>
  <c r="CI156" i="9"/>
  <c r="CI108" i="9" s="1"/>
  <c r="CD154" i="9"/>
  <c r="CE152" i="9"/>
  <c r="CI152" i="9"/>
  <c r="CE159" i="9"/>
  <c r="CE111" i="9" s="1"/>
  <c r="CJ156" i="9"/>
  <c r="CK156" i="9"/>
  <c r="CK152" i="9"/>
  <c r="CL138" i="9"/>
  <c r="CL156" i="9"/>
  <c r="CI159" i="9"/>
  <c r="CI111" i="9" s="1"/>
  <c r="CH152" i="9"/>
  <c r="CM152" i="9"/>
  <c r="CH159" i="9"/>
  <c r="CH111" i="9" s="1"/>
  <c r="CL152" i="9"/>
  <c r="CJ159" i="9"/>
  <c r="CJ111" i="9" s="1"/>
  <c r="CN156" i="9"/>
  <c r="CN152" i="9"/>
  <c r="CG152" i="9"/>
  <c r="CK159" i="9"/>
  <c r="CK111" i="9" s="1"/>
  <c r="CO138" i="9"/>
  <c r="CO156" i="9"/>
  <c r="CO152" i="9"/>
  <c r="CN138" i="9"/>
  <c r="AJ15" i="14"/>
  <c r="CG142" i="9"/>
  <c r="AI15" i="14"/>
  <c r="CI142" i="9"/>
  <c r="CF156" i="9"/>
  <c r="CF108" i="9" s="1"/>
  <c r="AE15" i="14"/>
  <c r="AE181" i="14"/>
  <c r="AF15" i="14"/>
  <c r="AH15" i="14"/>
  <c r="CP138" i="9"/>
  <c r="R181" i="14"/>
  <c r="AI181" i="14"/>
  <c r="BR19" i="2"/>
  <c r="BR148" i="2"/>
  <c r="BR29" i="2"/>
  <c r="BR164" i="2"/>
  <c r="BS85" i="2"/>
  <c r="BR173" i="2"/>
  <c r="BR110" i="2"/>
  <c r="BR8" i="2"/>
  <c r="BR273" i="2"/>
  <c r="BR213" i="2"/>
  <c r="BR236" i="2"/>
  <c r="BR112" i="2"/>
  <c r="BU107" i="2"/>
  <c r="BR299" i="2"/>
  <c r="BR297" i="2"/>
  <c r="CD160" i="9"/>
  <c r="CM138" i="9"/>
  <c r="CD157" i="9"/>
  <c r="CD155" i="9"/>
  <c r="AK181" i="14"/>
  <c r="U181" i="14"/>
  <c r="AH90" i="14"/>
  <c r="AJ181" i="14"/>
  <c r="AD26" i="14"/>
  <c r="S181" i="14"/>
  <c r="G181" i="14"/>
  <c r="X181" i="14"/>
  <c r="AO181" i="14"/>
  <c r="H181" i="14"/>
  <c r="Y181" i="14"/>
  <c r="AP181" i="14"/>
  <c r="AD23" i="14"/>
  <c r="I181" i="14"/>
  <c r="Z181" i="14"/>
  <c r="AM181" i="14"/>
  <c r="J181" i="14"/>
  <c r="AA181" i="14"/>
  <c r="M181" i="14"/>
  <c r="K181" i="14"/>
  <c r="L181" i="14"/>
  <c r="N181" i="14"/>
  <c r="AF181" i="14"/>
  <c r="AG181" i="14"/>
  <c r="AB181" i="14"/>
  <c r="AH181" i="14"/>
  <c r="D173" i="14"/>
  <c r="T181" i="14"/>
  <c r="AL181" i="14"/>
  <c r="Q173" i="14"/>
  <c r="D169" i="14"/>
  <c r="Q169" i="14"/>
  <c r="AD173" i="14"/>
  <c r="AD169" i="14"/>
  <c r="V181" i="14"/>
  <c r="AG90" i="14"/>
  <c r="AF90" i="14"/>
  <c r="AE143" i="14"/>
  <c r="AH143" i="14"/>
  <c r="AG162" i="14"/>
  <c r="AG124" i="14"/>
  <c r="AF124" i="14"/>
  <c r="AJ90" i="14"/>
  <c r="AI90" i="14"/>
  <c r="AE106" i="14"/>
  <c r="AH106" i="14"/>
  <c r="AI124" i="14"/>
  <c r="AK106" i="14"/>
  <c r="AI162" i="14"/>
  <c r="AJ143" i="14"/>
  <c r="AJ106" i="14"/>
  <c r="AL143" i="14"/>
  <c r="AE162" i="14"/>
  <c r="AL124" i="14"/>
  <c r="AF106" i="14"/>
  <c r="AH124" i="14"/>
  <c r="AI143" i="14"/>
  <c r="AH162" i="14"/>
  <c r="AI106" i="14"/>
  <c r="AM106" i="14"/>
  <c r="AO124" i="14"/>
  <c r="AP162" i="14"/>
  <c r="AN162" i="14"/>
  <c r="AO106" i="14"/>
  <c r="AO143" i="14"/>
  <c r="AG9" i="14"/>
  <c r="AI51" i="14"/>
  <c r="AJ51" i="14"/>
  <c r="AF51" i="14"/>
  <c r="AH51" i="14"/>
  <c r="AK51" i="14"/>
  <c r="AL51" i="14"/>
  <c r="AE51" i="14"/>
  <c r="AO51" i="14"/>
  <c r="AN51" i="14"/>
  <c r="AP51" i="14"/>
  <c r="AL106" i="14"/>
  <c r="AD16" i="14"/>
  <c r="AN106" i="14"/>
  <c r="AP106" i="14"/>
  <c r="AM124" i="14"/>
  <c r="AO162" i="14"/>
  <c r="AD19" i="14"/>
  <c r="BY8" i="10"/>
  <c r="BY6" i="10" s="1"/>
  <c r="AF143" i="14"/>
  <c r="AD13" i="14"/>
  <c r="AG143" i="14"/>
  <c r="AF162" i="14"/>
  <c r="AD25" i="14"/>
  <c r="AJ124" i="14"/>
  <c r="AD12" i="14"/>
  <c r="AN124" i="14"/>
  <c r="AD134" i="14"/>
  <c r="AD153" i="14"/>
  <c r="AD130" i="14"/>
  <c r="AD149" i="14"/>
  <c r="AD40" i="14"/>
  <c r="AM143" i="14"/>
  <c r="AD21" i="14"/>
  <c r="AD24" i="14"/>
  <c r="AD100" i="14"/>
  <c r="AN143" i="14"/>
  <c r="AD14" i="14"/>
  <c r="AE124" i="14"/>
  <c r="AK162" i="14"/>
  <c r="AD18" i="14"/>
  <c r="AG106" i="14"/>
  <c r="AL162" i="14"/>
  <c r="AM162" i="14"/>
  <c r="AP143" i="14"/>
  <c r="AJ162" i="14"/>
  <c r="AD116" i="14"/>
  <c r="AD22" i="14"/>
  <c r="AE9" i="14"/>
  <c r="AD11" i="14"/>
  <c r="AF9" i="14"/>
  <c r="AM51" i="14"/>
  <c r="AJ9" i="14"/>
  <c r="AI9" i="14"/>
  <c r="AH9" i="14"/>
  <c r="AD35" i="14"/>
  <c r="AD112" i="14"/>
  <c r="AD97" i="14"/>
  <c r="AG51" i="14"/>
  <c r="AE90" i="14"/>
  <c r="AK143" i="14"/>
  <c r="DL31" i="9" l="1"/>
  <c r="CE35" i="4"/>
  <c r="CE24" i="4"/>
  <c r="CD35" i="4"/>
  <c r="CD24" i="4"/>
  <c r="CC35" i="4"/>
  <c r="CC24" i="4"/>
  <c r="CB35" i="4"/>
  <c r="CB24" i="4"/>
  <c r="E6" i="24"/>
  <c r="BR3" i="2"/>
  <c r="G6" i="24"/>
  <c r="H6" i="24"/>
  <c r="G7" i="24"/>
  <c r="H7" i="24"/>
  <c r="H9" i="24"/>
  <c r="G9" i="24"/>
  <c r="H11" i="24"/>
  <c r="G11" i="24"/>
  <c r="G10" i="24"/>
  <c r="H10" i="24"/>
  <c r="D24" i="28"/>
  <c r="G24" i="28" s="1"/>
  <c r="E4" i="24"/>
  <c r="CW48" i="9"/>
  <c r="CW50" i="9"/>
  <c r="CM36" i="10"/>
  <c r="CM34" i="10" s="1"/>
  <c r="CY120" i="9" s="1"/>
  <c r="CY44" i="9" s="1"/>
  <c r="CM41" i="10"/>
  <c r="CM39" i="10" s="1"/>
  <c r="CY122" i="9" s="1"/>
  <c r="CM48" i="10"/>
  <c r="CW42" i="9"/>
  <c r="CM22" i="10"/>
  <c r="CM46" i="10"/>
  <c r="CY125" i="9" s="1"/>
  <c r="CY49" i="9" s="1"/>
  <c r="CX49" i="9"/>
  <c r="CM44" i="10"/>
  <c r="CY124" i="9" s="1"/>
  <c r="CY48" i="9" s="1"/>
  <c r="CM32" i="10"/>
  <c r="CY119" i="9" s="1"/>
  <c r="CY43" i="9" s="1"/>
  <c r="CX43" i="9"/>
  <c r="CM30" i="10"/>
  <c r="DH168" i="9"/>
  <c r="DI168" i="9"/>
  <c r="CD156" i="9"/>
  <c r="DI31" i="9"/>
  <c r="CJ138" i="9"/>
  <c r="CJ136" i="9" s="1"/>
  <c r="CJ143" i="9" s="1"/>
  <c r="CF84" i="9"/>
  <c r="CE94" i="9"/>
  <c r="CE84" i="9" s="1"/>
  <c r="CE131" i="9"/>
  <c r="CI94" i="9"/>
  <c r="CI84" i="9" s="1"/>
  <c r="CI131" i="9"/>
  <c r="CJ94" i="9"/>
  <c r="CJ84" i="9" s="1"/>
  <c r="CJ131" i="9"/>
  <c r="CH94" i="9"/>
  <c r="CH84" i="9" s="1"/>
  <c r="CH131" i="9"/>
  <c r="CF131" i="9"/>
  <c r="CG94" i="9"/>
  <c r="CG84" i="9" s="1"/>
  <c r="CG131" i="9"/>
  <c r="CB24" i="10"/>
  <c r="BZ51" i="3"/>
  <c r="CN22" i="5"/>
  <c r="CN23" i="5" s="1"/>
  <c r="CE1" i="2"/>
  <c r="CE5" i="2"/>
  <c r="CL145" i="9"/>
  <c r="CL144" i="9" s="1"/>
  <c r="CK145" i="9"/>
  <c r="CK138" i="9"/>
  <c r="CI138" i="9"/>
  <c r="CI136" i="9" s="1"/>
  <c r="CI143" i="9" s="1"/>
  <c r="CD141" i="9"/>
  <c r="CP145" i="9"/>
  <c r="CP99" i="9"/>
  <c r="CF145" i="9"/>
  <c r="CF144" i="9" s="1"/>
  <c r="CF99" i="9"/>
  <c r="CE145" i="9"/>
  <c r="CE144" i="9" s="1"/>
  <c r="CE99" i="9"/>
  <c r="CO145" i="9"/>
  <c r="CO99" i="9"/>
  <c r="CD107" i="9"/>
  <c r="CN145" i="9"/>
  <c r="CN99" i="9"/>
  <c r="CJ145" i="9"/>
  <c r="CJ144" i="9" s="1"/>
  <c r="CJ99" i="9"/>
  <c r="CH145" i="9"/>
  <c r="CH99" i="9"/>
  <c r="CM145" i="9"/>
  <c r="CM99" i="9"/>
  <c r="CG145" i="9"/>
  <c r="CG144" i="9" s="1"/>
  <c r="CG99" i="9"/>
  <c r="CD159" i="9"/>
  <c r="CD112" i="9"/>
  <c r="BU7" i="10"/>
  <c r="CG39" i="9"/>
  <c r="CG115" i="9" s="1"/>
  <c r="CD7" i="10"/>
  <c r="CP39" i="9"/>
  <c r="CP115" i="9" s="1"/>
  <c r="BX7" i="10"/>
  <c r="CJ39" i="9"/>
  <c r="CJ115" i="9" s="1"/>
  <c r="BY7" i="10"/>
  <c r="CK39" i="9"/>
  <c r="BW7" i="10"/>
  <c r="CI39" i="9"/>
  <c r="CI115" i="9" s="1"/>
  <c r="CC7" i="10"/>
  <c r="CO39" i="9"/>
  <c r="CO115" i="9" s="1"/>
  <c r="CB7" i="10"/>
  <c r="CN39" i="9"/>
  <c r="CN115" i="9" s="1"/>
  <c r="BZ7" i="10"/>
  <c r="CL39" i="9"/>
  <c r="CL115" i="9" s="1"/>
  <c r="CA7" i="10"/>
  <c r="CM39" i="9"/>
  <c r="CM115" i="9" s="1"/>
  <c r="BV7" i="10"/>
  <c r="CH39" i="9"/>
  <c r="CH115" i="9" s="1"/>
  <c r="BT7" i="10"/>
  <c r="CF39" i="9"/>
  <c r="CF115" i="9" s="1"/>
  <c r="CJ116" i="9"/>
  <c r="CF116" i="9"/>
  <c r="CI116" i="9"/>
  <c r="CH116" i="9"/>
  <c r="CG116" i="9"/>
  <c r="CG30" i="9"/>
  <c r="CG106" i="9" s="1"/>
  <c r="CF30" i="9"/>
  <c r="CF106" i="9" s="1"/>
  <c r="CJ28" i="9"/>
  <c r="CJ104" i="9" s="1"/>
  <c r="BU42" i="4"/>
  <c r="CI30" i="9"/>
  <c r="CI106" i="9" s="1"/>
  <c r="BS40" i="2"/>
  <c r="BS108" i="2"/>
  <c r="BS23" i="10"/>
  <c r="CE30" i="9"/>
  <c r="CE106" i="9" s="1"/>
  <c r="CH30" i="9"/>
  <c r="CH106" i="9" s="1"/>
  <c r="BS51" i="4"/>
  <c r="BS52" i="4"/>
  <c r="BW42" i="4"/>
  <c r="CD152" i="9"/>
  <c r="CE136" i="9"/>
  <c r="CE143" i="9" s="1"/>
  <c r="CD147" i="9"/>
  <c r="CI145" i="9"/>
  <c r="CH136" i="9"/>
  <c r="CH143" i="9" s="1"/>
  <c r="CG143" i="9"/>
  <c r="BS6" i="10"/>
  <c r="CE39" i="9" s="1"/>
  <c r="CF136" i="9"/>
  <c r="CF143" i="9" s="1"/>
  <c r="BS31" i="4"/>
  <c r="BT111" i="2"/>
  <c r="BU111" i="2"/>
  <c r="D181" i="14"/>
  <c r="BR222" i="2"/>
  <c r="BR234" i="2" s="1"/>
  <c r="BR198" i="2"/>
  <c r="BR211" i="2" s="1"/>
  <c r="BS52" i="2"/>
  <c r="BV107" i="2"/>
  <c r="AD181" i="14"/>
  <c r="Q181" i="14"/>
  <c r="AG27" i="14"/>
  <c r="AD106" i="14"/>
  <c r="AD143" i="14"/>
  <c r="AD20" i="14"/>
  <c r="BR8" i="10" s="1"/>
  <c r="BR1" i="10" s="1"/>
  <c r="AH27" i="14"/>
  <c r="AI27" i="14"/>
  <c r="AD124" i="14"/>
  <c r="AF27" i="14"/>
  <c r="AD162" i="14"/>
  <c r="AE27" i="14"/>
  <c r="AK124" i="14"/>
  <c r="AJ27" i="14"/>
  <c r="AD51" i="14"/>
  <c r="CK41" i="9" l="1"/>
  <c r="E5" i="24"/>
  <c r="H4" i="24"/>
  <c r="G4" i="24"/>
  <c r="DI107" i="9"/>
  <c r="DI112" i="9"/>
  <c r="CN41" i="10"/>
  <c r="CN39" i="10" s="1"/>
  <c r="CZ122" i="9" s="1"/>
  <c r="CZ46" i="9" s="1"/>
  <c r="CN30" i="10"/>
  <c r="CZ118" i="9" s="1"/>
  <c r="CZ42" i="9" s="1"/>
  <c r="CN32" i="10"/>
  <c r="CZ119" i="9" s="1"/>
  <c r="CN22" i="10"/>
  <c r="CN44" i="10"/>
  <c r="CZ124" i="9" s="1"/>
  <c r="CZ48" i="9" s="1"/>
  <c r="CN36" i="10"/>
  <c r="CN34" i="10" s="1"/>
  <c r="CZ120" i="9" s="1"/>
  <c r="CZ44" i="9" s="1"/>
  <c r="CY118" i="9"/>
  <c r="CY126" i="9"/>
  <c r="CN46" i="10"/>
  <c r="CZ125" i="9" s="1"/>
  <c r="CN48" i="10"/>
  <c r="CZ126" i="9" s="1"/>
  <c r="CZ50" i="9" s="1"/>
  <c r="CY46" i="9"/>
  <c r="CD93" i="9"/>
  <c r="DI156" i="9"/>
  <c r="CD145" i="9"/>
  <c r="CD111" i="9"/>
  <c r="DI159" i="9"/>
  <c r="CK117" i="9"/>
  <c r="CA51" i="3"/>
  <c r="CO22" i="5"/>
  <c r="CO23" i="5" s="1"/>
  <c r="BY23" i="10"/>
  <c r="BY20" i="10" s="1"/>
  <c r="CK40" i="9" s="1"/>
  <c r="CP144" i="9"/>
  <c r="CN144" i="9"/>
  <c r="CJ38" i="9"/>
  <c r="CJ114" i="9" s="1"/>
  <c r="CO144" i="9"/>
  <c r="CH38" i="9"/>
  <c r="CH114" i="9" s="1"/>
  <c r="CD138" i="9"/>
  <c r="CG38" i="9"/>
  <c r="CG114" i="9" s="1"/>
  <c r="CH144" i="9"/>
  <c r="CH176" i="9" s="1"/>
  <c r="CK115" i="9"/>
  <c r="CI144" i="9"/>
  <c r="CI176" i="9" s="1"/>
  <c r="CM144" i="9"/>
  <c r="CF38" i="9"/>
  <c r="CF114" i="9" s="1"/>
  <c r="CI38" i="9"/>
  <c r="CE115" i="9"/>
  <c r="CD39" i="9"/>
  <c r="CG28" i="9"/>
  <c r="CG104" i="9" s="1"/>
  <c r="CF28" i="9"/>
  <c r="CF104" i="9" s="1"/>
  <c r="BS20" i="10"/>
  <c r="CE40" i="9" s="1"/>
  <c r="BS113" i="2"/>
  <c r="BS114" i="2"/>
  <c r="CH28" i="9"/>
  <c r="CH104" i="9" s="1"/>
  <c r="CI28" i="9"/>
  <c r="CI104" i="9" s="1"/>
  <c r="CE176" i="9"/>
  <c r="CG176" i="9"/>
  <c r="CF176" i="9"/>
  <c r="CJ176" i="9"/>
  <c r="BX24" i="4"/>
  <c r="BU24" i="4"/>
  <c r="BV24" i="4"/>
  <c r="BS7" i="10"/>
  <c r="BR6" i="10"/>
  <c r="BR7" i="10" s="1"/>
  <c r="BY24" i="4"/>
  <c r="BW24" i="4"/>
  <c r="BV111" i="2"/>
  <c r="CK162" i="9"/>
  <c r="CK144" i="9" s="1"/>
  <c r="CD163" i="9"/>
  <c r="BR244" i="2"/>
  <c r="BR221" i="2"/>
  <c r="BR233" i="2" s="1"/>
  <c r="BW107" i="2"/>
  <c r="D32" i="28" l="1"/>
  <c r="G5" i="24"/>
  <c r="H5" i="24"/>
  <c r="DI93" i="9"/>
  <c r="DI111" i="9"/>
  <c r="CO46" i="10"/>
  <c r="DA125" i="9" s="1"/>
  <c r="DA49" i="9" s="1"/>
  <c r="CZ49" i="9"/>
  <c r="CO32" i="10"/>
  <c r="DA119" i="9" s="1"/>
  <c r="DA43" i="9" s="1"/>
  <c r="CO36" i="10"/>
  <c r="CO34" i="10" s="1"/>
  <c r="DA120" i="9" s="1"/>
  <c r="DA44" i="9" s="1"/>
  <c r="CZ43" i="9"/>
  <c r="CO48" i="10"/>
  <c r="DA126" i="9" s="1"/>
  <c r="DA50" i="9" s="1"/>
  <c r="CY50" i="9"/>
  <c r="CO30" i="10"/>
  <c r="DA118" i="9" s="1"/>
  <c r="DA42" i="9" s="1"/>
  <c r="CO44" i="10"/>
  <c r="DA124" i="9" s="1"/>
  <c r="DA48" i="9" s="1"/>
  <c r="CY42" i="9"/>
  <c r="CO41" i="10"/>
  <c r="CO39" i="10" s="1"/>
  <c r="DA122" i="9" s="1"/>
  <c r="DA46" i="9" s="1"/>
  <c r="CO22" i="10"/>
  <c r="DI145" i="9"/>
  <c r="CD162" i="9"/>
  <c r="DI163" i="9"/>
  <c r="CM41" i="9"/>
  <c r="CM117" i="9" s="1"/>
  <c r="CL41" i="9"/>
  <c r="CD24" i="10"/>
  <c r="CC24" i="10"/>
  <c r="CB51" i="3"/>
  <c r="CP22" i="5"/>
  <c r="CP23" i="5" s="1"/>
  <c r="CK116" i="9"/>
  <c r="CI114" i="9"/>
  <c r="CD115" i="9"/>
  <c r="CE116" i="9"/>
  <c r="CE38" i="9"/>
  <c r="CG21" i="9"/>
  <c r="CG97" i="9" s="1"/>
  <c r="CH21" i="9"/>
  <c r="CH97" i="9" s="1"/>
  <c r="CF21" i="9"/>
  <c r="CI21" i="9"/>
  <c r="CJ21" i="9"/>
  <c r="CJ97" i="9" s="1"/>
  <c r="BT85" i="2"/>
  <c r="BT113" i="2"/>
  <c r="CE14" i="9"/>
  <c r="CE90" i="9" s="1"/>
  <c r="BT108" i="2"/>
  <c r="CE28" i="9"/>
  <c r="CE104" i="9" s="1"/>
  <c r="BR197" i="2"/>
  <c r="BT52" i="2"/>
  <c r="BX107" i="2"/>
  <c r="BQ297" i="2"/>
  <c r="BQ282" i="2"/>
  <c r="BQ266" i="2"/>
  <c r="BQ255" i="2" s="1"/>
  <c r="BQ254" i="2"/>
  <c r="BQ190" i="2"/>
  <c r="BR78" i="3" l="1"/>
  <c r="BR79" i="3" s="1"/>
  <c r="BR24" i="10"/>
  <c r="CP48" i="10"/>
  <c r="DB126" i="9" s="1"/>
  <c r="DB50" i="9" s="1"/>
  <c r="CP22" i="10"/>
  <c r="CP36" i="10"/>
  <c r="CP34" i="10" s="1"/>
  <c r="DB120" i="9" s="1"/>
  <c r="DB44" i="9" s="1"/>
  <c r="CP30" i="10"/>
  <c r="DB118" i="9" s="1"/>
  <c r="DB42" i="9" s="1"/>
  <c r="CP32" i="10"/>
  <c r="DB119" i="9" s="1"/>
  <c r="DB43" i="9" s="1"/>
  <c r="CP41" i="10"/>
  <c r="CP39" i="10" s="1"/>
  <c r="DB122" i="9" s="1"/>
  <c r="DB46" i="9" s="1"/>
  <c r="CP44" i="10"/>
  <c r="DB124" i="9" s="1"/>
  <c r="DB48" i="9" s="1"/>
  <c r="CP46" i="10"/>
  <c r="DB125" i="9" s="1"/>
  <c r="DB49" i="9" s="1"/>
  <c r="CD144" i="9"/>
  <c r="DI162" i="9"/>
  <c r="CL117" i="9"/>
  <c r="CF72" i="3"/>
  <c r="CF78" i="3"/>
  <c r="CF24" i="10" s="1"/>
  <c r="CF42" i="3"/>
  <c r="CC51" i="3"/>
  <c r="CQ22" i="5"/>
  <c r="CE24" i="5"/>
  <c r="BZ23" i="10"/>
  <c r="CA23" i="10"/>
  <c r="CA20" i="10" s="1"/>
  <c r="CM40" i="9" s="1"/>
  <c r="CL30" i="9"/>
  <c r="CL106" i="9" s="1"/>
  <c r="CK30" i="9"/>
  <c r="CI20" i="9"/>
  <c r="CI97" i="9"/>
  <c r="CF20" i="9"/>
  <c r="CF97" i="9"/>
  <c r="CE114" i="9"/>
  <c r="CH20" i="9"/>
  <c r="CH96" i="9" s="1"/>
  <c r="BU85" i="2"/>
  <c r="BT114" i="2"/>
  <c r="CF14" i="9" s="1"/>
  <c r="BT40" i="2"/>
  <c r="BT106" i="2" s="1"/>
  <c r="BW111" i="2"/>
  <c r="BR243" i="2"/>
  <c r="BR210" i="2"/>
  <c r="BR203" i="2"/>
  <c r="BY107" i="2"/>
  <c r="CQ32" i="10" l="1"/>
  <c r="CE33" i="10"/>
  <c r="CQ30" i="10"/>
  <c r="CE31" i="10"/>
  <c r="CQ36" i="10"/>
  <c r="CE37" i="10"/>
  <c r="CQ22" i="10"/>
  <c r="CQ44" i="10"/>
  <c r="CE45" i="10"/>
  <c r="CQ41" i="10"/>
  <c r="CE42" i="10"/>
  <c r="CQ46" i="10"/>
  <c r="CE47" i="10"/>
  <c r="CQ48" i="10"/>
  <c r="CE49" i="10"/>
  <c r="CO41" i="9"/>
  <c r="CO117" i="9" s="1"/>
  <c r="CN41" i="9"/>
  <c r="CG78" i="3"/>
  <c r="CG24" i="10" s="1"/>
  <c r="CG72" i="3"/>
  <c r="CF51" i="3"/>
  <c r="CG42" i="3"/>
  <c r="CD51" i="3"/>
  <c r="BR51" i="3" s="1"/>
  <c r="CP15" i="9"/>
  <c r="BR42" i="3"/>
  <c r="CQ23" i="5"/>
  <c r="CE23" i="5" s="1"/>
  <c r="CE22" i="5"/>
  <c r="CB23" i="10"/>
  <c r="CB20" i="10" s="1"/>
  <c r="CN40" i="9" s="1"/>
  <c r="CM116" i="9"/>
  <c r="CM38" i="9"/>
  <c r="CM114" i="9" s="1"/>
  <c r="BZ20" i="10"/>
  <c r="CL40" i="9" s="1"/>
  <c r="CK106" i="9"/>
  <c r="CF90" i="9"/>
  <c r="CI96" i="9"/>
  <c r="CF96" i="9"/>
  <c r="CF12" i="9"/>
  <c r="BU113" i="2"/>
  <c r="BU108" i="2"/>
  <c r="BU40" i="2"/>
  <c r="BU106" i="2" s="1"/>
  <c r="BR216" i="2"/>
  <c r="BU52" i="2"/>
  <c r="BZ107" i="2"/>
  <c r="BQ34" i="3"/>
  <c r="BP41" i="3"/>
  <c r="CQ34" i="10" l="1"/>
  <c r="DC120" i="9" s="1"/>
  <c r="DC126" i="9"/>
  <c r="CQ39" i="10"/>
  <c r="DC122" i="9" s="1"/>
  <c r="DC124" i="9"/>
  <c r="DC118" i="9"/>
  <c r="DC125" i="9"/>
  <c r="DC119" i="9"/>
  <c r="CN117" i="9"/>
  <c r="CH72" i="3"/>
  <c r="CG51" i="3"/>
  <c r="CH42" i="3"/>
  <c r="CH51" i="3" s="1"/>
  <c r="BR52" i="3"/>
  <c r="CP91" i="9"/>
  <c r="CL116" i="9"/>
  <c r="CL38" i="9"/>
  <c r="CN116" i="9"/>
  <c r="CN38" i="9"/>
  <c r="CN114" i="9" s="1"/>
  <c r="CM30" i="9"/>
  <c r="CN30" i="9"/>
  <c r="CF19" i="9"/>
  <c r="CF88" i="9"/>
  <c r="BV113" i="2"/>
  <c r="BV85" i="2"/>
  <c r="BU114" i="2"/>
  <c r="CG14" i="9" s="1"/>
  <c r="BX111" i="2"/>
  <c r="BR202" i="2"/>
  <c r="CA107" i="2"/>
  <c r="DC48" i="9" l="1"/>
  <c r="DC42" i="9"/>
  <c r="DC46" i="9"/>
  <c r="DC43" i="9"/>
  <c r="DC49" i="9"/>
  <c r="DC50" i="9"/>
  <c r="DC44" i="9"/>
  <c r="CF28" i="10"/>
  <c r="CI72" i="3"/>
  <c r="CI42" i="3"/>
  <c r="CC23" i="10"/>
  <c r="CL114" i="9"/>
  <c r="CN106" i="9"/>
  <c r="CO30" i="9"/>
  <c r="CM106" i="9"/>
  <c r="CG90" i="9"/>
  <c r="CF52" i="9"/>
  <c r="CF79" i="9" s="1"/>
  <c r="CF95" i="9"/>
  <c r="BV114" i="2"/>
  <c r="CH14" i="9" s="1"/>
  <c r="CG12" i="9"/>
  <c r="BW113" i="2"/>
  <c r="BV108" i="2"/>
  <c r="BV40" i="2"/>
  <c r="BR215" i="2"/>
  <c r="BV52" i="2"/>
  <c r="CB107" i="2"/>
  <c r="CG28" i="10" l="1"/>
  <c r="CS117" i="9" s="1"/>
  <c r="CS41" i="9" s="1"/>
  <c r="CR117" i="9"/>
  <c r="CJ72" i="3"/>
  <c r="CI51" i="3"/>
  <c r="CJ42" i="3"/>
  <c r="CC20" i="10"/>
  <c r="CO40" i="9" s="1"/>
  <c r="CO106" i="9"/>
  <c r="CH90" i="9"/>
  <c r="CG19" i="9"/>
  <c r="CG88" i="9"/>
  <c r="CF128" i="9"/>
  <c r="CF75" i="9"/>
  <c r="CF77" i="9" s="1"/>
  <c r="BW114" i="2"/>
  <c r="CI14" i="9" s="1"/>
  <c r="CI90" i="9" s="1"/>
  <c r="CH12" i="9"/>
  <c r="BY111" i="2"/>
  <c r="BX113" i="2"/>
  <c r="BX114" i="2"/>
  <c r="BW108" i="2"/>
  <c r="BX85" i="2"/>
  <c r="BW40" i="2"/>
  <c r="BW106" i="2" s="1"/>
  <c r="BV106" i="2"/>
  <c r="BW85" i="2"/>
  <c r="BR201" i="2"/>
  <c r="BW52" i="2"/>
  <c r="BR121" i="2"/>
  <c r="CC107" i="2"/>
  <c r="Z141" i="14"/>
  <c r="CR41" i="9" l="1"/>
  <c r="CH28" i="10"/>
  <c r="CK72" i="3"/>
  <c r="CJ51" i="3"/>
  <c r="CK42" i="3"/>
  <c r="CO116" i="9"/>
  <c r="CO38" i="9"/>
  <c r="Z24" i="14"/>
  <c r="BZ154" i="9" s="1"/>
  <c r="BQ154" i="9" s="1"/>
  <c r="CH19" i="9"/>
  <c r="CH88" i="9"/>
  <c r="CG95" i="9"/>
  <c r="CI12" i="9"/>
  <c r="BX40" i="2"/>
  <c r="BX108" i="2"/>
  <c r="BR214" i="2"/>
  <c r="BX52" i="2"/>
  <c r="CD107" i="2"/>
  <c r="BR107" i="2" s="1"/>
  <c r="BR117" i="2"/>
  <c r="BR124" i="2"/>
  <c r="BR123" i="2"/>
  <c r="BL44" i="10"/>
  <c r="BL32" i="10"/>
  <c r="BJ290" i="2"/>
  <c r="BP9" i="10"/>
  <c r="AQ7" i="9"/>
  <c r="DH154" i="9" l="1"/>
  <c r="CI28" i="10"/>
  <c r="CU117" i="9" s="1"/>
  <c r="CU41" i="9" s="1"/>
  <c r="CT117" i="9"/>
  <c r="CL72" i="3"/>
  <c r="CK51" i="3"/>
  <c r="CL42" i="3"/>
  <c r="CO114" i="9"/>
  <c r="CI19" i="9"/>
  <c r="CI88" i="9"/>
  <c r="CH52" i="9"/>
  <c r="CH95" i="9"/>
  <c r="BY52" i="2"/>
  <c r="BY114" i="2"/>
  <c r="BZ111" i="2"/>
  <c r="BY40" i="2"/>
  <c r="BY108" i="2"/>
  <c r="BY85" i="2"/>
  <c r="BX106" i="2"/>
  <c r="CH79" i="9" l="1"/>
  <c r="CT41" i="9"/>
  <c r="CJ28" i="10"/>
  <c r="CM72" i="3"/>
  <c r="CM42" i="3"/>
  <c r="CL51" i="3"/>
  <c r="CH128" i="9"/>
  <c r="CH75" i="9"/>
  <c r="CH77" i="9" s="1"/>
  <c r="CI52" i="9"/>
  <c r="CI79" i="9" s="1"/>
  <c r="CI95" i="9"/>
  <c r="BR127" i="2"/>
  <c r="BY113" i="2"/>
  <c r="BZ85" i="2"/>
  <c r="BZ108" i="2"/>
  <c r="BG33" i="3"/>
  <c r="BN33" i="3"/>
  <c r="BG38" i="3"/>
  <c r="BH38" i="3" s="1"/>
  <c r="BI38" i="3" s="1"/>
  <c r="BI32" i="3" s="1"/>
  <c r="BI116" i="2" s="1"/>
  <c r="BU16" i="9" s="1"/>
  <c r="BP254" i="2"/>
  <c r="BP190" i="2"/>
  <c r="CV117" i="9" l="1"/>
  <c r="CK28" i="10"/>
  <c r="CW117" i="9" s="1"/>
  <c r="CW41" i="9" s="1"/>
  <c r="CN72" i="3"/>
  <c r="CM51" i="3"/>
  <c r="CN42" i="3"/>
  <c r="BO33" i="3"/>
  <c r="BH33" i="3"/>
  <c r="BH32" i="3" s="1"/>
  <c r="BH116" i="2" s="1"/>
  <c r="BT16" i="9" s="1"/>
  <c r="BG32" i="3"/>
  <c r="BG116" i="2" s="1"/>
  <c r="BS16" i="9" s="1"/>
  <c r="CI128" i="9"/>
  <c r="CI75" i="9"/>
  <c r="CI77" i="9" s="1"/>
  <c r="CA111" i="2"/>
  <c r="CA108" i="2"/>
  <c r="BJ38" i="3"/>
  <c r="BJ32" i="3" s="1"/>
  <c r="BJ116" i="2" s="1"/>
  <c r="BV16" i="9" s="1"/>
  <c r="CL28" i="10" l="1"/>
  <c r="CX117" i="9" s="1"/>
  <c r="CV41" i="9"/>
  <c r="CO72" i="3"/>
  <c r="CN51" i="3"/>
  <c r="CO42" i="3"/>
  <c r="BP33" i="3"/>
  <c r="CB111" i="2"/>
  <c r="BZ114" i="2"/>
  <c r="BZ52" i="2"/>
  <c r="CB108" i="2"/>
  <c r="BK38" i="3"/>
  <c r="BK32" i="3" s="1"/>
  <c r="BK116" i="2" s="1"/>
  <c r="BW16" i="9" s="1"/>
  <c r="CX41" i="9" l="1"/>
  <c r="CM28" i="10"/>
  <c r="CP72" i="3"/>
  <c r="CO51" i="3"/>
  <c r="CP42" i="3"/>
  <c r="BQ33" i="3"/>
  <c r="CC111" i="2"/>
  <c r="CA85" i="2"/>
  <c r="BZ113" i="2"/>
  <c r="BZ40" i="2"/>
  <c r="BR90" i="2"/>
  <c r="CC108" i="2"/>
  <c r="BR87" i="2"/>
  <c r="BL38" i="3"/>
  <c r="BL32" i="3" s="1"/>
  <c r="BL116" i="2" s="1"/>
  <c r="BX16" i="9" s="1"/>
  <c r="CY117" i="9" l="1"/>
  <c r="CN28" i="10"/>
  <c r="CZ117" i="9" s="1"/>
  <c r="CZ41" i="9" s="1"/>
  <c r="CQ72" i="3"/>
  <c r="CE72" i="3" s="1"/>
  <c r="CE73" i="3" s="1"/>
  <c r="CP51" i="3"/>
  <c r="CQ42" i="3"/>
  <c r="CD111" i="2"/>
  <c r="CA114" i="2"/>
  <c r="BM38" i="3"/>
  <c r="BM32" i="3" s="1"/>
  <c r="BM116" i="2" s="1"/>
  <c r="BY16" i="9" s="1"/>
  <c r="CO28" i="10" l="1"/>
  <c r="DA117" i="9" s="1"/>
  <c r="DA41" i="9" s="1"/>
  <c r="CY41" i="9"/>
  <c r="CQ51" i="3"/>
  <c r="CE51" i="3" s="1"/>
  <c r="CE42" i="3"/>
  <c r="BR111" i="2"/>
  <c r="CA52" i="2"/>
  <c r="CD108" i="2"/>
  <c r="BR108" i="2" s="1"/>
  <c r="BN38" i="3"/>
  <c r="BN32" i="3" s="1"/>
  <c r="BN116" i="2" s="1"/>
  <c r="BZ16" i="9" s="1"/>
  <c r="CP28" i="10" l="1"/>
  <c r="DB117" i="9" s="1"/>
  <c r="CE52" i="3"/>
  <c r="CG111" i="2"/>
  <c r="CH111" i="2" s="1"/>
  <c r="CI111" i="2" s="1"/>
  <c r="CJ111" i="2" s="1"/>
  <c r="CK111" i="2" s="1"/>
  <c r="CL111" i="2" s="1"/>
  <c r="CM111" i="2" s="1"/>
  <c r="CN111" i="2" s="1"/>
  <c r="CO111" i="2" s="1"/>
  <c r="CP111" i="2" s="1"/>
  <c r="CQ111" i="2" s="1"/>
  <c r="CF121" i="2"/>
  <c r="CB85" i="2"/>
  <c r="CA113" i="2"/>
  <c r="CA40" i="2"/>
  <c r="CB114" i="2"/>
  <c r="BO38" i="3"/>
  <c r="DB41" i="9" l="1"/>
  <c r="CE29" i="10"/>
  <c r="BP38" i="3"/>
  <c r="BO32" i="3"/>
  <c r="BO116" i="2" s="1"/>
  <c r="CB52" i="2"/>
  <c r="BO254" i="2"/>
  <c r="DC117" i="9" l="1"/>
  <c r="CE28" i="10"/>
  <c r="BQ38" i="3"/>
  <c r="BQ32" i="3" s="1"/>
  <c r="BQ116" i="2" s="1"/>
  <c r="CC16" i="9" s="1"/>
  <c r="BP32" i="3"/>
  <c r="BP116" i="2" s="1"/>
  <c r="CB16" i="9" s="1"/>
  <c r="CC85" i="2"/>
  <c r="CB113" i="2"/>
  <c r="CB40" i="2"/>
  <c r="BR93" i="2"/>
  <c r="CC114" i="2"/>
  <c r="BO181" i="2"/>
  <c r="DC41" i="9" l="1"/>
  <c r="CQ41" i="9" s="1"/>
  <c r="CQ117" i="9"/>
  <c r="BO190" i="2"/>
  <c r="CA16" i="9"/>
  <c r="BR126" i="2"/>
  <c r="CC52" i="2"/>
  <c r="P75" i="14"/>
  <c r="O75" i="14"/>
  <c r="N75" i="14"/>
  <c r="M75" i="14"/>
  <c r="L75" i="14"/>
  <c r="K75" i="14"/>
  <c r="J75" i="14"/>
  <c r="I75" i="14"/>
  <c r="H75" i="14"/>
  <c r="G75" i="14"/>
  <c r="F75" i="14"/>
  <c r="Q79" i="14"/>
  <c r="D79" i="14"/>
  <c r="E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BN190" i="2"/>
  <c r="E34" i="28" l="1"/>
  <c r="CC113" i="2"/>
  <c r="CC40" i="2"/>
  <c r="BN266" i="2"/>
  <c r="BN255" i="2" s="1"/>
  <c r="BN254" i="2"/>
  <c r="BR92" i="2" l="1"/>
  <c r="CD85" i="2"/>
  <c r="BR85" i="2" s="1"/>
  <c r="CD114" i="2"/>
  <c r="BN12" i="5"/>
  <c r="BN6" i="5"/>
  <c r="BN10" i="5" s="1"/>
  <c r="BR114" i="2" l="1"/>
  <c r="CD52" i="2"/>
  <c r="BO49" i="4"/>
  <c r="BL11" i="10"/>
  <c r="CD113" i="2" l="1"/>
  <c r="BR113" i="2" s="1"/>
  <c r="CD40" i="2"/>
  <c r="BR40" i="2" s="1"/>
  <c r="R17" i="14"/>
  <c r="R16" i="14"/>
  <c r="Q161" i="14"/>
  <c r="D161" i="14"/>
  <c r="Q160" i="14"/>
  <c r="D160" i="14"/>
  <c r="Q159" i="14"/>
  <c r="D159" i="14"/>
  <c r="Q158" i="14"/>
  <c r="D158" i="14"/>
  <c r="Q157" i="14"/>
  <c r="D157" i="14"/>
  <c r="Q156" i="14"/>
  <c r="D156" i="14"/>
  <c r="Q152" i="14"/>
  <c r="D152" i="14"/>
  <c r="Q151" i="14"/>
  <c r="D151" i="14"/>
  <c r="Q150" i="14"/>
  <c r="D150" i="14"/>
  <c r="AC149" i="14"/>
  <c r="AB149" i="14"/>
  <c r="AA149" i="14"/>
  <c r="Z149" i="14"/>
  <c r="Y149" i="14"/>
  <c r="X149" i="14"/>
  <c r="W149" i="14"/>
  <c r="V149" i="14"/>
  <c r="U149" i="14"/>
  <c r="T149" i="14"/>
  <c r="S149" i="14"/>
  <c r="R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BM25" i="4"/>
  <c r="W15" i="14" l="1"/>
  <c r="T15" i="14"/>
  <c r="Z15" i="14"/>
  <c r="Y15" i="14"/>
  <c r="U15" i="14"/>
  <c r="V15" i="14"/>
  <c r="AA15" i="14"/>
  <c r="AB15" i="14"/>
  <c r="AC15" i="14"/>
  <c r="R15" i="14"/>
  <c r="S15" i="14"/>
  <c r="I162" i="14"/>
  <c r="P162" i="14"/>
  <c r="J162" i="14"/>
  <c r="L162" i="14"/>
  <c r="O162" i="14"/>
  <c r="D153" i="14"/>
  <c r="AC162" i="14"/>
  <c r="Z162" i="14"/>
  <c r="AA162" i="14"/>
  <c r="N162" i="14"/>
  <c r="E162" i="14"/>
  <c r="G162" i="14"/>
  <c r="D149" i="14"/>
  <c r="H162" i="14"/>
  <c r="M162" i="14"/>
  <c r="F162" i="14"/>
  <c r="K162" i="14"/>
  <c r="AB162" i="14"/>
  <c r="V162" i="14"/>
  <c r="Q153" i="14"/>
  <c r="R162" i="14"/>
  <c r="U162" i="14"/>
  <c r="W162" i="14"/>
  <c r="X162" i="14"/>
  <c r="S162" i="14"/>
  <c r="Y162" i="14"/>
  <c r="Q149" i="14"/>
  <c r="T162" i="14"/>
  <c r="BM254" i="2"/>
  <c r="BM230" i="2"/>
  <c r="BM190" i="2"/>
  <c r="E21" i="24" l="1"/>
  <c r="D162" i="14"/>
  <c r="Q162" i="14"/>
  <c r="BL18" i="10" l="1"/>
  <c r="BL28" i="10"/>
  <c r="BL297" i="2" l="1"/>
  <c r="BL266" i="2" l="1"/>
  <c r="BL255" i="2" s="1"/>
  <c r="BL254" i="2"/>
  <c r="BL190" i="2" l="1"/>
  <c r="X120" i="14" l="1"/>
  <c r="Q120" i="14" s="1"/>
  <c r="BW65" i="9"/>
  <c r="BK291" i="2"/>
  <c r="X20" i="14" l="1"/>
  <c r="X15" i="14" s="1"/>
  <c r="BQ19" i="10"/>
  <c r="BQ6" i="10" s="1"/>
  <c r="BP19" i="10"/>
  <c r="BO19" i="10"/>
  <c r="BN19" i="10"/>
  <c r="BM19" i="10"/>
  <c r="BL19" i="10"/>
  <c r="BL6" i="10" s="1"/>
  <c r="BK19" i="10"/>
  <c r="BJ19" i="10"/>
  <c r="BI19" i="10"/>
  <c r="BH19" i="10"/>
  <c r="BG19" i="10"/>
  <c r="BF19" i="10"/>
  <c r="BK31" i="5"/>
  <c r="BK51" i="3" l="1"/>
  <c r="BK266" i="2" l="1"/>
  <c r="BK255" i="2" s="1"/>
  <c r="BK254" i="2" l="1"/>
  <c r="BK230" i="2"/>
  <c r="BK206" i="2"/>
  <c r="BK190" i="2"/>
  <c r="Q43" i="14" l="1"/>
  <c r="BC28" i="13"/>
  <c r="BC27" i="13"/>
  <c r="BC26" i="13"/>
  <c r="BC25" i="13"/>
  <c r="BC24" i="13"/>
  <c r="BC23" i="13"/>
  <c r="BC22" i="13"/>
  <c r="BC21" i="13"/>
  <c r="BC20" i="13"/>
  <c r="BC19" i="13"/>
  <c r="BC18" i="13"/>
  <c r="BC17" i="13"/>
  <c r="BC16" i="13"/>
  <c r="BC15" i="13"/>
  <c r="BC14" i="13"/>
  <c r="BC13" i="13"/>
  <c r="BC12" i="13"/>
  <c r="BC11" i="13"/>
  <c r="BC10" i="13"/>
  <c r="BC9" i="13"/>
  <c r="BC8" i="13"/>
  <c r="BC7" i="13"/>
  <c r="BC6" i="13"/>
  <c r="BC35" i="13"/>
  <c r="D114" i="14"/>
  <c r="Q114" i="14"/>
  <c r="BJ18" i="10" l="1"/>
  <c r="BJ266" i="2"/>
  <c r="BJ255" i="2" s="1"/>
  <c r="BJ254" i="2" l="1"/>
  <c r="BJ190" i="2" l="1"/>
  <c r="BI40" i="10" l="1"/>
  <c r="BI254" i="2" l="1"/>
  <c r="BI190" i="2" l="1"/>
  <c r="AC116" i="14" l="1"/>
  <c r="AB116" i="14"/>
  <c r="AA116" i="14"/>
  <c r="Z116" i="14"/>
  <c r="Y116" i="14"/>
  <c r="X116" i="14"/>
  <c r="W116" i="14"/>
  <c r="V116" i="14"/>
  <c r="U116" i="14"/>
  <c r="T116" i="14"/>
  <c r="S116" i="14"/>
  <c r="R116" i="14"/>
  <c r="Q122" i="14"/>
  <c r="D122" i="14"/>
  <c r="BH266" i="2" l="1"/>
  <c r="BH255" i="2" s="1"/>
  <c r="BH254" i="2"/>
  <c r="BH190" i="2"/>
  <c r="Q87" i="14" l="1"/>
  <c r="D87" i="14"/>
  <c r="AC12" i="14"/>
  <c r="AB12" i="14"/>
  <c r="AA12" i="14"/>
  <c r="Z12" i="14"/>
  <c r="Y12" i="14"/>
  <c r="X12" i="14"/>
  <c r="W12" i="14"/>
  <c r="V12" i="14"/>
  <c r="U12" i="14"/>
  <c r="T12" i="14"/>
  <c r="S12" i="14"/>
  <c r="AC11" i="14"/>
  <c r="AB11" i="14"/>
  <c r="AA11" i="14"/>
  <c r="Z11" i="14"/>
  <c r="Y11" i="14"/>
  <c r="X11" i="14"/>
  <c r="W11" i="14"/>
  <c r="V11" i="14"/>
  <c r="U11" i="14"/>
  <c r="T11" i="14"/>
  <c r="S11" i="14"/>
  <c r="Q78" i="14" l="1"/>
  <c r="D78" i="14"/>
  <c r="Q85" i="14"/>
  <c r="D85" i="14"/>
  <c r="BS139" i="9" l="1"/>
  <c r="BY139" i="9"/>
  <c r="R80" i="14"/>
  <c r="R90" i="14" s="1"/>
  <c r="AC112" i="14"/>
  <c r="AB112" i="14"/>
  <c r="AA112" i="14"/>
  <c r="Z112" i="14"/>
  <c r="Y112" i="14"/>
  <c r="X112" i="14"/>
  <c r="W112" i="14"/>
  <c r="V112" i="14"/>
  <c r="U112" i="14"/>
  <c r="T112" i="14"/>
  <c r="S112" i="14"/>
  <c r="R112" i="14"/>
  <c r="Q38" i="14"/>
  <c r="BR139" i="9"/>
  <c r="CC139" i="9"/>
  <c r="CB139" i="9"/>
  <c r="CA139" i="9"/>
  <c r="BZ139" i="9"/>
  <c r="BX139" i="9"/>
  <c r="BW139" i="9"/>
  <c r="BV139" i="9"/>
  <c r="BU139" i="9"/>
  <c r="BT139" i="9"/>
  <c r="Q13" i="14" l="1"/>
  <c r="BQ139" i="9"/>
  <c r="DH139" i="9" s="1"/>
  <c r="Q14" i="14"/>
  <c r="BG254" i="2" l="1"/>
  <c r="BQ246" i="2" l="1"/>
  <c r="BP246" i="2"/>
  <c r="BO246" i="2"/>
  <c r="BN246" i="2"/>
  <c r="BM246" i="2"/>
  <c r="BL246" i="2"/>
  <c r="BK246" i="2"/>
  <c r="BJ246" i="2"/>
  <c r="BI246" i="2"/>
  <c r="BH246" i="2"/>
  <c r="BG246" i="2"/>
  <c r="BF246" i="2"/>
  <c r="BG243" i="2"/>
  <c r="BQ230" i="2" l="1"/>
  <c r="BP230" i="2"/>
  <c r="BO230" i="2"/>
  <c r="BN230" i="2"/>
  <c r="BL230" i="2"/>
  <c r="BJ230" i="2"/>
  <c r="BI230" i="2"/>
  <c r="BH230" i="2"/>
  <c r="BG230" i="2"/>
  <c r="BG124" i="2" l="1"/>
  <c r="BH124" i="2" s="1"/>
  <c r="BI124" i="2" s="1"/>
  <c r="BJ124" i="2" s="1"/>
  <c r="BK124" i="2" s="1"/>
  <c r="BL124" i="2" s="1"/>
  <c r="BM124" i="2" s="1"/>
  <c r="BN124" i="2" s="1"/>
  <c r="BO124" i="2" s="1"/>
  <c r="BP124" i="2" s="1"/>
  <c r="BQ124" i="2" s="1"/>
  <c r="BG123" i="2"/>
  <c r="BH123" i="2" s="1"/>
  <c r="BI123" i="2" s="1"/>
  <c r="BJ123" i="2" s="1"/>
  <c r="BK123" i="2" s="1"/>
  <c r="BL123" i="2" s="1"/>
  <c r="BM123" i="2" s="1"/>
  <c r="BN123" i="2" s="1"/>
  <c r="BO123" i="2" s="1"/>
  <c r="BP123" i="2" s="1"/>
  <c r="BQ123" i="2" s="1"/>
  <c r="BG121" i="2"/>
  <c r="BH121" i="2" s="1"/>
  <c r="BI121" i="2" s="1"/>
  <c r="BJ121" i="2" s="1"/>
  <c r="BK121" i="2" s="1"/>
  <c r="BG125" i="2" l="1"/>
  <c r="BL121" i="2"/>
  <c r="BM121" i="2" s="1"/>
  <c r="BN121" i="2" s="1"/>
  <c r="BO121" i="2" s="1"/>
  <c r="BG190" i="2"/>
  <c r="BH125" i="2" l="1"/>
  <c r="BP121" i="2"/>
  <c r="BQ121" i="2" s="1"/>
  <c r="BF36" i="10"/>
  <c r="BQ40" i="10"/>
  <c r="BP40" i="10"/>
  <c r="BO40" i="10"/>
  <c r="BN40" i="10"/>
  <c r="BM40" i="10"/>
  <c r="BL40" i="10"/>
  <c r="BK40" i="10"/>
  <c r="BJ40" i="10"/>
  <c r="BH40" i="10"/>
  <c r="BG40" i="10"/>
  <c r="BQ36" i="10"/>
  <c r="BP36" i="10"/>
  <c r="BO36" i="10"/>
  <c r="BN36" i="10"/>
  <c r="BM36" i="10"/>
  <c r="BL36" i="10"/>
  <c r="BK36" i="10"/>
  <c r="BJ36" i="10"/>
  <c r="BI36" i="10"/>
  <c r="BH36" i="10"/>
  <c r="BG36" i="10"/>
  <c r="BE16" i="10"/>
  <c r="BF6" i="10"/>
  <c r="BR39" i="9" s="1"/>
  <c r="BI125" i="2" l="1"/>
  <c r="BQ33" i="5"/>
  <c r="BP33" i="5"/>
  <c r="BO33" i="5"/>
  <c r="BN33" i="5"/>
  <c r="BM33" i="5"/>
  <c r="BL33" i="5"/>
  <c r="BK33" i="5"/>
  <c r="BJ33" i="5"/>
  <c r="BI33" i="5"/>
  <c r="BH33" i="5"/>
  <c r="BG33" i="5"/>
  <c r="BJ125" i="2" l="1"/>
  <c r="BQ12" i="5"/>
  <c r="BS12" i="5" s="1"/>
  <c r="BP12" i="5"/>
  <c r="BO12" i="5"/>
  <c r="BM12" i="5"/>
  <c r="BL12" i="5"/>
  <c r="BK12" i="5"/>
  <c r="BJ12" i="5"/>
  <c r="BI12" i="5"/>
  <c r="BH12" i="5"/>
  <c r="BG12" i="5"/>
  <c r="BF12" i="5"/>
  <c r="BK125" i="2" l="1"/>
  <c r="BT12" i="5"/>
  <c r="BU12" i="5" s="1"/>
  <c r="BV12" i="5" s="1"/>
  <c r="BW12" i="5" s="1"/>
  <c r="BX12" i="5" s="1"/>
  <c r="BY12" i="5" s="1"/>
  <c r="BZ12" i="5" s="1"/>
  <c r="CA12" i="5" s="1"/>
  <c r="CB12" i="5" s="1"/>
  <c r="CC12" i="5" s="1"/>
  <c r="CD12" i="5" s="1"/>
  <c r="CF12" i="5" s="1"/>
  <c r="BR25" i="4"/>
  <c r="BQ25" i="4"/>
  <c r="BP25" i="4"/>
  <c r="BO25" i="4"/>
  <c r="BN25" i="4"/>
  <c r="BL25" i="4"/>
  <c r="BK25" i="4"/>
  <c r="BJ25" i="4"/>
  <c r="BI25" i="4"/>
  <c r="BH25" i="4"/>
  <c r="CG12" i="5" l="1"/>
  <c r="CH12" i="5" s="1"/>
  <c r="CI12" i="5" s="1"/>
  <c r="CJ12" i="5" s="1"/>
  <c r="CK12" i="5" s="1"/>
  <c r="CL12" i="5" s="1"/>
  <c r="CM12" i="5" s="1"/>
  <c r="CN12" i="5" s="1"/>
  <c r="CO12" i="5" s="1"/>
  <c r="CP12" i="5" s="1"/>
  <c r="CQ12" i="5" s="1"/>
  <c r="BR12" i="5"/>
  <c r="BL125" i="2"/>
  <c r="BL107" i="2"/>
  <c r="BG14" i="4"/>
  <c r="BG8" i="4" s="1"/>
  <c r="CE12" i="5" l="1"/>
  <c r="BM125" i="2"/>
  <c r="BQ59" i="3"/>
  <c r="BP59" i="3"/>
  <c r="BO59" i="3"/>
  <c r="BN59" i="3"/>
  <c r="BM59" i="3"/>
  <c r="BL59" i="3"/>
  <c r="BK59" i="3"/>
  <c r="BJ59" i="3"/>
  <c r="BI59" i="3"/>
  <c r="BH59" i="3"/>
  <c r="BG59" i="3"/>
  <c r="BQ54" i="3"/>
  <c r="BP54" i="3"/>
  <c r="BO54" i="3"/>
  <c r="BN54" i="3"/>
  <c r="BM54" i="3"/>
  <c r="BL54" i="3"/>
  <c r="BK54" i="3"/>
  <c r="BJ54" i="3"/>
  <c r="BI54" i="3"/>
  <c r="BH54" i="3"/>
  <c r="BG54" i="3"/>
  <c r="BQ53" i="3"/>
  <c r="BP53" i="3"/>
  <c r="BO53" i="3"/>
  <c r="BN53" i="3"/>
  <c r="BM53" i="3"/>
  <c r="BL53" i="3"/>
  <c r="BK53" i="3"/>
  <c r="BJ53" i="3"/>
  <c r="BI53" i="3"/>
  <c r="BH53" i="3"/>
  <c r="BG53" i="3"/>
  <c r="BQ51" i="3"/>
  <c r="BP51" i="3"/>
  <c r="BO51" i="3"/>
  <c r="BN51" i="3"/>
  <c r="BM51" i="3"/>
  <c r="BL51" i="3"/>
  <c r="BJ51" i="3"/>
  <c r="BI51" i="3"/>
  <c r="BH51" i="3"/>
  <c r="BG51" i="3"/>
  <c r="BQ299" i="2"/>
  <c r="BP299" i="2"/>
  <c r="BO299" i="2"/>
  <c r="BN299" i="2"/>
  <c r="BM299" i="2"/>
  <c r="BL299" i="2"/>
  <c r="BK299" i="2"/>
  <c r="BJ299" i="2"/>
  <c r="BI299" i="2"/>
  <c r="BH299" i="2"/>
  <c r="BG299" i="2"/>
  <c r="BF299" i="2"/>
  <c r="BQ278" i="2"/>
  <c r="BP278" i="2"/>
  <c r="BO278" i="2"/>
  <c r="BN278" i="2"/>
  <c r="BM278" i="2"/>
  <c r="BL278" i="2"/>
  <c r="BK278" i="2"/>
  <c r="BJ278" i="2"/>
  <c r="BI278" i="2"/>
  <c r="BH278" i="2"/>
  <c r="BG278" i="2"/>
  <c r="BQ277" i="2"/>
  <c r="BP277" i="2"/>
  <c r="BO277" i="2"/>
  <c r="BN277" i="2"/>
  <c r="BM277" i="2"/>
  <c r="BL277" i="2"/>
  <c r="BK277" i="2"/>
  <c r="BJ277" i="2"/>
  <c r="BI277" i="2"/>
  <c r="BH277" i="2"/>
  <c r="BG277" i="2"/>
  <c r="BQ276" i="2"/>
  <c r="BP276" i="2"/>
  <c r="BO276" i="2"/>
  <c r="BN276" i="2"/>
  <c r="BM276" i="2"/>
  <c r="BL276" i="2"/>
  <c r="BK276" i="2"/>
  <c r="BJ276" i="2"/>
  <c r="BI276" i="2"/>
  <c r="BH276" i="2"/>
  <c r="BG276" i="2"/>
  <c r="BQ275" i="2"/>
  <c r="BP275" i="2"/>
  <c r="BO275" i="2"/>
  <c r="BN275" i="2"/>
  <c r="BM275" i="2"/>
  <c r="BL275" i="2"/>
  <c r="BK275" i="2"/>
  <c r="BJ275" i="2"/>
  <c r="BI275" i="2"/>
  <c r="BH275" i="2"/>
  <c r="BG275" i="2"/>
  <c r="BQ274" i="2"/>
  <c r="BP274" i="2"/>
  <c r="BO274" i="2"/>
  <c r="BN274" i="2"/>
  <c r="BM274" i="2"/>
  <c r="BL274" i="2"/>
  <c r="BK274" i="2"/>
  <c r="BJ274" i="2"/>
  <c r="BI274" i="2"/>
  <c r="BH274" i="2"/>
  <c r="BG274" i="2"/>
  <c r="BQ270" i="2"/>
  <c r="BP270" i="2"/>
  <c r="BO270" i="2"/>
  <c r="BN270" i="2"/>
  <c r="BM270" i="2"/>
  <c r="BL270" i="2"/>
  <c r="BK270" i="2"/>
  <c r="BJ270" i="2"/>
  <c r="BI270" i="2"/>
  <c r="BH270" i="2"/>
  <c r="BG270" i="2"/>
  <c r="BQ269" i="2"/>
  <c r="BP269" i="2"/>
  <c r="BO269" i="2"/>
  <c r="BN269" i="2"/>
  <c r="BM269" i="2"/>
  <c r="BL269" i="2"/>
  <c r="BK269" i="2"/>
  <c r="BJ269" i="2"/>
  <c r="BI269" i="2"/>
  <c r="BH269" i="2"/>
  <c r="BG269" i="2"/>
  <c r="BF297" i="2"/>
  <c r="BF278" i="2"/>
  <c r="BF277" i="2"/>
  <c r="BF276" i="2"/>
  <c r="BF275" i="2"/>
  <c r="BF274" i="2"/>
  <c r="BF270" i="2"/>
  <c r="BF269" i="2"/>
  <c r="BQ251" i="2"/>
  <c r="BP251" i="2"/>
  <c r="BO251" i="2"/>
  <c r="BN251" i="2"/>
  <c r="BM251" i="2"/>
  <c r="BL251" i="2"/>
  <c r="BK251" i="2"/>
  <c r="BJ251" i="2"/>
  <c r="BI251" i="2"/>
  <c r="BH251" i="2"/>
  <c r="BG251" i="2"/>
  <c r="BQ250" i="2"/>
  <c r="BP250" i="2"/>
  <c r="BO250" i="2"/>
  <c r="BN250" i="2"/>
  <c r="BM250" i="2"/>
  <c r="BL250" i="2"/>
  <c r="BK250" i="2"/>
  <c r="BJ250" i="2"/>
  <c r="BI250" i="2"/>
  <c r="BH250" i="2"/>
  <c r="BG250" i="2"/>
  <c r="BQ249" i="2"/>
  <c r="BP249" i="2"/>
  <c r="BO249" i="2"/>
  <c r="BN249" i="2"/>
  <c r="BM249" i="2"/>
  <c r="BL249" i="2"/>
  <c r="BK249" i="2"/>
  <c r="BJ249" i="2"/>
  <c r="BI249" i="2"/>
  <c r="BH249" i="2"/>
  <c r="BG249" i="2"/>
  <c r="BQ248" i="2"/>
  <c r="BP248" i="2"/>
  <c r="BO248" i="2"/>
  <c r="BN248" i="2"/>
  <c r="BM248" i="2"/>
  <c r="BL248" i="2"/>
  <c r="BK248" i="2"/>
  <c r="BJ248" i="2"/>
  <c r="BI248" i="2"/>
  <c r="BH248" i="2"/>
  <c r="BG248" i="2"/>
  <c r="BQ247" i="2"/>
  <c r="BP247" i="2"/>
  <c r="BO247" i="2"/>
  <c r="BN247" i="2"/>
  <c r="BM247" i="2"/>
  <c r="BL247" i="2"/>
  <c r="BK247" i="2"/>
  <c r="BJ247" i="2"/>
  <c r="BI247" i="2"/>
  <c r="BH247" i="2"/>
  <c r="BG247" i="2"/>
  <c r="BQ244" i="2"/>
  <c r="BP244" i="2"/>
  <c r="BO244" i="2"/>
  <c r="BN244" i="2"/>
  <c r="BM244" i="2"/>
  <c r="BL244" i="2"/>
  <c r="BK244" i="2"/>
  <c r="BJ244" i="2"/>
  <c r="BI244" i="2"/>
  <c r="BH244" i="2"/>
  <c r="BG244" i="2"/>
  <c r="BQ243" i="2"/>
  <c r="BP243" i="2"/>
  <c r="BO243" i="2"/>
  <c r="BN243" i="2"/>
  <c r="BM243" i="2"/>
  <c r="BL243" i="2"/>
  <c r="BK243" i="2"/>
  <c r="BJ243" i="2"/>
  <c r="BI243" i="2"/>
  <c r="BH243" i="2"/>
  <c r="BF251" i="2"/>
  <c r="BF250" i="2"/>
  <c r="BF249" i="2"/>
  <c r="BF248" i="2"/>
  <c r="BF247" i="2"/>
  <c r="BF244" i="2"/>
  <c r="BF243" i="2"/>
  <c r="BQ218" i="2"/>
  <c r="BP218" i="2"/>
  <c r="BO218" i="2"/>
  <c r="BN218" i="2"/>
  <c r="BM218" i="2"/>
  <c r="BL218" i="2"/>
  <c r="BK218" i="2"/>
  <c r="BJ218" i="2"/>
  <c r="BI218" i="2"/>
  <c r="BI241" i="2" s="1"/>
  <c r="BH218" i="2"/>
  <c r="BG218" i="2"/>
  <c r="BQ217" i="2"/>
  <c r="BQ240" i="2" s="1"/>
  <c r="BP217" i="2"/>
  <c r="BO217" i="2"/>
  <c r="BN217" i="2"/>
  <c r="BM217" i="2"/>
  <c r="BL217" i="2"/>
  <c r="BK217" i="2"/>
  <c r="BJ217" i="2"/>
  <c r="BI217" i="2"/>
  <c r="BI240" i="2" s="1"/>
  <c r="BH217" i="2"/>
  <c r="BG217" i="2"/>
  <c r="BQ216" i="2"/>
  <c r="BP216" i="2"/>
  <c r="BO216" i="2"/>
  <c r="BN216" i="2"/>
  <c r="BN239" i="2" s="1"/>
  <c r="BM216" i="2"/>
  <c r="BM239" i="2" s="1"/>
  <c r="BL216" i="2"/>
  <c r="BL239" i="2" s="1"/>
  <c r="BK216" i="2"/>
  <c r="BK239" i="2" s="1"/>
  <c r="BJ216" i="2"/>
  <c r="BI216" i="2"/>
  <c r="BH216" i="2"/>
  <c r="BG216" i="2"/>
  <c r="BQ215" i="2"/>
  <c r="BP215" i="2"/>
  <c r="BO215" i="2"/>
  <c r="BN215" i="2"/>
  <c r="BM215" i="2"/>
  <c r="BL215" i="2"/>
  <c r="BK215" i="2"/>
  <c r="BJ215" i="2"/>
  <c r="BJ238" i="2" s="1"/>
  <c r="BI215" i="2"/>
  <c r="BI238" i="2" s="1"/>
  <c r="BH215" i="2"/>
  <c r="BG215" i="2"/>
  <c r="BQ214" i="2"/>
  <c r="BQ237" i="2" s="1"/>
  <c r="BP214" i="2"/>
  <c r="BO214" i="2"/>
  <c r="BN214" i="2"/>
  <c r="BM214" i="2"/>
  <c r="BL214" i="2"/>
  <c r="BK214" i="2"/>
  <c r="BJ214" i="2"/>
  <c r="BI214" i="2"/>
  <c r="BH214" i="2"/>
  <c r="BG214" i="2"/>
  <c r="BQ213" i="2"/>
  <c r="BQ236" i="2" s="1"/>
  <c r="BP213" i="2"/>
  <c r="BP236" i="2" s="1"/>
  <c r="BO213" i="2"/>
  <c r="BO236" i="2" s="1"/>
  <c r="BN213" i="2"/>
  <c r="BN236" i="2" s="1"/>
  <c r="BM213" i="2"/>
  <c r="BM236" i="2" s="1"/>
  <c r="BL213" i="2"/>
  <c r="BL236" i="2" s="1"/>
  <c r="BK213" i="2"/>
  <c r="BK236" i="2" s="1"/>
  <c r="BJ213" i="2"/>
  <c r="BJ236" i="2" s="1"/>
  <c r="BI213" i="2"/>
  <c r="BI236" i="2" s="1"/>
  <c r="BH213" i="2"/>
  <c r="BH236" i="2" s="1"/>
  <c r="BG213" i="2"/>
  <c r="BG236" i="2" s="1"/>
  <c r="BQ211" i="2"/>
  <c r="BP211" i="2"/>
  <c r="BO211" i="2"/>
  <c r="BN211" i="2"/>
  <c r="BM211" i="2"/>
  <c r="BL211" i="2"/>
  <c r="BK211" i="2"/>
  <c r="BJ211" i="2"/>
  <c r="BI211" i="2"/>
  <c r="BH211" i="2"/>
  <c r="BG211" i="2"/>
  <c r="BQ210" i="2"/>
  <c r="BP210" i="2"/>
  <c r="BO210" i="2"/>
  <c r="BN210" i="2"/>
  <c r="BM210" i="2"/>
  <c r="BL210" i="2"/>
  <c r="BK210" i="2"/>
  <c r="BJ210" i="2"/>
  <c r="BI210" i="2"/>
  <c r="BH210" i="2"/>
  <c r="BG210" i="2"/>
  <c r="BG233" i="2" s="1"/>
  <c r="BF218" i="2"/>
  <c r="BF217" i="2"/>
  <c r="BF216" i="2"/>
  <c r="BF215" i="2"/>
  <c r="BF214" i="2"/>
  <c r="BF213" i="2"/>
  <c r="BF236" i="2" s="1"/>
  <c r="BF211" i="2"/>
  <c r="BF210" i="2"/>
  <c r="BF233" i="2" s="1"/>
  <c r="BQ206" i="2"/>
  <c r="BP206" i="2"/>
  <c r="BO206" i="2"/>
  <c r="BN206" i="2"/>
  <c r="BM206" i="2"/>
  <c r="BL206" i="2"/>
  <c r="BK242" i="2"/>
  <c r="BJ206" i="2"/>
  <c r="BI206" i="2"/>
  <c r="BH206" i="2"/>
  <c r="BG206" i="2"/>
  <c r="BF190" i="2"/>
  <c r="BP237" i="2" l="1"/>
  <c r="BO240" i="2"/>
  <c r="BP240" i="2"/>
  <c r="BF239" i="2"/>
  <c r="BF241" i="2"/>
  <c r="BH241" i="2"/>
  <c r="BJ240" i="2"/>
  <c r="BO241" i="2"/>
  <c r="BL234" i="2"/>
  <c r="BF240" i="2"/>
  <c r="BK234" i="2"/>
  <c r="BO234" i="2"/>
  <c r="BK233" i="2"/>
  <c r="BI234" i="2"/>
  <c r="BG234" i="2"/>
  <c r="BF238" i="2"/>
  <c r="BN234" i="2"/>
  <c r="BF234" i="2"/>
  <c r="BP241" i="2"/>
  <c r="BQ238" i="2"/>
  <c r="BK240" i="2"/>
  <c r="BN237" i="2"/>
  <c r="BF237" i="2"/>
  <c r="BH234" i="2"/>
  <c r="BG239" i="2"/>
  <c r="BL240" i="2"/>
  <c r="BQ241" i="2"/>
  <c r="BN125" i="2"/>
  <c r="BN242" i="2"/>
  <c r="BO242" i="2"/>
  <c r="BP242" i="2"/>
  <c r="BQ242" i="2"/>
  <c r="BH242" i="2"/>
  <c r="BJ242" i="2"/>
  <c r="BM242" i="2"/>
  <c r="BG242" i="2"/>
  <c r="BI242" i="2"/>
  <c r="BL242" i="2"/>
  <c r="BN233" i="2"/>
  <c r="BG240" i="2"/>
  <c r="BL241" i="2"/>
  <c r="BQ233" i="2"/>
  <c r="BQ234" i="2"/>
  <c r="BP239" i="2"/>
  <c r="BP238" i="2"/>
  <c r="BP234" i="2"/>
  <c r="BO238" i="2"/>
  <c r="BO239" i="2"/>
  <c r="BO233" i="2"/>
  <c r="BN241" i="2"/>
  <c r="BN238" i="2"/>
  <c r="BM241" i="2"/>
  <c r="BM240" i="2"/>
  <c r="BM238" i="2"/>
  <c r="BM237" i="2"/>
  <c r="BM233" i="2"/>
  <c r="BL237" i="2"/>
  <c r="BL233" i="2"/>
  <c r="BK238" i="2"/>
  <c r="BK237" i="2"/>
  <c r="BJ239" i="2"/>
  <c r="BJ237" i="2"/>
  <c r="BJ241" i="2"/>
  <c r="BJ233" i="2"/>
  <c r="BJ234" i="2"/>
  <c r="BI237" i="2"/>
  <c r="BI233" i="2"/>
  <c r="BH239" i="2"/>
  <c r="BH240" i="2"/>
  <c r="BH238" i="2"/>
  <c r="BH237" i="2"/>
  <c r="BL238" i="2"/>
  <c r="BQ239" i="2"/>
  <c r="BK241" i="2"/>
  <c r="BG241" i="2"/>
  <c r="BP233" i="2"/>
  <c r="BO237" i="2"/>
  <c r="BI239" i="2"/>
  <c r="BN240" i="2"/>
  <c r="BH233" i="2"/>
  <c r="BM234" i="2"/>
  <c r="BG238" i="2"/>
  <c r="BG237" i="2"/>
  <c r="BF51" i="3"/>
  <c r="BF254" i="2"/>
  <c r="BO125" i="2" l="1"/>
  <c r="BP125" i="2" l="1"/>
  <c r="BQ125" i="2"/>
  <c r="BF8" i="10" l="1"/>
  <c r="BF7" i="10" s="1"/>
  <c r="P20" i="14" l="1"/>
  <c r="N20" i="14"/>
  <c r="M20" i="14"/>
  <c r="L20" i="14"/>
  <c r="K20" i="14"/>
  <c r="J20" i="14"/>
  <c r="I20" i="14"/>
  <c r="H20" i="14"/>
  <c r="G20" i="14"/>
  <c r="F20" i="14"/>
  <c r="E20" i="14"/>
  <c r="Q22" i="14" l="1"/>
  <c r="BR163" i="9" l="1"/>
  <c r="Q142" i="14"/>
  <c r="D142" i="14"/>
  <c r="Q141" i="14"/>
  <c r="D141" i="14"/>
  <c r="Q139" i="14"/>
  <c r="D139" i="14"/>
  <c r="Q138" i="14"/>
  <c r="D138" i="14"/>
  <c r="Q137" i="14"/>
  <c r="D137" i="14"/>
  <c r="Q136" i="14"/>
  <c r="D136" i="14"/>
  <c r="Q133" i="14"/>
  <c r="D133" i="14"/>
  <c r="Q132" i="14"/>
  <c r="D132" i="14"/>
  <c r="Q131" i="14"/>
  <c r="D131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P130" i="14"/>
  <c r="O130" i="14"/>
  <c r="N130" i="14"/>
  <c r="M130" i="14"/>
  <c r="L130" i="14"/>
  <c r="K130" i="14"/>
  <c r="J130" i="14"/>
  <c r="I130" i="14"/>
  <c r="I143" i="14" s="1"/>
  <c r="H130" i="14"/>
  <c r="G130" i="14"/>
  <c r="F130" i="14"/>
  <c r="E130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Q89" i="14"/>
  <c r="Q88" i="14"/>
  <c r="Q86" i="14"/>
  <c r="Q84" i="14"/>
  <c r="D89" i="14"/>
  <c r="D88" i="14"/>
  <c r="D86" i="14"/>
  <c r="D84" i="14"/>
  <c r="D83" i="14"/>
  <c r="H143" i="14" l="1"/>
  <c r="Y143" i="14"/>
  <c r="G143" i="14"/>
  <c r="O143" i="14"/>
  <c r="L143" i="14"/>
  <c r="N143" i="14"/>
  <c r="P143" i="14"/>
  <c r="F143" i="14"/>
  <c r="M143" i="14"/>
  <c r="X143" i="14"/>
  <c r="J143" i="14"/>
  <c r="K143" i="14"/>
  <c r="D134" i="14"/>
  <c r="D130" i="14"/>
  <c r="T143" i="14"/>
  <c r="U143" i="14"/>
  <c r="AC143" i="14"/>
  <c r="AB143" i="14"/>
  <c r="BT163" i="9"/>
  <c r="BH8" i="10"/>
  <c r="CB163" i="9"/>
  <c r="BP8" i="10"/>
  <c r="BU163" i="9"/>
  <c r="BI8" i="10"/>
  <c r="CC163" i="9"/>
  <c r="BQ8" i="10"/>
  <c r="BV163" i="9"/>
  <c r="BJ8" i="10"/>
  <c r="BW163" i="9"/>
  <c r="BK8" i="10"/>
  <c r="BX163" i="9"/>
  <c r="BL8" i="10"/>
  <c r="BY163" i="9"/>
  <c r="BM8" i="10"/>
  <c r="BZ163" i="9"/>
  <c r="BN8" i="10"/>
  <c r="BS163" i="9"/>
  <c r="BG8" i="10"/>
  <c r="CA163" i="9"/>
  <c r="BO8" i="10"/>
  <c r="V143" i="14"/>
  <c r="W143" i="14"/>
  <c r="Z143" i="14"/>
  <c r="Q134" i="14"/>
  <c r="S143" i="14"/>
  <c r="AA143" i="14"/>
  <c r="Q130" i="14"/>
  <c r="E143" i="14"/>
  <c r="D143" i="14" s="1"/>
  <c r="R143" i="14"/>
  <c r="Q36" i="14"/>
  <c r="Q143" i="14" l="1"/>
  <c r="O120" i="14" l="1"/>
  <c r="O20" i="14" s="1"/>
  <c r="O113" i="14"/>
  <c r="O112" i="14" l="1"/>
  <c r="BO6" i="5" l="1"/>
  <c r="BO10" i="5" s="1"/>
  <c r="BP49" i="4" l="1"/>
  <c r="BC9" i="9" l="1"/>
  <c r="BB9" i="9"/>
  <c r="BA9" i="9"/>
  <c r="AZ9" i="9"/>
  <c r="AY9" i="9"/>
  <c r="AX9" i="9"/>
  <c r="AW9" i="9"/>
  <c r="AV9" i="9"/>
  <c r="AU9" i="9"/>
  <c r="AT9" i="9"/>
  <c r="AS9" i="9"/>
  <c r="AR9" i="9"/>
  <c r="BF31" i="4" l="1"/>
  <c r="BF125" i="2" l="1"/>
  <c r="BQ6" i="5"/>
  <c r="D24" i="24" s="1"/>
  <c r="I24" i="24" s="1"/>
  <c r="BG49" i="4"/>
  <c r="BR49" i="4" l="1"/>
  <c r="BQ10" i="5"/>
  <c r="BF22" i="3"/>
  <c r="BP6" i="5" l="1"/>
  <c r="BP10" i="5" s="1"/>
  <c r="BG6" i="5"/>
  <c r="BG10" i="5" s="1"/>
  <c r="BH6" i="5"/>
  <c r="BI6" i="5"/>
  <c r="BI10" i="5" s="1"/>
  <c r="BJ6" i="5"/>
  <c r="BJ10" i="5" s="1"/>
  <c r="BK6" i="5"/>
  <c r="BK10" i="5" s="1"/>
  <c r="BL6" i="5"/>
  <c r="BL10" i="5" s="1"/>
  <c r="BM6" i="5"/>
  <c r="BM10" i="5" s="1"/>
  <c r="BI49" i="4" l="1"/>
  <c r="BH10" i="5"/>
  <c r="BN49" i="4"/>
  <c r="BJ49" i="4"/>
  <c r="BM49" i="4"/>
  <c r="BL49" i="4"/>
  <c r="BK49" i="4"/>
  <c r="BH49" i="4"/>
  <c r="BQ49" i="4"/>
  <c r="BH24" i="2"/>
  <c r="BP19" i="11" l="1"/>
  <c r="D115" i="14" l="1"/>
  <c r="BD54" i="4" l="1"/>
  <c r="BB39" i="4" l="1"/>
  <c r="AF23" i="4" l="1"/>
  <c r="AF22" i="4"/>
  <c r="AF21" i="4"/>
  <c r="AF20" i="4"/>
  <c r="AF19" i="4"/>
  <c r="AS23" i="4"/>
  <c r="AS22" i="4"/>
  <c r="AS21" i="4"/>
  <c r="AS20" i="4"/>
  <c r="AS19" i="4"/>
  <c r="BF23" i="4"/>
  <c r="BF22" i="4"/>
  <c r="BF21" i="4"/>
  <c r="BF20" i="4"/>
  <c r="BF19" i="4"/>
  <c r="BE46" i="2"/>
  <c r="BE44" i="2"/>
  <c r="AQ4" i="9" l="1"/>
  <c r="BP76" i="9"/>
  <c r="BN40" i="11" l="1"/>
  <c r="BO40" i="11"/>
  <c r="BP40" i="11"/>
  <c r="BQ40" i="11"/>
  <c r="BD31" i="11"/>
  <c r="BD15" i="11"/>
  <c r="BD17" i="11"/>
  <c r="BD16" i="11" s="1"/>
  <c r="BO49" i="11" l="1"/>
  <c r="BO54" i="11"/>
  <c r="BQ49" i="11"/>
  <c r="BQ54" i="11"/>
  <c r="BP49" i="11"/>
  <c r="BP54" i="11"/>
  <c r="BN49" i="11"/>
  <c r="BN54" i="11"/>
  <c r="D123" i="14"/>
  <c r="D120" i="14"/>
  <c r="D118" i="14"/>
  <c r="D117" i="14"/>
  <c r="P116" i="14"/>
  <c r="O116" i="14"/>
  <c r="O124" i="14" s="1"/>
  <c r="N116" i="14"/>
  <c r="M116" i="14"/>
  <c r="L116" i="14"/>
  <c r="K116" i="14"/>
  <c r="J116" i="14"/>
  <c r="I116" i="14"/>
  <c r="H116" i="14"/>
  <c r="G116" i="14"/>
  <c r="F116" i="14"/>
  <c r="E116" i="14"/>
  <c r="D113" i="14"/>
  <c r="P112" i="14"/>
  <c r="N112" i="14"/>
  <c r="M112" i="14"/>
  <c r="L112" i="14"/>
  <c r="K112" i="14"/>
  <c r="J112" i="14"/>
  <c r="I112" i="14"/>
  <c r="H112" i="14"/>
  <c r="G112" i="14"/>
  <c r="F112" i="14"/>
  <c r="E112" i="14"/>
  <c r="D105" i="14"/>
  <c r="D104" i="14"/>
  <c r="D103" i="14"/>
  <c r="D102" i="14"/>
  <c r="D101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99" i="14"/>
  <c r="D98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81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77" i="14"/>
  <c r="D76" i="14"/>
  <c r="D67" i="14"/>
  <c r="D66" i="14"/>
  <c r="D65" i="14"/>
  <c r="D64" i="14"/>
  <c r="D63" i="14"/>
  <c r="D62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0" i="14"/>
  <c r="D59" i="14"/>
  <c r="D58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48" i="14"/>
  <c r="D46" i="14"/>
  <c r="D45" i="14"/>
  <c r="D44" i="14"/>
  <c r="D42" i="14"/>
  <c r="D41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39" i="14"/>
  <c r="D37" i="14"/>
  <c r="D36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BC6" i="5"/>
  <c r="BC10" i="5" s="1"/>
  <c r="BB6" i="5"/>
  <c r="BB10" i="5" s="1"/>
  <c r="BA6" i="5"/>
  <c r="BA10" i="5" s="1"/>
  <c r="AZ6" i="5"/>
  <c r="AZ10" i="5" s="1"/>
  <c r="AY6" i="5"/>
  <c r="AY10" i="5" s="1"/>
  <c r="AX6" i="5"/>
  <c r="AX10" i="5" s="1"/>
  <c r="AW6" i="5"/>
  <c r="AW10" i="5" s="1"/>
  <c r="AV6" i="5"/>
  <c r="AV10" i="5" s="1"/>
  <c r="AU6" i="5"/>
  <c r="AU10" i="5" s="1"/>
  <c r="AT6" i="5"/>
  <c r="AT10" i="5" s="1"/>
  <c r="AS6" i="5"/>
  <c r="AS10" i="5" s="1"/>
  <c r="BD6" i="5"/>
  <c r="BD10" i="5" s="1"/>
  <c r="BD51" i="3"/>
  <c r="BC51" i="3"/>
  <c r="BB51" i="3"/>
  <c r="BA51" i="3"/>
  <c r="BA269" i="2"/>
  <c r="BB269" i="2"/>
  <c r="BC269" i="2"/>
  <c r="BD269" i="2"/>
  <c r="BA270" i="2"/>
  <c r="BB270" i="2"/>
  <c r="BC270" i="2"/>
  <c r="BD270" i="2"/>
  <c r="BA274" i="2"/>
  <c r="BB274" i="2"/>
  <c r="BC274" i="2"/>
  <c r="BD274" i="2"/>
  <c r="BA275" i="2"/>
  <c r="BB275" i="2"/>
  <c r="BC275" i="2"/>
  <c r="BD275" i="2"/>
  <c r="BA276" i="2"/>
  <c r="BB276" i="2"/>
  <c r="BC276" i="2"/>
  <c r="BD276" i="2"/>
  <c r="BA277" i="2"/>
  <c r="BB277" i="2"/>
  <c r="BC277" i="2"/>
  <c r="BD277" i="2"/>
  <c r="BA278" i="2"/>
  <c r="BB278" i="2"/>
  <c r="BC278" i="2"/>
  <c r="BD278" i="2"/>
  <c r="BD266" i="2"/>
  <c r="BD255" i="2" s="1"/>
  <c r="BC266" i="2"/>
  <c r="BC255" i="2" s="1"/>
  <c r="BB266" i="2"/>
  <c r="BB255" i="2" s="1"/>
  <c r="BA266" i="2"/>
  <c r="BA255" i="2" s="1"/>
  <c r="AZ266" i="2"/>
  <c r="AZ255" i="2" s="1"/>
  <c r="AY266" i="2"/>
  <c r="AY255" i="2" s="1"/>
  <c r="AX266" i="2"/>
  <c r="AX255" i="2" s="1"/>
  <c r="AW266" i="2"/>
  <c r="AW255" i="2" s="1"/>
  <c r="AV266" i="2"/>
  <c r="AV255" i="2" s="1"/>
  <c r="AU266" i="2"/>
  <c r="AU255" i="2" s="1"/>
  <c r="AT266" i="2"/>
  <c r="AT255" i="2" s="1"/>
  <c r="BD230" i="2"/>
  <c r="BC230" i="2"/>
  <c r="BB230" i="2"/>
  <c r="BA230" i="2"/>
  <c r="BD206" i="2"/>
  <c r="BC206" i="2"/>
  <c r="BB206" i="2"/>
  <c r="BA206" i="2"/>
  <c r="BD190" i="2"/>
  <c r="BC190" i="2"/>
  <c r="BB190" i="2"/>
  <c r="BA190" i="2"/>
  <c r="AZ190" i="2"/>
  <c r="AY190" i="2"/>
  <c r="AX190" i="2"/>
  <c r="AW190" i="2"/>
  <c r="AV190" i="2"/>
  <c r="AU190" i="2"/>
  <c r="AT190" i="2"/>
  <c r="L106" i="14" l="1"/>
  <c r="M51" i="14"/>
  <c r="E51" i="14"/>
  <c r="E90" i="14"/>
  <c r="K51" i="14"/>
  <c r="M90" i="14"/>
  <c r="E106" i="14"/>
  <c r="F51" i="14"/>
  <c r="H51" i="14"/>
  <c r="G68" i="14"/>
  <c r="N51" i="14"/>
  <c r="N90" i="14"/>
  <c r="H106" i="14"/>
  <c r="J90" i="14"/>
  <c r="P51" i="14"/>
  <c r="O68" i="14"/>
  <c r="P68" i="14"/>
  <c r="O90" i="14"/>
  <c r="P90" i="14"/>
  <c r="E124" i="14"/>
  <c r="F124" i="14"/>
  <c r="G124" i="14"/>
  <c r="G106" i="14"/>
  <c r="D100" i="14"/>
  <c r="I124" i="14"/>
  <c r="F68" i="14"/>
  <c r="I106" i="14"/>
  <c r="F90" i="14"/>
  <c r="J106" i="14"/>
  <c r="I51" i="14"/>
  <c r="H68" i="14"/>
  <c r="G90" i="14"/>
  <c r="J51" i="14"/>
  <c r="H90" i="14"/>
  <c r="M124" i="14"/>
  <c r="I90" i="14"/>
  <c r="M106" i="14"/>
  <c r="N124" i="14"/>
  <c r="O106" i="14"/>
  <c r="P106" i="14"/>
  <c r="D116" i="14"/>
  <c r="L51" i="14"/>
  <c r="K68" i="14"/>
  <c r="K106" i="14"/>
  <c r="H124" i="14"/>
  <c r="P124" i="14"/>
  <c r="K90" i="14"/>
  <c r="L90" i="14"/>
  <c r="J124" i="14"/>
  <c r="D75" i="14"/>
  <c r="F106" i="14"/>
  <c r="N106" i="14"/>
  <c r="K124" i="14"/>
  <c r="D80" i="14"/>
  <c r="L124" i="14"/>
  <c r="BF163" i="9"/>
  <c r="AT8" i="10"/>
  <c r="BN163" i="9"/>
  <c r="BB8" i="10"/>
  <c r="I68" i="14"/>
  <c r="BG163" i="9"/>
  <c r="AU8" i="10"/>
  <c r="BO163" i="9"/>
  <c r="BC8" i="10"/>
  <c r="J68" i="14"/>
  <c r="BI163" i="9"/>
  <c r="AW8" i="10"/>
  <c r="BM163" i="9"/>
  <c r="BA8" i="10"/>
  <c r="BJ163" i="9"/>
  <c r="AX8" i="10"/>
  <c r="BP163" i="9"/>
  <c r="BD8" i="10"/>
  <c r="BK163" i="9"/>
  <c r="AY8" i="10"/>
  <c r="BE163" i="9"/>
  <c r="AS8" i="10"/>
  <c r="BH163" i="9"/>
  <c r="AV8" i="10"/>
  <c r="BL163" i="9"/>
  <c r="AZ8" i="10"/>
  <c r="D61" i="14"/>
  <c r="E68" i="14"/>
  <c r="M68" i="14"/>
  <c r="N68" i="14"/>
  <c r="H9" i="14"/>
  <c r="P9" i="14"/>
  <c r="L68" i="14"/>
  <c r="G51" i="14"/>
  <c r="O51" i="14"/>
  <c r="D40" i="14"/>
  <c r="E9" i="14"/>
  <c r="D112" i="14"/>
  <c r="D97" i="14"/>
  <c r="L9" i="14"/>
  <c r="D19" i="14"/>
  <c r="D12" i="14"/>
  <c r="D17" i="14"/>
  <c r="M9" i="14"/>
  <c r="D57" i="14"/>
  <c r="D35" i="14"/>
  <c r="G15" i="14"/>
  <c r="O15" i="14"/>
  <c r="D24" i="14"/>
  <c r="N9" i="14"/>
  <c r="L15" i="14"/>
  <c r="D16" i="14"/>
  <c r="D18" i="14"/>
  <c r="D10" i="14"/>
  <c r="D14" i="14"/>
  <c r="D20" i="14"/>
  <c r="I9" i="14"/>
  <c r="D11" i="14"/>
  <c r="J9" i="14"/>
  <c r="H15" i="14"/>
  <c r="K9" i="14"/>
  <c r="G9" i="14"/>
  <c r="O9" i="14"/>
  <c r="M15" i="14"/>
  <c r="I15" i="14"/>
  <c r="P15" i="14"/>
  <c r="J15" i="14"/>
  <c r="F15" i="14"/>
  <c r="N15" i="14"/>
  <c r="D21" i="14"/>
  <c r="K15" i="14"/>
  <c r="F9" i="14"/>
  <c r="D25" i="14"/>
  <c r="E15" i="14"/>
  <c r="AR8" i="10" l="1"/>
  <c r="D106" i="14"/>
  <c r="D51" i="14"/>
  <c r="E27" i="14"/>
  <c r="D124" i="14"/>
  <c r="H27" i="14"/>
  <c r="D90" i="14"/>
  <c r="D68" i="14"/>
  <c r="P27" i="14"/>
  <c r="L27" i="14"/>
  <c r="O27" i="14"/>
  <c r="N27" i="14"/>
  <c r="M27" i="14"/>
  <c r="G27" i="14"/>
  <c r="F27" i="14"/>
  <c r="K27" i="14"/>
  <c r="D15" i="14"/>
  <c r="D9" i="14"/>
  <c r="J27" i="14"/>
  <c r="I27" i="14"/>
  <c r="D27" i="14" l="1"/>
  <c r="D29" i="14" s="1"/>
  <c r="BD112" i="2" l="1"/>
  <c r="BC112" i="2"/>
  <c r="BB112" i="2"/>
  <c r="BA112" i="2"/>
  <c r="AZ112" i="2"/>
  <c r="AY112" i="2"/>
  <c r="AX112" i="2"/>
  <c r="AW112" i="2"/>
  <c r="AV112" i="2"/>
  <c r="AU112" i="2"/>
  <c r="AT112" i="2"/>
  <c r="AS112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AQ6" i="9" l="1"/>
  <c r="AF206" i="2" l="1"/>
  <c r="AG206" i="2"/>
  <c r="AH206" i="2"/>
  <c r="AS206" i="2"/>
  <c r="AT206" i="2"/>
  <c r="AU206" i="2"/>
  <c r="AV206" i="2"/>
  <c r="AW206" i="2"/>
  <c r="AX206" i="2"/>
  <c r="AY206" i="2"/>
  <c r="AZ206" i="2"/>
  <c r="E206" i="2"/>
  <c r="S206" i="2"/>
  <c r="T206" i="2"/>
  <c r="U206" i="2"/>
  <c r="V206" i="2"/>
  <c r="W206" i="2"/>
  <c r="X206" i="2"/>
  <c r="Y206" i="2"/>
  <c r="Z206" i="2"/>
  <c r="AB206" i="2"/>
  <c r="AC206" i="2"/>
  <c r="AD206" i="2"/>
  <c r="AI206" i="2"/>
  <c r="AJ206" i="2"/>
  <c r="AK206" i="2"/>
  <c r="AL206" i="2"/>
  <c r="AM206" i="2"/>
  <c r="AN206" i="2"/>
  <c r="AO206" i="2"/>
  <c r="AP206" i="2"/>
  <c r="AQ206" i="2"/>
  <c r="BE42" i="3" l="1"/>
  <c r="BC85" i="9" l="1"/>
  <c r="BB85" i="9"/>
  <c r="BA85" i="9"/>
  <c r="AZ85" i="9"/>
  <c r="AY85" i="9"/>
  <c r="AX85" i="9"/>
  <c r="AW85" i="9"/>
  <c r="AV85" i="9"/>
  <c r="AU85" i="9"/>
  <c r="AT85" i="9"/>
  <c r="AS85" i="9"/>
  <c r="AR85" i="9"/>
  <c r="BB243" i="2" l="1"/>
  <c r="BA248" i="2"/>
  <c r="BA247" i="2"/>
  <c r="BC244" i="2" l="1"/>
  <c r="AQ3" i="9" l="1"/>
  <c r="BP87" i="9" l="1"/>
  <c r="BP135" i="9" s="1"/>
  <c r="BO87" i="9"/>
  <c r="BO135" i="9" s="1"/>
  <c r="BN87" i="9"/>
  <c r="BN135" i="9" s="1"/>
  <c r="BM87" i="9"/>
  <c r="BM135" i="9" s="1"/>
  <c r="AQ114" i="2" l="1"/>
  <c r="AP114" i="2"/>
  <c r="AO114" i="2"/>
  <c r="AN114" i="2"/>
  <c r="AM114" i="2"/>
  <c r="AL114" i="2"/>
  <c r="AQ113" i="2"/>
  <c r="AP113" i="2"/>
  <c r="AO113" i="2"/>
  <c r="AN113" i="2"/>
  <c r="AM113" i="2"/>
  <c r="AL113" i="2"/>
  <c r="AQ112" i="2"/>
  <c r="AP112" i="2"/>
  <c r="AO112" i="2"/>
  <c r="AN112" i="2"/>
  <c r="AM112" i="2"/>
  <c r="AL112" i="2"/>
  <c r="AQ111" i="2"/>
  <c r="AP111" i="2"/>
  <c r="AO111" i="2"/>
  <c r="AN111" i="2"/>
  <c r="AM111" i="2"/>
  <c r="AL111" i="2"/>
  <c r="AQ110" i="2"/>
  <c r="AP110" i="2"/>
  <c r="AO110" i="2"/>
  <c r="AN110" i="2"/>
  <c r="AM110" i="2"/>
  <c r="AL110" i="2"/>
  <c r="AQ108" i="2"/>
  <c r="AP108" i="2"/>
  <c r="AO108" i="2"/>
  <c r="AN108" i="2"/>
  <c r="AM108" i="2"/>
  <c r="AL108" i="2"/>
  <c r="AQ107" i="2"/>
  <c r="AP107" i="2"/>
  <c r="AO107" i="2"/>
  <c r="AN107" i="2"/>
  <c r="AM107" i="2"/>
  <c r="AL107" i="2"/>
  <c r="BE20" i="3" l="1"/>
  <c r="BE19" i="3"/>
  <c r="BE18" i="3"/>
  <c r="BE17" i="3"/>
  <c r="BE16" i="3"/>
  <c r="BE15" i="3"/>
  <c r="BE14" i="3"/>
  <c r="BE13" i="3"/>
  <c r="BE12" i="3"/>
  <c r="BE11" i="3"/>
  <c r="BE9" i="3"/>
  <c r="BE8" i="3"/>
  <c r="BE21" i="2"/>
  <c r="BE20" i="2"/>
  <c r="BE18" i="2"/>
  <c r="BE17" i="2"/>
  <c r="BE16" i="2"/>
  <c r="BE15" i="2"/>
  <c r="BE14" i="2"/>
  <c r="BE13" i="2"/>
  <c r="BE12" i="2"/>
  <c r="BE10" i="2"/>
  <c r="BE9" i="2"/>
  <c r="D7" i="24" l="1"/>
  <c r="D11" i="24"/>
  <c r="I11" i="24" s="1"/>
  <c r="D9" i="24"/>
  <c r="I9" i="24" s="1"/>
  <c r="D10" i="24"/>
  <c r="I10" i="24" s="1"/>
  <c r="BA26" i="11"/>
  <c r="I7" i="24" l="1"/>
  <c r="D6" i="24"/>
  <c r="I6" i="24" s="1"/>
  <c r="BB26" i="11"/>
  <c r="BC26" i="11" l="1"/>
  <c r="BD26" i="11" l="1"/>
  <c r="R12" i="14" l="1"/>
  <c r="R11" i="14"/>
  <c r="BC34" i="13" l="1"/>
  <c r="BC33" i="13"/>
  <c r="BC32" i="13"/>
  <c r="BC31" i="13"/>
  <c r="BC30" i="13"/>
  <c r="BC29" i="13"/>
  <c r="BC37" i="13" s="1"/>
  <c r="AZ274" i="2" l="1"/>
  <c r="AZ275" i="2"/>
  <c r="AZ276" i="2"/>
  <c r="AZ277" i="2"/>
  <c r="AZ278" i="2"/>
  <c r="AZ269" i="2"/>
  <c r="AZ270" i="2"/>
  <c r="AZ51" i="3" l="1"/>
  <c r="BD26" i="3" l="1"/>
  <c r="BC26" i="3"/>
  <c r="BB26" i="3"/>
  <c r="BA26" i="3"/>
  <c r="AZ26" i="3"/>
  <c r="AY26" i="3"/>
  <c r="AX26" i="3"/>
  <c r="AW26" i="3"/>
  <c r="AV26" i="3"/>
  <c r="AU26" i="3"/>
  <c r="BF59" i="3"/>
  <c r="AY54" i="3"/>
  <c r="AX54" i="3"/>
  <c r="AW54" i="3"/>
  <c r="AV54" i="3"/>
  <c r="AU54" i="3"/>
  <c r="AT54" i="3"/>
  <c r="AY53" i="3"/>
  <c r="AX53" i="3"/>
  <c r="AW53" i="3"/>
  <c r="AV53" i="3"/>
  <c r="AU53" i="3"/>
  <c r="AT53" i="3"/>
  <c r="AS59" i="3"/>
  <c r="AS54" i="3"/>
  <c r="AS53" i="3"/>
  <c r="BD76" i="9"/>
  <c r="CC160" i="9"/>
  <c r="CC159" i="9" s="1"/>
  <c r="CB160" i="9"/>
  <c r="CB159" i="9" s="1"/>
  <c r="CA160" i="9"/>
  <c r="CA159" i="9" s="1"/>
  <c r="BZ160" i="9"/>
  <c r="BZ159" i="9" s="1"/>
  <c r="BY160" i="9"/>
  <c r="BY159" i="9" s="1"/>
  <c r="BX160" i="9"/>
  <c r="BX159" i="9" s="1"/>
  <c r="BW160" i="9"/>
  <c r="BW159" i="9" s="1"/>
  <c r="BV160" i="9"/>
  <c r="BV159" i="9" s="1"/>
  <c r="BU160" i="9"/>
  <c r="BU159" i="9" s="1"/>
  <c r="BT160" i="9"/>
  <c r="BT159" i="9" s="1"/>
  <c r="BS160" i="9"/>
  <c r="BS159" i="9" s="1"/>
  <c r="CC157" i="9"/>
  <c r="CC156" i="9" s="1"/>
  <c r="CB157" i="9"/>
  <c r="CB156" i="9" s="1"/>
  <c r="CA157" i="9"/>
  <c r="CA156" i="9" s="1"/>
  <c r="BZ157" i="9"/>
  <c r="BZ156" i="9" s="1"/>
  <c r="BY157" i="9"/>
  <c r="BY156" i="9" s="1"/>
  <c r="BX157" i="9"/>
  <c r="BX156" i="9" s="1"/>
  <c r="BW157" i="9"/>
  <c r="BW156" i="9" s="1"/>
  <c r="BV157" i="9"/>
  <c r="BV156" i="9" s="1"/>
  <c r="BU157" i="9"/>
  <c r="BU156" i="9" s="1"/>
  <c r="BT157" i="9"/>
  <c r="BT156" i="9" s="1"/>
  <c r="BS157" i="9"/>
  <c r="BS156" i="9" s="1"/>
  <c r="BS152" i="9"/>
  <c r="BZ152" i="9"/>
  <c r="CC147" i="9"/>
  <c r="CC145" i="9" s="1"/>
  <c r="CB147" i="9"/>
  <c r="CB145" i="9" s="1"/>
  <c r="CA147" i="9"/>
  <c r="CA145" i="9" s="1"/>
  <c r="BZ147" i="9"/>
  <c r="BZ145" i="9" s="1"/>
  <c r="BY147" i="9"/>
  <c r="BY145" i="9" s="1"/>
  <c r="BX147" i="9"/>
  <c r="BX145" i="9" s="1"/>
  <c r="BW147" i="9"/>
  <c r="BW145" i="9" s="1"/>
  <c r="BV147" i="9"/>
  <c r="BV145" i="9" s="1"/>
  <c r="BU147" i="9"/>
  <c r="BU145" i="9" s="1"/>
  <c r="BT147" i="9"/>
  <c r="BT145" i="9" s="1"/>
  <c r="BS147" i="9"/>
  <c r="BS145" i="9" s="1"/>
  <c r="CC142" i="9"/>
  <c r="CC131" i="9" s="1"/>
  <c r="CB142" i="9"/>
  <c r="CB131" i="9" s="1"/>
  <c r="CA142" i="9"/>
  <c r="BZ142" i="9"/>
  <c r="BY142" i="9"/>
  <c r="BX142" i="9"/>
  <c r="BW142" i="9"/>
  <c r="BV142" i="9"/>
  <c r="BU142" i="9"/>
  <c r="BT142" i="9"/>
  <c r="BS142" i="9"/>
  <c r="CC141" i="9"/>
  <c r="CC138" i="9" s="1"/>
  <c r="CB141" i="9"/>
  <c r="CB138" i="9" s="1"/>
  <c r="CA141" i="9"/>
  <c r="CA138" i="9" s="1"/>
  <c r="BZ141" i="9"/>
  <c r="BZ138" i="9" s="1"/>
  <c r="BY141" i="9"/>
  <c r="BY138" i="9" s="1"/>
  <c r="BX141" i="9"/>
  <c r="BX138" i="9" s="1"/>
  <c r="BW141" i="9"/>
  <c r="BW138" i="9" s="1"/>
  <c r="BV141" i="9"/>
  <c r="BV138" i="9" s="1"/>
  <c r="BU141" i="9"/>
  <c r="BU138" i="9" s="1"/>
  <c r="BT141" i="9"/>
  <c r="BT138" i="9" s="1"/>
  <c r="BS141" i="9"/>
  <c r="BS138" i="9" s="1"/>
  <c r="CC137" i="9"/>
  <c r="CB137" i="9"/>
  <c r="CA137" i="9"/>
  <c r="BZ137" i="9"/>
  <c r="BY137" i="9"/>
  <c r="BX137" i="9"/>
  <c r="BW137" i="9"/>
  <c r="BV137" i="9"/>
  <c r="BU137" i="9"/>
  <c r="BT137" i="9"/>
  <c r="BS137" i="9"/>
  <c r="BR160" i="9"/>
  <c r="BR159" i="9" s="1"/>
  <c r="BR157" i="9"/>
  <c r="BR156" i="9" s="1"/>
  <c r="BR147" i="9"/>
  <c r="BR145" i="9" s="1"/>
  <c r="BR141" i="9"/>
  <c r="BR137" i="9"/>
  <c r="BS131" i="9" l="1"/>
  <c r="BT131" i="9"/>
  <c r="BU131" i="9"/>
  <c r="BV131" i="9"/>
  <c r="BW131" i="9"/>
  <c r="BX131" i="9"/>
  <c r="BY131" i="9"/>
  <c r="BZ131" i="9"/>
  <c r="CA131" i="9"/>
  <c r="BW152" i="9"/>
  <c r="BX152" i="9"/>
  <c r="BY152" i="9"/>
  <c r="CA152" i="9"/>
  <c r="BT152" i="9"/>
  <c r="CB152" i="9"/>
  <c r="BU152" i="9"/>
  <c r="CC152" i="9"/>
  <c r="BV152" i="9"/>
  <c r="BR138" i="9"/>
  <c r="BR136" i="9" s="1"/>
  <c r="BR152" i="9"/>
  <c r="BZ162" i="9"/>
  <c r="BZ144" i="9" s="1"/>
  <c r="BS162" i="9"/>
  <c r="BS144" i="9" s="1"/>
  <c r="CA162" i="9"/>
  <c r="BT162" i="9"/>
  <c r="CB162" i="9"/>
  <c r="BV136" i="9"/>
  <c r="BV143" i="9" s="1"/>
  <c r="BW136" i="9"/>
  <c r="BW143" i="9" s="1"/>
  <c r="CC162" i="9"/>
  <c r="BU162" i="9"/>
  <c r="BY162" i="9"/>
  <c r="BQ160" i="9"/>
  <c r="BW162" i="9"/>
  <c r="BU136" i="9"/>
  <c r="BU143" i="9" s="1"/>
  <c r="CC136" i="9"/>
  <c r="CC143" i="9" s="1"/>
  <c r="BS136" i="9"/>
  <c r="BS143" i="9" s="1"/>
  <c r="CA136" i="9"/>
  <c r="CA143" i="9" s="1"/>
  <c r="BQ141" i="9"/>
  <c r="DH141" i="9" s="1"/>
  <c r="BR162" i="9"/>
  <c r="BV162" i="9"/>
  <c r="BX162" i="9"/>
  <c r="BZ136" i="9"/>
  <c r="BZ143" i="9" s="1"/>
  <c r="BT136" i="9"/>
  <c r="BT143" i="9" s="1"/>
  <c r="CB136" i="9"/>
  <c r="CB143" i="9" s="1"/>
  <c r="BY136" i="9"/>
  <c r="BY143" i="9" s="1"/>
  <c r="BX136" i="9"/>
  <c r="BX143" i="9" s="1"/>
  <c r="BQ155" i="9"/>
  <c r="BQ163" i="9"/>
  <c r="BQ137" i="9"/>
  <c r="BQ157" i="9"/>
  <c r="BQ147" i="9"/>
  <c r="DH163" i="9" l="1"/>
  <c r="BT144" i="9"/>
  <c r="BT176" i="9" s="1"/>
  <c r="CB144" i="9"/>
  <c r="CB176" i="9" s="1"/>
  <c r="BW144" i="9"/>
  <c r="BW176" i="9" s="1"/>
  <c r="BU144" i="9"/>
  <c r="BU176" i="9" s="1"/>
  <c r="BY144" i="9"/>
  <c r="BY176" i="9" s="1"/>
  <c r="BX144" i="9"/>
  <c r="BX176" i="9" s="1"/>
  <c r="BV144" i="9"/>
  <c r="BV176" i="9" s="1"/>
  <c r="CC144" i="9"/>
  <c r="CC176" i="9" s="1"/>
  <c r="CA144" i="9"/>
  <c r="CA176" i="9" s="1"/>
  <c r="BQ138" i="9"/>
  <c r="BQ145" i="9"/>
  <c r="BQ156" i="9"/>
  <c r="BQ159" i="9"/>
  <c r="DH159" i="9" s="1"/>
  <c r="BQ152" i="9"/>
  <c r="BZ176" i="9"/>
  <c r="BS176" i="9"/>
  <c r="BQ162" i="9"/>
  <c r="DH152" i="9" l="1"/>
  <c r="DH138" i="9"/>
  <c r="DH156" i="9"/>
  <c r="DH145" i="9"/>
  <c r="DH162" i="9"/>
  <c r="BQ136" i="9"/>
  <c r="BQ144" i="9"/>
  <c r="DH144" i="9" l="1"/>
  <c r="Q115" i="14"/>
  <c r="P8" i="14" l="1"/>
  <c r="O8" i="14"/>
  <c r="N8" i="14"/>
  <c r="M8" i="14"/>
  <c r="L8" i="14"/>
  <c r="K8" i="14"/>
  <c r="J8" i="14"/>
  <c r="I8" i="14"/>
  <c r="H8" i="14"/>
  <c r="G8" i="14"/>
  <c r="F8" i="14"/>
  <c r="E8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G56" i="14"/>
  <c r="H56" i="14"/>
  <c r="I56" i="14"/>
  <c r="J56" i="14"/>
  <c r="K56" i="14"/>
  <c r="L56" i="14"/>
  <c r="M56" i="14"/>
  <c r="N56" i="14"/>
  <c r="O56" i="14"/>
  <c r="P56" i="14"/>
  <c r="F56" i="14"/>
  <c r="E56" i="14"/>
  <c r="BR144" i="9" l="1"/>
  <c r="Q48" i="14"/>
  <c r="BR142" i="9"/>
  <c r="BR131" i="9" s="1"/>
  <c r="W9" i="14"/>
  <c r="Z9" i="14"/>
  <c r="Y9" i="14"/>
  <c r="X9" i="14"/>
  <c r="V9" i="14"/>
  <c r="S9" i="14"/>
  <c r="Q123" i="14"/>
  <c r="Q118" i="14"/>
  <c r="Q117" i="14"/>
  <c r="Q113" i="14"/>
  <c r="Q105" i="14"/>
  <c r="Q104" i="14"/>
  <c r="Q103" i="14"/>
  <c r="Q102" i="14"/>
  <c r="Q101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99" i="14"/>
  <c r="Q98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81" i="14"/>
  <c r="AC80" i="14"/>
  <c r="AB80" i="14"/>
  <c r="AA80" i="14"/>
  <c r="Z80" i="14"/>
  <c r="Y80" i="14"/>
  <c r="X80" i="14"/>
  <c r="W80" i="14"/>
  <c r="V80" i="14"/>
  <c r="U80" i="14"/>
  <c r="T80" i="14"/>
  <c r="S80" i="14"/>
  <c r="Q77" i="14"/>
  <c r="Q76" i="14"/>
  <c r="Q67" i="14"/>
  <c r="Q66" i="14"/>
  <c r="Q65" i="14"/>
  <c r="Q64" i="14"/>
  <c r="Q63" i="14"/>
  <c r="Q62" i="14"/>
  <c r="AC61" i="14"/>
  <c r="AB61" i="14"/>
  <c r="AA61" i="14"/>
  <c r="Z61" i="14"/>
  <c r="Y61" i="14"/>
  <c r="X61" i="14"/>
  <c r="W61" i="14"/>
  <c r="V61" i="14"/>
  <c r="U61" i="14"/>
  <c r="T61" i="14"/>
  <c r="S61" i="14"/>
  <c r="R61" i="14"/>
  <c r="Q60" i="14"/>
  <c r="Q59" i="14"/>
  <c r="Q58" i="14"/>
  <c r="AC57" i="14"/>
  <c r="AB57" i="14"/>
  <c r="AA57" i="14"/>
  <c r="Z57" i="14"/>
  <c r="Y57" i="14"/>
  <c r="X57" i="14"/>
  <c r="W57" i="14"/>
  <c r="V57" i="14"/>
  <c r="U57" i="14"/>
  <c r="T57" i="14"/>
  <c r="S57" i="14"/>
  <c r="R57" i="14"/>
  <c r="Q46" i="14"/>
  <c r="Q45" i="14"/>
  <c r="Q44" i="14"/>
  <c r="Q42" i="14"/>
  <c r="Q41" i="14"/>
  <c r="Q39" i="14"/>
  <c r="Q37" i="14"/>
  <c r="AC35" i="14"/>
  <c r="AB35" i="14"/>
  <c r="AA35" i="14"/>
  <c r="Z35" i="14"/>
  <c r="Y35" i="14"/>
  <c r="X35" i="14"/>
  <c r="W35" i="14"/>
  <c r="V35" i="14"/>
  <c r="U35" i="14"/>
  <c r="T35" i="14"/>
  <c r="S35" i="14"/>
  <c r="R35" i="14"/>
  <c r="AD80" i="9"/>
  <c r="R106" i="14" l="1"/>
  <c r="Z106" i="14"/>
  <c r="W90" i="14"/>
  <c r="BQ142" i="9"/>
  <c r="Y90" i="14"/>
  <c r="T68" i="14"/>
  <c r="AB68" i="14"/>
  <c r="W68" i="14"/>
  <c r="W106" i="14"/>
  <c r="T51" i="14"/>
  <c r="X106" i="14"/>
  <c r="S124" i="14"/>
  <c r="U90" i="14"/>
  <c r="AC90" i="14"/>
  <c r="Y106" i="14"/>
  <c r="Z124" i="14"/>
  <c r="AB124" i="14"/>
  <c r="V124" i="14"/>
  <c r="S51" i="14"/>
  <c r="X124" i="14"/>
  <c r="AA124" i="14"/>
  <c r="W51" i="14"/>
  <c r="X90" i="14"/>
  <c r="AA51" i="14"/>
  <c r="Z51" i="14"/>
  <c r="Y124" i="14"/>
  <c r="T124" i="14"/>
  <c r="S90" i="14"/>
  <c r="AA90" i="14"/>
  <c r="X68" i="14"/>
  <c r="S68" i="14"/>
  <c r="AA68" i="14"/>
  <c r="V68" i="14"/>
  <c r="U68" i="14"/>
  <c r="AC68" i="14"/>
  <c r="AC51" i="14"/>
  <c r="AB51" i="14"/>
  <c r="X51" i="14"/>
  <c r="Q40" i="14"/>
  <c r="U51" i="14"/>
  <c r="R51" i="14"/>
  <c r="Q35" i="14"/>
  <c r="R124" i="14"/>
  <c r="BR143" i="9"/>
  <c r="Q116" i="14"/>
  <c r="U124" i="14"/>
  <c r="AC124" i="14"/>
  <c r="W124" i="14"/>
  <c r="T9" i="14"/>
  <c r="AB9" i="14"/>
  <c r="Q19" i="14"/>
  <c r="Q20" i="14"/>
  <c r="U106" i="14"/>
  <c r="AC106" i="14"/>
  <c r="X27" i="14"/>
  <c r="V106" i="14"/>
  <c r="Q100" i="14"/>
  <c r="Q97" i="14"/>
  <c r="T106" i="14"/>
  <c r="AB106" i="14"/>
  <c r="U9" i="14"/>
  <c r="Q80" i="14"/>
  <c r="V90" i="14"/>
  <c r="Z27" i="14"/>
  <c r="V27" i="14"/>
  <c r="T90" i="14"/>
  <c r="AB90" i="14"/>
  <c r="Q17" i="14"/>
  <c r="Z90" i="14"/>
  <c r="Q12" i="14"/>
  <c r="R68" i="14"/>
  <c r="Z68" i="14"/>
  <c r="Q21" i="14"/>
  <c r="Q24" i="14"/>
  <c r="Q25" i="14"/>
  <c r="Q18" i="14"/>
  <c r="Y68" i="14"/>
  <c r="Q61" i="14"/>
  <c r="AC9" i="14"/>
  <c r="AC27" i="14" s="1"/>
  <c r="AA9" i="14"/>
  <c r="Y51" i="14"/>
  <c r="Q11" i="14"/>
  <c r="W27" i="14"/>
  <c r="S27" i="14"/>
  <c r="Q10" i="14"/>
  <c r="Y27" i="14"/>
  <c r="Q16" i="14"/>
  <c r="R9" i="14"/>
  <c r="S106" i="14"/>
  <c r="AA106" i="14"/>
  <c r="V51" i="14"/>
  <c r="Q57" i="14"/>
  <c r="Q75" i="14"/>
  <c r="Q112" i="14"/>
  <c r="BQ131" i="9" l="1"/>
  <c r="BE8" i="10"/>
  <c r="Q5" i="14"/>
  <c r="AA27" i="14"/>
  <c r="BQ143" i="9"/>
  <c r="Q51" i="14"/>
  <c r="Q106" i="14"/>
  <c r="Q68" i="14"/>
  <c r="T27" i="14"/>
  <c r="BR176" i="9"/>
  <c r="U27" i="14"/>
  <c r="Q90" i="14"/>
  <c r="AB27" i="14"/>
  <c r="Q124" i="14"/>
  <c r="Q15" i="14"/>
  <c r="Q9" i="14"/>
  <c r="R27" i="14"/>
  <c r="BQ176" i="9" l="1"/>
  <c r="Q27" i="14"/>
  <c r="Q29" i="14" s="1"/>
  <c r="BE6" i="11"/>
  <c r="BE7" i="11"/>
  <c r="BE13" i="11"/>
  <c r="BE14" i="11"/>
  <c r="BF19" i="11"/>
  <c r="BG19" i="11"/>
  <c r="BH19" i="11"/>
  <c r="BI19" i="11"/>
  <c r="BJ19" i="11"/>
  <c r="BK19" i="11"/>
  <c r="BL19" i="11"/>
  <c r="BM19" i="11"/>
  <c r="BN19" i="11"/>
  <c r="BO19" i="11"/>
  <c r="BQ19" i="11"/>
  <c r="BE20" i="11"/>
  <c r="BE21" i="11"/>
  <c r="BE27" i="11"/>
  <c r="BE28" i="11"/>
  <c r="BE34" i="11"/>
  <c r="BE35" i="11"/>
  <c r="BE39" i="11"/>
  <c r="BF40" i="11"/>
  <c r="BF49" i="11" s="1"/>
  <c r="BG40" i="11"/>
  <c r="BH40" i="11"/>
  <c r="BI40" i="11"/>
  <c r="BJ40" i="11"/>
  <c r="BK40" i="11"/>
  <c r="BL40" i="11"/>
  <c r="BM40" i="11"/>
  <c r="BF41" i="11"/>
  <c r="BG41" i="11"/>
  <c r="BH41" i="11"/>
  <c r="BI41" i="11"/>
  <c r="BJ41" i="11"/>
  <c r="BK41" i="11"/>
  <c r="BL41" i="11"/>
  <c r="BM41" i="11"/>
  <c r="BN41" i="11"/>
  <c r="BO41" i="11"/>
  <c r="BP41" i="11"/>
  <c r="BQ41" i="11"/>
  <c r="AE146" i="9"/>
  <c r="AF146" i="9"/>
  <c r="AG146" i="9"/>
  <c r="AH146" i="9"/>
  <c r="AI146" i="9"/>
  <c r="AJ146" i="9"/>
  <c r="AK146" i="9"/>
  <c r="AL146" i="9"/>
  <c r="AM146" i="9"/>
  <c r="AN146" i="9"/>
  <c r="AO146" i="9"/>
  <c r="AP146" i="9"/>
  <c r="BE48" i="11" l="1"/>
  <c r="D15" i="24"/>
  <c r="BE54" i="11"/>
  <c r="BE47" i="11"/>
  <c r="BI54" i="11"/>
  <c r="BI49" i="11"/>
  <c r="BH54" i="11"/>
  <c r="BH49" i="11"/>
  <c r="BL54" i="11"/>
  <c r="BL49" i="11"/>
  <c r="BG49" i="11"/>
  <c r="BG54" i="11"/>
  <c r="BM49" i="11"/>
  <c r="BM54" i="11"/>
  <c r="BJ54" i="11"/>
  <c r="BJ49" i="11"/>
  <c r="BK54" i="11"/>
  <c r="BK49" i="11"/>
  <c r="BE41" i="11"/>
  <c r="BE40" i="11"/>
  <c r="AQ82" i="9"/>
  <c r="AQ31" i="11" l="1"/>
  <c r="AS32" i="3" l="1"/>
  <c r="AS125" i="2" s="1"/>
  <c r="AY51" i="3"/>
  <c r="AX51" i="3"/>
  <c r="AW51" i="3"/>
  <c r="AV51" i="3"/>
  <c r="AU51" i="3"/>
  <c r="AT51" i="3"/>
  <c r="AS51" i="3"/>
  <c r="AS31" i="3" l="1"/>
  <c r="BW25" i="9"/>
  <c r="BW101" i="9" s="1"/>
  <c r="BR47" i="9"/>
  <c r="BR123" i="9" s="1"/>
  <c r="BY25" i="9"/>
  <c r="BY101" i="9" s="1"/>
  <c r="BX25" i="9"/>
  <c r="BX101" i="9" s="1"/>
  <c r="BV25" i="9"/>
  <c r="BV101" i="9" s="1"/>
  <c r="BU25" i="9"/>
  <c r="BU101" i="9" s="1"/>
  <c r="BT25" i="9"/>
  <c r="BT101" i="9" s="1"/>
  <c r="BS25" i="9"/>
  <c r="BS101" i="9" s="1"/>
  <c r="BR25" i="9"/>
  <c r="BR101" i="9" s="1"/>
  <c r="CC24" i="9"/>
  <c r="CC100" i="9" s="1"/>
  <c r="CB24" i="9"/>
  <c r="CB100" i="9" s="1"/>
  <c r="CA24" i="9"/>
  <c r="CA100" i="9" s="1"/>
  <c r="BZ24" i="9"/>
  <c r="BZ100" i="9" s="1"/>
  <c r="BY24" i="9"/>
  <c r="BY100" i="9" s="1"/>
  <c r="BX24" i="9"/>
  <c r="BX100" i="9" s="1"/>
  <c r="BW24" i="9"/>
  <c r="BW100" i="9" s="1"/>
  <c r="BV24" i="9"/>
  <c r="BV100" i="9" s="1"/>
  <c r="BU24" i="9"/>
  <c r="BU100" i="9" s="1"/>
  <c r="BT24" i="9"/>
  <c r="BT100" i="9" s="1"/>
  <c r="BS24" i="9"/>
  <c r="BS100" i="9" s="1"/>
  <c r="BR24" i="9"/>
  <c r="BR100" i="9" s="1"/>
  <c r="BQ74" i="9"/>
  <c r="BQ73" i="9"/>
  <c r="BQ72" i="9"/>
  <c r="BQ71" i="9"/>
  <c r="BQ70" i="9"/>
  <c r="BQ69" i="9"/>
  <c r="BQ67" i="9"/>
  <c r="CB65" i="9"/>
  <c r="CA65" i="9"/>
  <c r="BY65" i="9"/>
  <c r="BX65" i="9"/>
  <c r="BV65" i="9"/>
  <c r="BU65" i="9"/>
  <c r="BT65" i="9"/>
  <c r="BS65" i="9"/>
  <c r="BR65" i="9"/>
  <c r="CC65" i="9"/>
  <c r="BQ64" i="9"/>
  <c r="BQ62" i="9"/>
  <c r="BQ61" i="9"/>
  <c r="BQ60" i="9"/>
  <c r="BQ59" i="9"/>
  <c r="BQ58" i="9"/>
  <c r="BZ53" i="9"/>
  <c r="BW53" i="9"/>
  <c r="BQ56" i="9"/>
  <c r="BQ55" i="9"/>
  <c r="BQ54" i="9"/>
  <c r="CC53" i="9"/>
  <c r="CB53" i="9"/>
  <c r="CA53" i="9"/>
  <c r="BY53" i="9"/>
  <c r="BX53" i="9"/>
  <c r="BV53" i="9"/>
  <c r="BU53" i="9"/>
  <c r="BS53" i="9"/>
  <c r="BR53" i="9"/>
  <c r="BE48" i="13"/>
  <c r="BF48" i="13" s="1"/>
  <c r="BG48" i="13" s="1"/>
  <c r="BH48" i="13" s="1"/>
  <c r="BI48" i="13" s="1"/>
  <c r="BJ48" i="13" s="1"/>
  <c r="BK48" i="13" s="1"/>
  <c r="BL48" i="13" s="1"/>
  <c r="BM48" i="13" s="1"/>
  <c r="BN48" i="13" s="1"/>
  <c r="BO48" i="13" s="1"/>
  <c r="BE46" i="13"/>
  <c r="BF46" i="13" s="1"/>
  <c r="BD45" i="13"/>
  <c r="BD47" i="13" s="1"/>
  <c r="BD49" i="13" s="1"/>
  <c r="AP33" i="13"/>
  <c r="AP26" i="13"/>
  <c r="AP25" i="13"/>
  <c r="AP24" i="13"/>
  <c r="AP20" i="13"/>
  <c r="AP19" i="13"/>
  <c r="AP16" i="13"/>
  <c r="AP12" i="13"/>
  <c r="AP11" i="13"/>
  <c r="AP10" i="13"/>
  <c r="AP9" i="13"/>
  <c r="AP8" i="13"/>
  <c r="AP7" i="13"/>
  <c r="AP34" i="13"/>
  <c r="AP32" i="13"/>
  <c r="AP31" i="13"/>
  <c r="AP30" i="13"/>
  <c r="AP29" i="13"/>
  <c r="AP23" i="13"/>
  <c r="AP14" i="13"/>
  <c r="BQ114" i="2"/>
  <c r="BP114" i="2"/>
  <c r="BO114" i="2"/>
  <c r="BN114" i="2"/>
  <c r="BM114" i="2"/>
  <c r="BL114" i="2"/>
  <c r="BQ113" i="2"/>
  <c r="BP113" i="2"/>
  <c r="BO113" i="2"/>
  <c r="BN113" i="2"/>
  <c r="BM113" i="2"/>
  <c r="BL113" i="2"/>
  <c r="BQ108" i="2"/>
  <c r="BP108" i="2"/>
  <c r="BO108" i="2"/>
  <c r="BN108" i="2"/>
  <c r="BM108" i="2"/>
  <c r="BL108" i="2"/>
  <c r="BQ107" i="2"/>
  <c r="BP107" i="2"/>
  <c r="BO107" i="2"/>
  <c r="BN107" i="2"/>
  <c r="BM107" i="2"/>
  <c r="AY297" i="2"/>
  <c r="AX297" i="2"/>
  <c r="AW297" i="2"/>
  <c r="AV297" i="2"/>
  <c r="AU297" i="2"/>
  <c r="AT297" i="2"/>
  <c r="AS297" i="2"/>
  <c r="AX299" i="2"/>
  <c r="AW299" i="2"/>
  <c r="AV299" i="2"/>
  <c r="AU299" i="2"/>
  <c r="AT299" i="2"/>
  <c r="BD297" i="2"/>
  <c r="AS299" i="2"/>
  <c r="AY282" i="2"/>
  <c r="AX282" i="2"/>
  <c r="AW282" i="2"/>
  <c r="AV282" i="2"/>
  <c r="AU282" i="2"/>
  <c r="AT282" i="2"/>
  <c r="AS282" i="2"/>
  <c r="AZ248" i="2"/>
  <c r="AY269" i="2"/>
  <c r="AX278" i="2"/>
  <c r="AW278" i="2"/>
  <c r="AV278" i="2"/>
  <c r="AU278" i="2"/>
  <c r="AT278" i="2"/>
  <c r="AS278" i="2"/>
  <c r="AX277" i="2"/>
  <c r="AW277" i="2"/>
  <c r="AV277" i="2"/>
  <c r="AU277" i="2"/>
  <c r="AT277" i="2"/>
  <c r="AS277" i="2"/>
  <c r="AX276" i="2"/>
  <c r="AW276" i="2"/>
  <c r="AV276" i="2"/>
  <c r="AU276" i="2"/>
  <c r="AT276" i="2"/>
  <c r="AS276" i="2"/>
  <c r="AX275" i="2"/>
  <c r="AW275" i="2"/>
  <c r="AV275" i="2"/>
  <c r="AU275" i="2"/>
  <c r="AT275" i="2"/>
  <c r="AS275" i="2"/>
  <c r="AX274" i="2"/>
  <c r="AW274" i="2"/>
  <c r="AV274" i="2"/>
  <c r="AU274" i="2"/>
  <c r="AT274" i="2"/>
  <c r="AS274" i="2"/>
  <c r="AX270" i="2"/>
  <c r="AW270" i="2"/>
  <c r="AV270" i="2"/>
  <c r="AU270" i="2"/>
  <c r="AT270" i="2"/>
  <c r="AS270" i="2"/>
  <c r="AX269" i="2"/>
  <c r="AW269" i="2"/>
  <c r="AV269" i="2"/>
  <c r="AU269" i="2"/>
  <c r="AT269" i="2"/>
  <c r="AS269" i="2"/>
  <c r="AS266" i="2"/>
  <c r="AS255" i="2" s="1"/>
  <c r="AY254" i="2"/>
  <c r="AX254" i="2"/>
  <c r="AW254" i="2"/>
  <c r="AV254" i="2"/>
  <c r="AU254" i="2"/>
  <c r="AT254" i="2"/>
  <c r="AS254" i="2"/>
  <c r="AZ246" i="2"/>
  <c r="AY251" i="2"/>
  <c r="AX251" i="2"/>
  <c r="AW251" i="2"/>
  <c r="AV251" i="2"/>
  <c r="AU251" i="2"/>
  <c r="AT251" i="2"/>
  <c r="AS251" i="2"/>
  <c r="AY250" i="2"/>
  <c r="AX250" i="2"/>
  <c r="AW250" i="2"/>
  <c r="AV250" i="2"/>
  <c r="AU250" i="2"/>
  <c r="AT250" i="2"/>
  <c r="AS250" i="2"/>
  <c r="AY249" i="2"/>
  <c r="AX249" i="2"/>
  <c r="AW249" i="2"/>
  <c r="AV249" i="2"/>
  <c r="AU249" i="2"/>
  <c r="AT249" i="2"/>
  <c r="AS249" i="2"/>
  <c r="AY248" i="2"/>
  <c r="AX248" i="2"/>
  <c r="AW248" i="2"/>
  <c r="AV248" i="2"/>
  <c r="AU248" i="2"/>
  <c r="AT248" i="2"/>
  <c r="AS248" i="2"/>
  <c r="AY247" i="2"/>
  <c r="AX247" i="2"/>
  <c r="AW247" i="2"/>
  <c r="AV247" i="2"/>
  <c r="AU247" i="2"/>
  <c r="AT247" i="2"/>
  <c r="AS247" i="2"/>
  <c r="AY246" i="2"/>
  <c r="AX246" i="2"/>
  <c r="AW246" i="2"/>
  <c r="AV246" i="2"/>
  <c r="AU246" i="2"/>
  <c r="AT246" i="2"/>
  <c r="AS246" i="2"/>
  <c r="AY244" i="2"/>
  <c r="AX244" i="2"/>
  <c r="AW244" i="2"/>
  <c r="AV244" i="2"/>
  <c r="AU244" i="2"/>
  <c r="AT244" i="2"/>
  <c r="AS244" i="2"/>
  <c r="AY243" i="2"/>
  <c r="AX243" i="2"/>
  <c r="AW243" i="2"/>
  <c r="AV243" i="2"/>
  <c r="AU243" i="2"/>
  <c r="AT243" i="2"/>
  <c r="AS243" i="2"/>
  <c r="AZ213" i="2"/>
  <c r="AY213" i="2"/>
  <c r="AY210" i="2"/>
  <c r="AX218" i="2"/>
  <c r="AW218" i="2"/>
  <c r="AV218" i="2"/>
  <c r="AU218" i="2"/>
  <c r="AT218" i="2"/>
  <c r="AS218" i="2"/>
  <c r="AX217" i="2"/>
  <c r="AW217" i="2"/>
  <c r="AV217" i="2"/>
  <c r="AU217" i="2"/>
  <c r="AT217" i="2"/>
  <c r="AS217" i="2"/>
  <c r="AX216" i="2"/>
  <c r="AW216" i="2"/>
  <c r="AV216" i="2"/>
  <c r="AU216" i="2"/>
  <c r="AT216" i="2"/>
  <c r="AS216" i="2"/>
  <c r="AX215" i="2"/>
  <c r="AW215" i="2"/>
  <c r="AV215" i="2"/>
  <c r="AU215" i="2"/>
  <c r="AT215" i="2"/>
  <c r="AS215" i="2"/>
  <c r="AX214" i="2"/>
  <c r="AW214" i="2"/>
  <c r="AV214" i="2"/>
  <c r="AU214" i="2"/>
  <c r="AT214" i="2"/>
  <c r="AS214" i="2"/>
  <c r="AX213" i="2"/>
  <c r="AW213" i="2"/>
  <c r="AV213" i="2"/>
  <c r="AU213" i="2"/>
  <c r="AT213" i="2"/>
  <c r="AS213" i="2"/>
  <c r="AX211" i="2"/>
  <c r="AW211" i="2"/>
  <c r="AV211" i="2"/>
  <c r="AU211" i="2"/>
  <c r="AT211" i="2"/>
  <c r="AS211" i="2"/>
  <c r="AX210" i="2"/>
  <c r="AW210" i="2"/>
  <c r="AV210" i="2"/>
  <c r="AU210" i="2"/>
  <c r="AT210" i="2"/>
  <c r="AS210" i="2"/>
  <c r="AY230" i="2"/>
  <c r="AX230" i="2"/>
  <c r="AW230" i="2"/>
  <c r="AV230" i="2"/>
  <c r="AU230" i="2"/>
  <c r="AT230" i="2"/>
  <c r="AS230" i="2"/>
  <c r="AY107" i="2"/>
  <c r="AZ107" i="2"/>
  <c r="BA107" i="2"/>
  <c r="BB107" i="2"/>
  <c r="BC107" i="2"/>
  <c r="BD107" i="2"/>
  <c r="AY108" i="2"/>
  <c r="AZ108" i="2"/>
  <c r="BA108" i="2"/>
  <c r="BB108" i="2"/>
  <c r="BC108" i="2"/>
  <c r="BD108" i="2"/>
  <c r="AY111" i="2"/>
  <c r="AZ111" i="2"/>
  <c r="BA111" i="2"/>
  <c r="BB111" i="2"/>
  <c r="BC111" i="2"/>
  <c r="BD111" i="2"/>
  <c r="AY113" i="2"/>
  <c r="AZ113" i="2"/>
  <c r="BA113" i="2"/>
  <c r="BB113" i="2"/>
  <c r="BC113" i="2"/>
  <c r="BD113" i="2"/>
  <c r="AY114" i="2"/>
  <c r="AZ114" i="2"/>
  <c r="BA114" i="2"/>
  <c r="BB114" i="2"/>
  <c r="BC114" i="2"/>
  <c r="BD114" i="2"/>
  <c r="BE45" i="13"/>
  <c r="AZ48" i="4"/>
  <c r="AY48" i="4"/>
  <c r="AX48" i="4"/>
  <c r="AW48" i="4"/>
  <c r="AV48" i="4"/>
  <c r="AU48" i="4"/>
  <c r="AT48" i="4"/>
  <c r="BS51" i="9" l="1"/>
  <c r="BS127" i="9" s="1"/>
  <c r="BZ65" i="9"/>
  <c r="BQ65" i="9" s="1"/>
  <c r="BR51" i="9"/>
  <c r="BR127" i="9" s="1"/>
  <c r="AP22" i="13"/>
  <c r="AP21" i="13"/>
  <c r="AP13" i="13"/>
  <c r="AP17" i="13"/>
  <c r="AP18" i="13"/>
  <c r="BE47" i="13"/>
  <c r="BE49" i="13" s="1"/>
  <c r="AZ247" i="2"/>
  <c r="AZ297" i="2"/>
  <c r="BA297" i="2"/>
  <c r="BB297" i="2"/>
  <c r="BC297" i="2"/>
  <c r="BQ57" i="9"/>
  <c r="BQ66" i="9"/>
  <c r="BT53" i="9"/>
  <c r="BQ68" i="9"/>
  <c r="BQ24" i="9"/>
  <c r="AP15" i="13"/>
  <c r="BG46" i="13"/>
  <c r="BH46" i="13" s="1"/>
  <c r="BB244" i="2"/>
  <c r="AZ282" i="2"/>
  <c r="BA282" i="2"/>
  <c r="AZ250" i="2"/>
  <c r="BA246" i="2"/>
  <c r="BA213" i="2"/>
  <c r="AZ243" i="2"/>
  <c r="BA249" i="2"/>
  <c r="AZ249" i="2"/>
  <c r="AZ244" i="2"/>
  <c r="BA251" i="2"/>
  <c r="AZ251" i="2"/>
  <c r="BA244" i="2"/>
  <c r="BH24" i="10"/>
  <c r="DK24" i="9" l="1"/>
  <c r="DH24" i="9"/>
  <c r="BQ100" i="9"/>
  <c r="BQ53" i="9"/>
  <c r="BT51" i="9"/>
  <c r="BT127" i="9" s="1"/>
  <c r="BR50" i="9"/>
  <c r="BR126" i="9" s="1"/>
  <c r="BF45" i="13"/>
  <c r="BF47" i="13" s="1"/>
  <c r="BF49" i="13" s="1"/>
  <c r="BR31" i="9"/>
  <c r="BR107" i="9" s="1"/>
  <c r="BB247" i="2"/>
  <c r="BI46" i="13"/>
  <c r="BM18" i="9"/>
  <c r="BB282" i="2"/>
  <c r="BB246" i="2"/>
  <c r="BB213" i="2"/>
  <c r="BC247" i="2"/>
  <c r="BA250" i="2"/>
  <c r="BB249" i="2"/>
  <c r="BB251" i="2"/>
  <c r="BA243" i="2"/>
  <c r="BE26" i="10"/>
  <c r="DH100" i="9" l="1"/>
  <c r="BU51" i="9"/>
  <c r="BU127" i="9" s="1"/>
  <c r="BS50" i="9"/>
  <c r="BS126" i="9" s="1"/>
  <c r="BG45" i="13"/>
  <c r="BG47" i="13" s="1"/>
  <c r="BG49" i="13" s="1"/>
  <c r="BG297" i="2"/>
  <c r="BS31" i="9"/>
  <c r="BS107" i="9" s="1"/>
  <c r="BD247" i="2"/>
  <c r="BJ46" i="13"/>
  <c r="BD282" i="2"/>
  <c r="BC282" i="2"/>
  <c r="BD251" i="2"/>
  <c r="BC246" i="2"/>
  <c r="BC213" i="2"/>
  <c r="BC251" i="2"/>
  <c r="BB248" i="2"/>
  <c r="BB250" i="2"/>
  <c r="BC249" i="2"/>
  <c r="BV51" i="9" l="1"/>
  <c r="BV127" i="9" s="1"/>
  <c r="BE18" i="11"/>
  <c r="BT50" i="9"/>
  <c r="BT126" i="9" s="1"/>
  <c r="BH45" i="13"/>
  <c r="BH47" i="13" s="1"/>
  <c r="BH49" i="13" s="1"/>
  <c r="BT31" i="9"/>
  <c r="BT107" i="9" s="1"/>
  <c r="BH297" i="2"/>
  <c r="BD249" i="2"/>
  <c r="BJ24" i="10"/>
  <c r="BK46" i="13"/>
  <c r="BD246" i="2"/>
  <c r="BD213" i="2"/>
  <c r="BD244" i="2"/>
  <c r="BC248" i="2"/>
  <c r="BD248" i="2"/>
  <c r="BD243" i="2"/>
  <c r="BC243" i="2"/>
  <c r="BC250" i="2"/>
  <c r="BD250" i="2"/>
  <c r="BW51" i="9" l="1"/>
  <c r="BW127" i="9" s="1"/>
  <c r="BU50" i="9"/>
  <c r="BU126" i="9" s="1"/>
  <c r="BI45" i="13"/>
  <c r="BI47" i="13" s="1"/>
  <c r="BI49" i="13" s="1"/>
  <c r="BU31" i="9"/>
  <c r="BU107" i="9" s="1"/>
  <c r="BI297" i="2"/>
  <c r="BL46" i="13"/>
  <c r="BX51" i="9" l="1"/>
  <c r="BX127" i="9" s="1"/>
  <c r="BV50" i="9"/>
  <c r="BV126" i="9" s="1"/>
  <c r="BJ45" i="13"/>
  <c r="BJ47" i="13" s="1"/>
  <c r="BJ49" i="13" s="1"/>
  <c r="BV31" i="9"/>
  <c r="BV107" i="9" s="1"/>
  <c r="BJ297" i="2"/>
  <c r="BL24" i="10"/>
  <c r="BM46" i="13"/>
  <c r="BY51" i="9" l="1"/>
  <c r="BY127" i="9" s="1"/>
  <c r="BW50" i="9"/>
  <c r="BW126" i="9" s="1"/>
  <c r="BK45" i="13"/>
  <c r="BK47" i="13" s="1"/>
  <c r="BK49" i="13" s="1"/>
  <c r="BW31" i="9"/>
  <c r="BW107" i="9" s="1"/>
  <c r="BK297" i="2"/>
  <c r="BN46" i="13"/>
  <c r="BZ51" i="9" l="1"/>
  <c r="BZ127" i="9" s="1"/>
  <c r="BX50" i="9"/>
  <c r="BX126" i="9" s="1"/>
  <c r="BL45" i="13"/>
  <c r="BL47" i="13" s="1"/>
  <c r="BL49" i="13" s="1"/>
  <c r="BX31" i="9"/>
  <c r="BX107" i="9" s="1"/>
  <c r="BN24" i="10"/>
  <c r="BO46" i="13"/>
  <c r="CA51" i="9" l="1"/>
  <c r="CA127" i="9" s="1"/>
  <c r="BY50" i="9"/>
  <c r="BY126" i="9" s="1"/>
  <c r="BM45" i="13"/>
  <c r="BM47" i="13" s="1"/>
  <c r="BM49" i="13" s="1"/>
  <c r="BY31" i="9"/>
  <c r="BY107" i="9" s="1"/>
  <c r="BM297" i="2"/>
  <c r="CB51" i="9" l="1"/>
  <c r="CB127" i="9" s="1"/>
  <c r="BZ50" i="9"/>
  <c r="BZ126" i="9" s="1"/>
  <c r="BN45" i="13"/>
  <c r="BN47" i="13" s="1"/>
  <c r="BN49" i="13" s="1"/>
  <c r="BZ31" i="9"/>
  <c r="BZ107" i="9" s="1"/>
  <c r="BN297" i="2"/>
  <c r="BP24" i="10"/>
  <c r="CC51" i="9" l="1"/>
  <c r="CC127" i="9" s="1"/>
  <c r="BE50" i="10"/>
  <c r="CA50" i="9"/>
  <c r="CA126" i="9" s="1"/>
  <c r="BO45" i="13"/>
  <c r="BO47" i="13" s="1"/>
  <c r="BO49" i="13" s="1"/>
  <c r="CA31" i="9"/>
  <c r="CA107" i="9" s="1"/>
  <c r="BO297" i="2"/>
  <c r="BQ51" i="9" l="1"/>
  <c r="CB50" i="9"/>
  <c r="CB126" i="9" s="1"/>
  <c r="BE18" i="10"/>
  <c r="CB31" i="9"/>
  <c r="CB107" i="9" s="1"/>
  <c r="BP297" i="2"/>
  <c r="BE32" i="11"/>
  <c r="BQ127" i="9" l="1"/>
  <c r="CC50" i="9"/>
  <c r="CC126" i="9" s="1"/>
  <c r="BE48" i="10"/>
  <c r="CC31" i="9"/>
  <c r="CC107" i="9" s="1"/>
  <c r="BQ50" i="9" l="1"/>
  <c r="BQ31" i="9"/>
  <c r="DK31" i="9" l="1"/>
  <c r="DK50" i="9"/>
  <c r="DH31" i="9"/>
  <c r="BQ107" i="9"/>
  <c r="BQ126" i="9"/>
  <c r="DH126" i="9" l="1"/>
  <c r="DH107" i="9"/>
  <c r="AR15" i="3"/>
  <c r="AR14" i="3"/>
  <c r="AR13" i="3"/>
  <c r="AR12" i="3"/>
  <c r="AR11" i="3"/>
  <c r="AR17" i="3"/>
  <c r="AR18" i="3"/>
  <c r="AR19" i="3"/>
  <c r="AR20" i="3"/>
  <c r="AZ54" i="3"/>
  <c r="AZ53" i="3"/>
  <c r="BE63" i="3" l="1"/>
  <c r="BE62" i="3"/>
  <c r="BE61" i="3"/>
  <c r="BE60" i="3"/>
  <c r="BE51" i="3"/>
  <c r="BE50" i="3"/>
  <c r="BE49" i="3"/>
  <c r="BE48" i="3"/>
  <c r="BE47" i="3"/>
  <c r="BE46" i="3"/>
  <c r="BE44" i="3"/>
  <c r="BE43" i="3"/>
  <c r="BE41" i="3"/>
  <c r="BE40" i="3"/>
  <c r="BE39" i="3"/>
  <c r="BE38" i="3"/>
  <c r="BE37" i="3"/>
  <c r="BE36" i="3"/>
  <c r="BE34" i="3"/>
  <c r="BE33" i="3"/>
  <c r="BI31" i="3"/>
  <c r="AZ25" i="4"/>
  <c r="AY25" i="4"/>
  <c r="AX25" i="4"/>
  <c r="AW25" i="4"/>
  <c r="AV25" i="4"/>
  <c r="AU25" i="4"/>
  <c r="AT25" i="4"/>
  <c r="AZ14" i="4"/>
  <c r="AZ8" i="4" s="1"/>
  <c r="AZ7" i="4" s="1"/>
  <c r="AY14" i="4"/>
  <c r="AY8" i="4" s="1"/>
  <c r="AY7" i="4" s="1"/>
  <c r="AX14" i="4"/>
  <c r="AX8" i="4" s="1"/>
  <c r="AX7" i="4" s="1"/>
  <c r="AW14" i="4"/>
  <c r="AW8" i="4" s="1"/>
  <c r="AW7" i="4" s="1"/>
  <c r="AV14" i="4"/>
  <c r="AV8" i="4" s="1"/>
  <c r="AV7" i="4" s="1"/>
  <c r="AU14" i="4"/>
  <c r="AU8" i="4" s="1"/>
  <c r="AU7" i="4" s="1"/>
  <c r="AT14" i="4"/>
  <c r="AT8" i="4" s="1"/>
  <c r="AT7" i="4" s="1"/>
  <c r="BF34" i="4"/>
  <c r="BF32" i="4"/>
  <c r="BF27" i="4"/>
  <c r="AZ33" i="5"/>
  <c r="BA33" i="5"/>
  <c r="AZ23" i="5"/>
  <c r="BA24" i="5"/>
  <c r="AY33" i="5"/>
  <c r="AX33" i="5"/>
  <c r="AW33" i="5"/>
  <c r="AV33" i="5"/>
  <c r="AU33" i="5"/>
  <c r="AT33" i="5"/>
  <c r="AS33" i="5"/>
  <c r="AY24" i="5"/>
  <c r="AX24" i="5"/>
  <c r="AW24" i="5"/>
  <c r="AV24" i="5"/>
  <c r="AU24" i="5"/>
  <c r="AT24" i="5"/>
  <c r="AS24" i="5"/>
  <c r="AY23" i="5"/>
  <c r="AX23" i="5"/>
  <c r="AW23" i="5"/>
  <c r="AV23" i="5"/>
  <c r="AU23" i="5"/>
  <c r="AT23" i="5"/>
  <c r="AS23" i="5"/>
  <c r="AZ24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BE30" i="5"/>
  <c r="BB217" i="2"/>
  <c r="BB216" i="2"/>
  <c r="BB215" i="2"/>
  <c r="AT5" i="4" l="1"/>
  <c r="AS37" i="10" s="1"/>
  <c r="AU5" i="4"/>
  <c r="AT49" i="10" s="1"/>
  <c r="AV5" i="4"/>
  <c r="AW5" i="4"/>
  <c r="AX5" i="4"/>
  <c r="AW47" i="10" s="1"/>
  <c r="AY5" i="4"/>
  <c r="AZ26" i="4"/>
  <c r="BG5" i="5"/>
  <c r="BH5" i="5" s="1"/>
  <c r="BI5" i="5" s="1"/>
  <c r="AR5" i="5"/>
  <c r="CB25" i="9"/>
  <c r="CB101" i="9" s="1"/>
  <c r="CC25" i="9"/>
  <c r="CC101" i="9" s="1"/>
  <c r="BF11" i="4"/>
  <c r="BZ25" i="9"/>
  <c r="BZ101" i="9" s="1"/>
  <c r="CA25" i="9"/>
  <c r="CA101" i="9" s="1"/>
  <c r="BA48" i="4"/>
  <c r="AV33" i="10"/>
  <c r="AZ5" i="4"/>
  <c r="AT33" i="10"/>
  <c r="AT45" i="10"/>
  <c r="AU49" i="10"/>
  <c r="AU47" i="10"/>
  <c r="AU42" i="10"/>
  <c r="AU37" i="10"/>
  <c r="AU31" i="10"/>
  <c r="AU45" i="10"/>
  <c r="AU27" i="10"/>
  <c r="AS45" i="10"/>
  <c r="AS42" i="10"/>
  <c r="AS27" i="10"/>
  <c r="AS47" i="10"/>
  <c r="AS33" i="10"/>
  <c r="BA23" i="5"/>
  <c r="BA54" i="3"/>
  <c r="BA53" i="3"/>
  <c r="BB211" i="2"/>
  <c r="AZ216" i="2"/>
  <c r="AZ211" i="2"/>
  <c r="AY217" i="2"/>
  <c r="AY277" i="2"/>
  <c r="AZ210" i="2"/>
  <c r="BB210" i="2"/>
  <c r="AY214" i="2"/>
  <c r="AY299" i="2"/>
  <c r="AY274" i="2"/>
  <c r="AY270" i="2"/>
  <c r="AY211" i="2"/>
  <c r="AY275" i="2"/>
  <c r="AY215" i="2"/>
  <c r="BB299" i="2"/>
  <c r="BB214" i="2"/>
  <c r="AY218" i="2"/>
  <c r="AY278" i="2"/>
  <c r="AY216" i="2"/>
  <c r="AY276" i="2"/>
  <c r="BF31" i="3"/>
  <c r="BE32" i="3"/>
  <c r="BH31" i="3"/>
  <c r="AU26" i="4"/>
  <c r="AV26" i="4"/>
  <c r="BA25" i="4"/>
  <c r="AW26" i="4"/>
  <c r="AX26" i="4"/>
  <c r="AY26" i="4"/>
  <c r="AT26" i="4"/>
  <c r="BG31" i="3"/>
  <c r="BF13" i="4"/>
  <c r="BB33" i="5"/>
  <c r="BE12" i="5"/>
  <c r="BE14" i="5"/>
  <c r="AW49" i="10" l="1"/>
  <c r="AT31" i="10"/>
  <c r="AT37" i="10"/>
  <c r="AT42" i="10"/>
  <c r="AS49" i="10"/>
  <c r="AS31" i="10"/>
  <c r="AT47" i="10"/>
  <c r="AX37" i="10"/>
  <c r="AW37" i="10"/>
  <c r="AV37" i="10"/>
  <c r="AV27" i="10"/>
  <c r="AT27" i="10"/>
  <c r="AU33" i="10"/>
  <c r="AX49" i="10"/>
  <c r="AX27" i="10"/>
  <c r="AX33" i="10"/>
  <c r="AX45" i="10"/>
  <c r="AV42" i="10"/>
  <c r="AX42" i="10"/>
  <c r="AX47" i="10"/>
  <c r="AW42" i="10"/>
  <c r="AW27" i="10"/>
  <c r="AW33" i="10"/>
  <c r="AW45" i="10"/>
  <c r="AV45" i="10"/>
  <c r="AX31" i="10"/>
  <c r="AW31" i="10"/>
  <c r="AV31" i="10"/>
  <c r="AV47" i="10"/>
  <c r="AV49" i="10"/>
  <c r="BQ25" i="9"/>
  <c r="BB233" i="2"/>
  <c r="BB48" i="4"/>
  <c r="AY45" i="10"/>
  <c r="AY27" i="10"/>
  <c r="AY33" i="10"/>
  <c r="AY49" i="10"/>
  <c r="AY47" i="10"/>
  <c r="AY42" i="10"/>
  <c r="AY37" i="10"/>
  <c r="AY31" i="10"/>
  <c r="BB24" i="5"/>
  <c r="BB54" i="3"/>
  <c r="BB53" i="3"/>
  <c r="AZ217" i="2"/>
  <c r="AZ215" i="2"/>
  <c r="AZ214" i="2"/>
  <c r="AZ299" i="2"/>
  <c r="BA211" i="2"/>
  <c r="BA210" i="2"/>
  <c r="AZ218" i="2"/>
  <c r="BA216" i="2"/>
  <c r="BB25" i="4"/>
  <c r="BF12" i="4"/>
  <c r="BF16" i="4"/>
  <c r="BB23" i="5"/>
  <c r="BC33" i="5"/>
  <c r="BE15" i="5"/>
  <c r="BE13" i="5"/>
  <c r="DK25" i="9" l="1"/>
  <c r="DH25" i="9"/>
  <c r="BQ101" i="9"/>
  <c r="BC48" i="4"/>
  <c r="BD24" i="5"/>
  <c r="BC24" i="5"/>
  <c r="BC54" i="3"/>
  <c r="BC53" i="3"/>
  <c r="AZ254" i="2"/>
  <c r="BC210" i="2"/>
  <c r="BA299" i="2"/>
  <c r="BA214" i="2"/>
  <c r="BD216" i="2"/>
  <c r="BC216" i="2"/>
  <c r="BD211" i="2"/>
  <c r="BC211" i="2"/>
  <c r="BA217" i="2"/>
  <c r="BA215" i="2"/>
  <c r="BA218" i="2"/>
  <c r="BC25" i="4"/>
  <c r="BC23" i="5"/>
  <c r="DH101" i="9" l="1"/>
  <c r="BE48" i="4"/>
  <c r="BD48" i="4"/>
  <c r="BD23" i="5"/>
  <c r="BD33" i="5"/>
  <c r="BD54" i="3"/>
  <c r="AR9" i="3"/>
  <c r="BD53" i="3"/>
  <c r="AR8" i="3"/>
  <c r="BA254" i="2"/>
  <c r="BD210" i="2"/>
  <c r="BD217" i="2"/>
  <c r="BC217" i="2"/>
  <c r="BB218" i="2"/>
  <c r="BD215" i="2"/>
  <c r="BC215" i="2"/>
  <c r="BC299" i="2"/>
  <c r="BC214" i="2"/>
  <c r="BD218" i="2"/>
  <c r="BC218" i="2"/>
  <c r="BD25" i="4"/>
  <c r="BE25" i="4"/>
  <c r="BE54" i="3" l="1"/>
  <c r="BE53" i="3"/>
  <c r="BD299" i="2"/>
  <c r="BD214" i="2"/>
  <c r="BB254" i="2"/>
  <c r="BF54" i="3" l="1"/>
  <c r="BF53" i="3"/>
  <c r="BD254" i="2"/>
  <c r="BC254" i="2"/>
  <c r="BE28" i="5" l="1"/>
  <c r="BF41" i="4"/>
  <c r="AR21" i="2" l="1"/>
  <c r="AR20" i="2"/>
  <c r="AR13" i="2"/>
  <c r="AR18" i="2"/>
  <c r="AR17" i="2"/>
  <c r="AR16" i="2"/>
  <c r="AR15" i="2"/>
  <c r="AR14" i="2"/>
  <c r="AR12" i="2"/>
  <c r="AR10" i="2"/>
  <c r="AR9" i="2"/>
  <c r="BE297" i="2"/>
  <c r="BE285" i="2"/>
  <c r="BE260" i="2"/>
  <c r="BE273" i="2" s="1"/>
  <c r="BE259" i="2"/>
  <c r="BE224" i="2"/>
  <c r="BE200" i="2"/>
  <c r="BE190" i="2"/>
  <c r="BE180" i="2"/>
  <c r="BE179" i="2"/>
  <c r="BE178" i="2"/>
  <c r="BE177" i="2"/>
  <c r="BE176" i="2"/>
  <c r="BE175" i="2"/>
  <c r="BE174" i="2"/>
  <c r="BQ173" i="2"/>
  <c r="BP173" i="2"/>
  <c r="BO173" i="2"/>
  <c r="BN173" i="2"/>
  <c r="BM173" i="2"/>
  <c r="BL173" i="2"/>
  <c r="BK173" i="2"/>
  <c r="BJ173" i="2"/>
  <c r="BI173" i="2"/>
  <c r="BH173" i="2"/>
  <c r="BG173" i="2"/>
  <c r="BF173" i="2"/>
  <c r="BE172" i="2"/>
  <c r="BE171" i="2"/>
  <c r="BE170" i="2"/>
  <c r="BE169" i="2"/>
  <c r="BE168" i="2"/>
  <c r="BE167" i="2"/>
  <c r="BE166" i="2"/>
  <c r="BE165" i="2"/>
  <c r="BQ164" i="2"/>
  <c r="BP164" i="2"/>
  <c r="BO164" i="2"/>
  <c r="BN164" i="2"/>
  <c r="BM164" i="2"/>
  <c r="BL164" i="2"/>
  <c r="BK164" i="2"/>
  <c r="BJ164" i="2"/>
  <c r="BI164" i="2"/>
  <c r="BH164" i="2"/>
  <c r="BG164" i="2"/>
  <c r="BF164" i="2"/>
  <c r="BE154" i="2"/>
  <c r="BE153" i="2"/>
  <c r="BE152" i="2"/>
  <c r="BE151" i="2"/>
  <c r="BE150" i="2"/>
  <c r="BE149" i="2"/>
  <c r="BQ148" i="2"/>
  <c r="BP148" i="2"/>
  <c r="BO148" i="2"/>
  <c r="BN148" i="2"/>
  <c r="BM148" i="2"/>
  <c r="BL148" i="2"/>
  <c r="BK148" i="2"/>
  <c r="BJ148" i="2"/>
  <c r="BI148" i="2"/>
  <c r="BH148" i="2"/>
  <c r="BG148" i="2"/>
  <c r="BF148" i="2"/>
  <c r="BE124" i="2"/>
  <c r="BE123" i="2"/>
  <c r="BE122" i="2"/>
  <c r="BE120" i="2"/>
  <c r="BE118" i="2"/>
  <c r="BE117" i="2"/>
  <c r="BK114" i="2"/>
  <c r="BJ114" i="2"/>
  <c r="BI114" i="2"/>
  <c r="BH114" i="2"/>
  <c r="BG114" i="2"/>
  <c r="BF114" i="2"/>
  <c r="BK113" i="2"/>
  <c r="BJ113" i="2"/>
  <c r="BI113" i="2"/>
  <c r="BH113" i="2"/>
  <c r="BG113" i="2"/>
  <c r="BF113" i="2"/>
  <c r="BE112" i="2"/>
  <c r="BE110" i="2"/>
  <c r="BK108" i="2"/>
  <c r="BJ108" i="2"/>
  <c r="BI108" i="2"/>
  <c r="BH108" i="2"/>
  <c r="BG108" i="2"/>
  <c r="BF108" i="2"/>
  <c r="BK107" i="2"/>
  <c r="BJ107" i="2"/>
  <c r="BI107" i="2"/>
  <c r="BH107" i="2"/>
  <c r="BG107" i="2"/>
  <c r="BF107" i="2"/>
  <c r="BE93" i="2"/>
  <c r="BE92" i="2"/>
  <c r="BE91" i="2"/>
  <c r="BE90" i="2"/>
  <c r="BE89" i="2"/>
  <c r="BE87" i="2"/>
  <c r="BE86" i="2"/>
  <c r="BE85" i="2"/>
  <c r="BE83" i="2"/>
  <c r="BE82" i="2"/>
  <c r="BE81" i="2"/>
  <c r="BE80" i="2"/>
  <c r="BE79" i="2"/>
  <c r="BE77" i="2"/>
  <c r="BE76" i="2"/>
  <c r="BE75" i="2"/>
  <c r="BE74" i="2"/>
  <c r="BE73" i="2"/>
  <c r="BE72" i="2"/>
  <c r="BE71" i="2"/>
  <c r="BE70" i="2"/>
  <c r="BE69" i="2"/>
  <c r="BE67" i="2"/>
  <c r="BE66" i="2"/>
  <c r="BE65" i="2"/>
  <c r="BE64" i="2"/>
  <c r="BE63" i="2"/>
  <c r="BE62" i="2"/>
  <c r="BE60" i="2"/>
  <c r="BE59" i="2"/>
  <c r="BE58" i="2"/>
  <c r="BE57" i="2"/>
  <c r="BE56" i="2"/>
  <c r="BE54" i="2"/>
  <c r="BE53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49" i="2"/>
  <c r="BP40" i="2"/>
  <c r="BN40" i="2"/>
  <c r="BL40" i="2"/>
  <c r="BJ40" i="2"/>
  <c r="BH40" i="2"/>
  <c r="BF40" i="2"/>
  <c r="BE36" i="2"/>
  <c r="BE35" i="2"/>
  <c r="BE34" i="2"/>
  <c r="BE33" i="2"/>
  <c r="BE32" i="2"/>
  <c r="BE31" i="2"/>
  <c r="BE30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114" i="2" l="1"/>
  <c r="BE108" i="2"/>
  <c r="BE113" i="2"/>
  <c r="BE107" i="2"/>
  <c r="BE148" i="2"/>
  <c r="BE29" i="2"/>
  <c r="BE173" i="2"/>
  <c r="BE52" i="2"/>
  <c r="BE19" i="2"/>
  <c r="BE213" i="2"/>
  <c r="BE236" i="2"/>
  <c r="BE164" i="2"/>
  <c r="AQ45" i="13"/>
  <c r="BO19" i="2" l="1"/>
  <c r="BG19" i="2"/>
  <c r="BH19" i="2"/>
  <c r="BN19" i="2"/>
  <c r="BF19" i="2"/>
  <c r="BJ19" i="2"/>
  <c r="BI19" i="2"/>
  <c r="BP19" i="2"/>
  <c r="BM19" i="2"/>
  <c r="BK19" i="2"/>
  <c r="BL19" i="2"/>
  <c r="BQ19" i="2"/>
  <c r="BE298" i="2"/>
  <c r="AQ5" i="9" l="1"/>
  <c r="AD5" i="9"/>
  <c r="AQ63" i="9" l="1"/>
  <c r="AF32" i="4"/>
  <c r="AS32" i="4"/>
  <c r="S32" i="4" l="1"/>
  <c r="Q81" i="9" l="1"/>
  <c r="Q82" i="9" s="1"/>
  <c r="AQ89" i="9" l="1"/>
  <c r="AQ90" i="9"/>
  <c r="AQ91" i="9"/>
  <c r="AQ92" i="9"/>
  <c r="AQ93" i="9"/>
  <c r="AQ94" i="9"/>
  <c r="AQ98" i="9"/>
  <c r="AQ99" i="9"/>
  <c r="AQ100" i="9"/>
  <c r="AQ101" i="9"/>
  <c r="AQ102" i="9"/>
  <c r="AQ103" i="9"/>
  <c r="AQ105" i="9"/>
  <c r="AQ106" i="9"/>
  <c r="AQ107" i="9"/>
  <c r="AQ109" i="9"/>
  <c r="AQ110" i="9"/>
  <c r="AQ111" i="9"/>
  <c r="AQ112" i="9"/>
  <c r="AQ113" i="9"/>
  <c r="AQ115" i="9"/>
  <c r="AQ116" i="9"/>
  <c r="AQ117" i="9"/>
  <c r="AQ118" i="9"/>
  <c r="AQ119" i="9"/>
  <c r="AQ120" i="9"/>
  <c r="AQ121" i="9"/>
  <c r="AQ122" i="9"/>
  <c r="AQ123" i="9"/>
  <c r="AQ124" i="9"/>
  <c r="AQ125" i="9"/>
  <c r="AQ126" i="9"/>
  <c r="AQ127" i="9"/>
  <c r="AQ162" i="9"/>
  <c r="AQ156" i="9"/>
  <c r="AQ114" i="9" l="1"/>
  <c r="AQ108" i="9"/>
  <c r="AQ152" i="9"/>
  <c r="AQ145" i="9"/>
  <c r="AQ136" i="9"/>
  <c r="AQ104" i="9" l="1"/>
  <c r="AQ88" i="9"/>
  <c r="AQ144" i="9"/>
  <c r="AQ97" i="9"/>
  <c r="AQ143" i="9"/>
  <c r="BP53" i="9"/>
  <c r="AQ96" i="9" l="1"/>
  <c r="BP65" i="9"/>
  <c r="AQ176" i="9"/>
  <c r="AQ95" i="9"/>
  <c r="AQ128" i="9" l="1"/>
  <c r="AQ76" i="9"/>
  <c r="AQ74" i="9"/>
  <c r="AQ73" i="9"/>
  <c r="AQ72" i="9"/>
  <c r="AQ71" i="9"/>
  <c r="AQ70" i="9"/>
  <c r="AQ69" i="9"/>
  <c r="AQ68" i="9"/>
  <c r="AQ67" i="9"/>
  <c r="AQ66" i="9"/>
  <c r="AQ64" i="9"/>
  <c r="AQ62" i="9"/>
  <c r="AQ61" i="9"/>
  <c r="AQ60" i="9"/>
  <c r="AQ59" i="9"/>
  <c r="AQ58" i="9"/>
  <c r="AQ57" i="9"/>
  <c r="AQ56" i="9"/>
  <c r="AQ55" i="9"/>
  <c r="AQ54" i="9"/>
  <c r="AQ53" i="9" l="1"/>
  <c r="AQ65" i="9"/>
  <c r="AQ79" i="9"/>
  <c r="AQ80" i="9" s="1"/>
  <c r="Q5" i="21" l="1"/>
  <c r="Q6" i="21"/>
  <c r="Q7" i="21"/>
  <c r="Q8" i="21"/>
  <c r="Q9" i="21"/>
  <c r="Q10" i="21"/>
  <c r="Q11" i="21"/>
  <c r="Q12" i="21"/>
  <c r="Q4" i="21"/>
  <c r="J43" i="21" l="1"/>
  <c r="M43" i="21"/>
  <c r="L43" i="21"/>
  <c r="E43" i="21"/>
  <c r="K43" i="21"/>
  <c r="F43" i="21"/>
  <c r="G43" i="21"/>
  <c r="H43" i="21"/>
  <c r="P43" i="21"/>
  <c r="O43" i="21"/>
  <c r="I43" i="21"/>
  <c r="N43" i="21"/>
  <c r="J41" i="21"/>
  <c r="E41" i="21"/>
  <c r="O41" i="21"/>
  <c r="P41" i="21"/>
  <c r="M41" i="21"/>
  <c r="G41" i="21"/>
  <c r="H41" i="21"/>
  <c r="L41" i="21"/>
  <c r="K41" i="21"/>
  <c r="I41" i="21"/>
  <c r="F41" i="21"/>
  <c r="N41" i="21"/>
  <c r="L36" i="21"/>
  <c r="M36" i="21"/>
  <c r="P36" i="21"/>
  <c r="K36" i="21"/>
  <c r="J36" i="21"/>
  <c r="I36" i="21"/>
  <c r="F36" i="21"/>
  <c r="H36" i="21"/>
  <c r="O36" i="21"/>
  <c r="N36" i="21"/>
  <c r="G36" i="21"/>
  <c r="E36" i="21"/>
  <c r="G40" i="21"/>
  <c r="N40" i="21"/>
  <c r="I40" i="21"/>
  <c r="M40" i="21"/>
  <c r="K40" i="21"/>
  <c r="H40" i="21"/>
  <c r="F40" i="21"/>
  <c r="J40" i="21"/>
  <c r="P40" i="21"/>
  <c r="E40" i="21"/>
  <c r="L40" i="21"/>
  <c r="O40" i="21"/>
  <c r="J39" i="21"/>
  <c r="P39" i="21"/>
  <c r="F39" i="21"/>
  <c r="L39" i="21"/>
  <c r="H39" i="21"/>
  <c r="G39" i="21"/>
  <c r="N39" i="21"/>
  <c r="E39" i="21"/>
  <c r="I39" i="21"/>
  <c r="M39" i="21"/>
  <c r="K39" i="21"/>
  <c r="O39" i="21"/>
  <c r="H38" i="21"/>
  <c r="P38" i="21"/>
  <c r="O38" i="21"/>
  <c r="N38" i="21"/>
  <c r="G38" i="21"/>
  <c r="L38" i="21"/>
  <c r="K38" i="21"/>
  <c r="E38" i="21"/>
  <c r="F38" i="21"/>
  <c r="M38" i="21"/>
  <c r="I38" i="21"/>
  <c r="J38" i="21"/>
  <c r="N44" i="21"/>
  <c r="G44" i="21"/>
  <c r="H44" i="21"/>
  <c r="I44" i="21"/>
  <c r="L44" i="21"/>
  <c r="J44" i="21"/>
  <c r="M44" i="21"/>
  <c r="F44" i="21"/>
  <c r="O44" i="21"/>
  <c r="E44" i="21"/>
  <c r="P44" i="21"/>
  <c r="K44" i="21"/>
  <c r="M42" i="21"/>
  <c r="E42" i="21"/>
  <c r="I42" i="21"/>
  <c r="J42" i="21"/>
  <c r="L42" i="21"/>
  <c r="P42" i="21"/>
  <c r="G42" i="21"/>
  <c r="K42" i="21"/>
  <c r="O42" i="21"/>
  <c r="N42" i="21"/>
  <c r="F42" i="21"/>
  <c r="H42" i="21"/>
  <c r="M37" i="21"/>
  <c r="L37" i="21"/>
  <c r="H37" i="21"/>
  <c r="O37" i="21"/>
  <c r="G37" i="21"/>
  <c r="J37" i="21"/>
  <c r="N37" i="21"/>
  <c r="I37" i="21"/>
  <c r="P37" i="21"/>
  <c r="E37" i="21"/>
  <c r="F37" i="21"/>
  <c r="K37" i="21"/>
  <c r="N21" i="21"/>
  <c r="J21" i="21"/>
  <c r="P21" i="21"/>
  <c r="K21" i="21"/>
  <c r="O21" i="21"/>
  <c r="L21" i="21"/>
  <c r="M21" i="21"/>
  <c r="H21" i="21"/>
  <c r="F21" i="21"/>
  <c r="G21" i="21"/>
  <c r="I21" i="21"/>
  <c r="M20" i="21"/>
  <c r="J20" i="21"/>
  <c r="F20" i="21"/>
  <c r="G20" i="21"/>
  <c r="I20" i="21"/>
  <c r="L20" i="21"/>
  <c r="K20" i="21"/>
  <c r="O20" i="21"/>
  <c r="N20" i="21"/>
  <c r="P20" i="21"/>
  <c r="H20" i="21"/>
  <c r="N22" i="21"/>
  <c r="P22" i="21"/>
  <c r="O22" i="21"/>
  <c r="M22" i="21"/>
  <c r="L22" i="21"/>
  <c r="K22" i="21"/>
  <c r="J22" i="21"/>
  <c r="I22" i="21"/>
  <c r="H22" i="21"/>
  <c r="F22" i="21"/>
  <c r="G22" i="21"/>
  <c r="P19" i="21"/>
  <c r="O19" i="21"/>
  <c r="N19" i="21"/>
  <c r="M19" i="21"/>
  <c r="L19" i="21"/>
  <c r="K19" i="21"/>
  <c r="F19" i="21"/>
  <c r="J19" i="21"/>
  <c r="I19" i="21"/>
  <c r="H19" i="21"/>
  <c r="G19" i="21"/>
  <c r="N18" i="21"/>
  <c r="M18" i="21"/>
  <c r="L18" i="21"/>
  <c r="K18" i="21"/>
  <c r="J18" i="21"/>
  <c r="I18" i="21"/>
  <c r="H18" i="21"/>
  <c r="F18" i="21"/>
  <c r="O18" i="21"/>
  <c r="P18" i="21"/>
  <c r="G18" i="21"/>
  <c r="I17" i="21"/>
  <c r="H17" i="21"/>
  <c r="P17" i="21"/>
  <c r="O17" i="21"/>
  <c r="N17" i="21"/>
  <c r="M17" i="21"/>
  <c r="L17" i="21"/>
  <c r="K17" i="21"/>
  <c r="J17" i="21"/>
  <c r="F17" i="21"/>
  <c r="G17" i="21"/>
  <c r="J14" i="21"/>
  <c r="I14" i="21"/>
  <c r="H14" i="21"/>
  <c r="P14" i="21"/>
  <c r="O14" i="21"/>
  <c r="N14" i="21"/>
  <c r="M14" i="21"/>
  <c r="L14" i="21"/>
  <c r="K14" i="21"/>
  <c r="F14" i="21"/>
  <c r="G14" i="21"/>
  <c r="P16" i="21"/>
  <c r="O16" i="21"/>
  <c r="N16" i="21"/>
  <c r="M16" i="21"/>
  <c r="L16" i="21"/>
  <c r="K16" i="21"/>
  <c r="J16" i="21"/>
  <c r="I16" i="21"/>
  <c r="H16" i="21"/>
  <c r="G16" i="21"/>
  <c r="E16" i="21"/>
  <c r="F16" i="21"/>
  <c r="O15" i="21"/>
  <c r="N15" i="21"/>
  <c r="M15" i="21"/>
  <c r="L15" i="21"/>
  <c r="K15" i="21"/>
  <c r="J15" i="21"/>
  <c r="I15" i="21"/>
  <c r="H15" i="21"/>
  <c r="P15" i="21"/>
  <c r="F15" i="21"/>
  <c r="G15" i="21"/>
  <c r="E18" i="21"/>
  <c r="E22" i="21"/>
  <c r="E14" i="21"/>
  <c r="E15" i="21"/>
  <c r="E20" i="21"/>
  <c r="E17" i="21"/>
  <c r="E21" i="21"/>
  <c r="E19" i="21"/>
  <c r="BP24" i="9" l="1"/>
  <c r="BP100" i="9" s="1"/>
  <c r="BO24" i="9"/>
  <c r="BO100" i="9" s="1"/>
  <c r="BN24" i="9"/>
  <c r="BN100" i="9" s="1"/>
  <c r="BM24" i="9"/>
  <c r="BM100" i="9" s="1"/>
  <c r="BL24" i="9"/>
  <c r="BL100" i="9" s="1"/>
  <c r="BK24" i="9"/>
  <c r="BK100" i="9" s="1"/>
  <c r="BJ24" i="9"/>
  <c r="BJ100" i="9" s="1"/>
  <c r="BI24" i="9"/>
  <c r="BI100" i="9" s="1"/>
  <c r="BH24" i="9"/>
  <c r="BH100" i="9" s="1"/>
  <c r="BG24" i="9"/>
  <c r="BG100" i="9" s="1"/>
  <c r="BF24" i="9"/>
  <c r="BF100" i="9" s="1"/>
  <c r="BE24" i="9"/>
  <c r="BE100" i="9" s="1"/>
  <c r="BD24" i="9" l="1"/>
  <c r="DG24" i="9" l="1"/>
  <c r="DJ24" i="9"/>
  <c r="BD100" i="9"/>
  <c r="DG100" i="9" s="1"/>
  <c r="AR35" i="4"/>
  <c r="BR26" i="9" l="1"/>
  <c r="BR102" i="9" s="1"/>
  <c r="BS26" i="9" l="1"/>
  <c r="BS102" i="9" s="1"/>
  <c r="BT26" i="9" l="1"/>
  <c r="BT102" i="9" s="1"/>
  <c r="BE188" i="2"/>
  <c r="BE182" i="2"/>
  <c r="BE183" i="2"/>
  <c r="BE187" i="2"/>
  <c r="BE185" i="2"/>
  <c r="BE189" i="2"/>
  <c r="BE186" i="2"/>
  <c r="AS236" i="2"/>
  <c r="AT236" i="2"/>
  <c r="AU236" i="2"/>
  <c r="AV236" i="2"/>
  <c r="AW236" i="2"/>
  <c r="AX236" i="2"/>
  <c r="AY236" i="2"/>
  <c r="AZ236" i="2"/>
  <c r="BA236" i="2"/>
  <c r="BB236" i="2"/>
  <c r="BC236" i="2"/>
  <c r="BD236" i="2"/>
  <c r="AQ17" i="11"/>
  <c r="BU26" i="9" l="1"/>
  <c r="BU102" i="9" s="1"/>
  <c r="BV26" i="9" l="1"/>
  <c r="BV102" i="9" s="1"/>
  <c r="BW26" i="9" l="1"/>
  <c r="BW102" i="9" s="1"/>
  <c r="BX26" i="9" l="1"/>
  <c r="BX102" i="9" s="1"/>
  <c r="BY26" i="9" l="1"/>
  <c r="BY102" i="9" s="1"/>
  <c r="BP160" i="9"/>
  <c r="BP159" i="9" s="1"/>
  <c r="BO160" i="9"/>
  <c r="BO159" i="9" s="1"/>
  <c r="BN160" i="9"/>
  <c r="BN159" i="9" s="1"/>
  <c r="BM160" i="9"/>
  <c r="BM159" i="9" s="1"/>
  <c r="BL160" i="9"/>
  <c r="BL159" i="9" s="1"/>
  <c r="BK160" i="9"/>
  <c r="BK159" i="9" s="1"/>
  <c r="BJ160" i="9"/>
  <c r="BJ159" i="9" s="1"/>
  <c r="BI160" i="9"/>
  <c r="BI159" i="9" s="1"/>
  <c r="BH160" i="9"/>
  <c r="BH159" i="9" s="1"/>
  <c r="BG160" i="9"/>
  <c r="BG159" i="9" s="1"/>
  <c r="BF160" i="9"/>
  <c r="BF159" i="9" s="1"/>
  <c r="BP155" i="9"/>
  <c r="BP152" i="9" s="1"/>
  <c r="BO155" i="9"/>
  <c r="BO152" i="9" s="1"/>
  <c r="BN155" i="9"/>
  <c r="BN152" i="9" s="1"/>
  <c r="BM155" i="9"/>
  <c r="BM152" i="9" s="1"/>
  <c r="BL155" i="9"/>
  <c r="BL152" i="9" s="1"/>
  <c r="BK155" i="9"/>
  <c r="BK152" i="9" s="1"/>
  <c r="BJ155" i="9"/>
  <c r="BJ152" i="9" s="1"/>
  <c r="BI155" i="9"/>
  <c r="BI152" i="9" s="1"/>
  <c r="BH155" i="9"/>
  <c r="BH152" i="9" s="1"/>
  <c r="BG155" i="9"/>
  <c r="BG152" i="9" s="1"/>
  <c r="BF155" i="9"/>
  <c r="BF152" i="9" s="1"/>
  <c r="BP157" i="9"/>
  <c r="BP156" i="9" s="1"/>
  <c r="BO157" i="9"/>
  <c r="BO156" i="9" s="1"/>
  <c r="BN157" i="9"/>
  <c r="BN156" i="9" s="1"/>
  <c r="BM157" i="9"/>
  <c r="BM156" i="9" s="1"/>
  <c r="BL157" i="9"/>
  <c r="BL156" i="9" s="1"/>
  <c r="BK157" i="9"/>
  <c r="BK156" i="9" s="1"/>
  <c r="BJ157" i="9"/>
  <c r="BJ156" i="9" s="1"/>
  <c r="BI157" i="9"/>
  <c r="BI156" i="9" s="1"/>
  <c r="BH157" i="9"/>
  <c r="BH156" i="9" s="1"/>
  <c r="BG157" i="9"/>
  <c r="BG156" i="9" s="1"/>
  <c r="BF157" i="9"/>
  <c r="BF156" i="9" s="1"/>
  <c r="BP147" i="9"/>
  <c r="BP145" i="9" s="1"/>
  <c r="BO147" i="9"/>
  <c r="BO145" i="9" s="1"/>
  <c r="BN147" i="9"/>
  <c r="BN145" i="9" s="1"/>
  <c r="BM147" i="9"/>
  <c r="BM145" i="9" s="1"/>
  <c r="BL147" i="9"/>
  <c r="BL145" i="9" s="1"/>
  <c r="BK147" i="9"/>
  <c r="BK145" i="9" s="1"/>
  <c r="BJ147" i="9"/>
  <c r="BJ145" i="9" s="1"/>
  <c r="BI147" i="9"/>
  <c r="BI145" i="9" s="1"/>
  <c r="BH147" i="9"/>
  <c r="BH145" i="9" s="1"/>
  <c r="BG147" i="9"/>
  <c r="BG145" i="9" s="1"/>
  <c r="BF147" i="9"/>
  <c r="BF145" i="9" s="1"/>
  <c r="BE147" i="9"/>
  <c r="BM141" i="9"/>
  <c r="BM138" i="9" s="1"/>
  <c r="BE141" i="9"/>
  <c r="BE138" i="9" s="1"/>
  <c r="BF141" i="9" l="1"/>
  <c r="BF138" i="9" s="1"/>
  <c r="BN141" i="9"/>
  <c r="BN138" i="9" s="1"/>
  <c r="BL141" i="9"/>
  <c r="BL138" i="9" s="1"/>
  <c r="BK141" i="9"/>
  <c r="BK138" i="9" s="1"/>
  <c r="BZ26" i="9"/>
  <c r="BZ102" i="9" s="1"/>
  <c r="BE157" i="9"/>
  <c r="BD157" i="9" s="1"/>
  <c r="BP141" i="9"/>
  <c r="BP138" i="9" s="1"/>
  <c r="BI141" i="9"/>
  <c r="BI138" i="9" s="1"/>
  <c r="BH141" i="9"/>
  <c r="BH138" i="9" s="1"/>
  <c r="BG142" i="9"/>
  <c r="BO142" i="9"/>
  <c r="BH142" i="9"/>
  <c r="BP142" i="9"/>
  <c r="BI142" i="9"/>
  <c r="BF162" i="9"/>
  <c r="BN162" i="9"/>
  <c r="BL162" i="9"/>
  <c r="BE155" i="9"/>
  <c r="BD155" i="9" s="1"/>
  <c r="BD163" i="9"/>
  <c r="BE160" i="9"/>
  <c r="BD160" i="9" s="1"/>
  <c r="BK137" i="9"/>
  <c r="BG141" i="9"/>
  <c r="BG138" i="9" s="1"/>
  <c r="BO141" i="9"/>
  <c r="BO138" i="9" s="1"/>
  <c r="BM137" i="9"/>
  <c r="BM136" i="9" s="1"/>
  <c r="BF137" i="9"/>
  <c r="BN137" i="9"/>
  <c r="BJ141" i="9"/>
  <c r="BJ138" i="9" s="1"/>
  <c r="BE137" i="9"/>
  <c r="BE136" i="9" s="1"/>
  <c r="BG137" i="9"/>
  <c r="BO137" i="9"/>
  <c r="BJ137" i="9"/>
  <c r="BH137" i="9"/>
  <c r="BP137" i="9"/>
  <c r="BI137" i="9"/>
  <c r="BJ142" i="9"/>
  <c r="BK142" i="9"/>
  <c r="BE142" i="9"/>
  <c r="BN142" i="9"/>
  <c r="BF142" i="9"/>
  <c r="BM142" i="9"/>
  <c r="BL137" i="9"/>
  <c r="BL142" i="9"/>
  <c r="BI162" i="9"/>
  <c r="BK162" i="9"/>
  <c r="BJ162" i="9"/>
  <c r="BD147" i="9"/>
  <c r="BP162" i="9"/>
  <c r="BH162" i="9"/>
  <c r="BO162" i="9"/>
  <c r="BG162" i="9"/>
  <c r="BE145" i="9"/>
  <c r="BE152" i="9"/>
  <c r="BM162" i="9"/>
  <c r="BN136" i="9" l="1"/>
  <c r="BN143" i="9" s="1"/>
  <c r="BF136" i="9"/>
  <c r="BF143" i="9" s="1"/>
  <c r="BP136" i="9"/>
  <c r="BP143" i="9" s="1"/>
  <c r="BD156" i="9"/>
  <c r="BD145" i="9"/>
  <c r="BD159" i="9"/>
  <c r="BK136" i="9"/>
  <c r="BK143" i="9" s="1"/>
  <c r="BO136" i="9"/>
  <c r="BO143" i="9" s="1"/>
  <c r="BI136" i="9"/>
  <c r="BI143" i="9" s="1"/>
  <c r="BH136" i="9"/>
  <c r="BH143" i="9" s="1"/>
  <c r="BG136" i="9"/>
  <c r="BG143" i="9" s="1"/>
  <c r="BD141" i="9"/>
  <c r="BE156" i="9"/>
  <c r="CA26" i="9"/>
  <c r="CA102" i="9" s="1"/>
  <c r="BE162" i="9"/>
  <c r="BJ136" i="9"/>
  <c r="BJ143" i="9" s="1"/>
  <c r="BD137" i="9"/>
  <c r="BE159" i="9"/>
  <c r="BL136" i="9"/>
  <c r="BL143" i="9" s="1"/>
  <c r="BD142" i="9"/>
  <c r="DG142" i="9" s="1"/>
  <c r="BE143" i="9"/>
  <c r="BM143" i="9"/>
  <c r="DG137" i="9" l="1"/>
  <c r="BD131" i="9"/>
  <c r="BE144" i="9"/>
  <c r="BE176" i="9" s="1"/>
  <c r="CB26" i="9"/>
  <c r="CB102" i="9" s="1"/>
  <c r="AN34" i="5"/>
  <c r="AQ34" i="5"/>
  <c r="AQ40" i="10"/>
  <c r="AP40" i="10"/>
  <c r="AO40" i="10"/>
  <c r="AN40" i="10"/>
  <c r="AQ36" i="10"/>
  <c r="AP36" i="10"/>
  <c r="AO36" i="10"/>
  <c r="AN36" i="10"/>
  <c r="AQ20" i="10"/>
  <c r="AO20" i="10"/>
  <c r="AP20" i="10"/>
  <c r="AN20" i="10"/>
  <c r="AQ6" i="10"/>
  <c r="AP6" i="10"/>
  <c r="AO6" i="10"/>
  <c r="AN6" i="10"/>
  <c r="AQ23" i="5"/>
  <c r="AP23" i="5"/>
  <c r="AO23" i="5"/>
  <c r="AN23" i="5"/>
  <c r="AM23" i="5"/>
  <c r="AQ6" i="5"/>
  <c r="AP6" i="5"/>
  <c r="AP22" i="3" s="1"/>
  <c r="AO6" i="5"/>
  <c r="AO22" i="3" s="1"/>
  <c r="AN6" i="5"/>
  <c r="AN22" i="3" s="1"/>
  <c r="AQ5" i="5"/>
  <c r="AE5" i="5" s="1"/>
  <c r="AO25" i="4"/>
  <c r="AP25" i="4"/>
  <c r="AQ25" i="4"/>
  <c r="AQ35" i="4"/>
  <c r="AP35" i="4"/>
  <c r="AO35" i="4"/>
  <c r="AO18" i="4"/>
  <c r="AP18" i="4"/>
  <c r="AQ18" i="4"/>
  <c r="AR17" i="4"/>
  <c r="AR16" i="4"/>
  <c r="AQ15" i="4"/>
  <c r="AR15" i="4" s="1"/>
  <c r="AR48" i="4" s="1"/>
  <c r="AP15" i="4"/>
  <c r="AO15" i="4"/>
  <c r="AR14" i="4"/>
  <c r="AR13" i="4"/>
  <c r="AR26" i="4" s="1"/>
  <c r="AR12" i="4"/>
  <c r="AR25" i="4" s="1"/>
  <c r="AQ7" i="4"/>
  <c r="AP7" i="4"/>
  <c r="AO7" i="4"/>
  <c r="AR5" i="4"/>
  <c r="AO39" i="4"/>
  <c r="AP39" i="4"/>
  <c r="AQ39" i="4"/>
  <c r="AR39" i="4"/>
  <c r="AO40" i="4"/>
  <c r="AP40" i="4"/>
  <c r="AQ40" i="4"/>
  <c r="AR40" i="4"/>
  <c r="AQ59" i="3"/>
  <c r="AP59" i="3"/>
  <c r="AO59" i="3"/>
  <c r="AN59" i="3"/>
  <c r="AM59" i="3"/>
  <c r="AL59" i="3"/>
  <c r="AQ54" i="3"/>
  <c r="AP54" i="3"/>
  <c r="AO54" i="3"/>
  <c r="AN54" i="3"/>
  <c r="AM54" i="3"/>
  <c r="AL54" i="3"/>
  <c r="AQ53" i="3"/>
  <c r="AP53" i="3"/>
  <c r="AO53" i="3"/>
  <c r="AN53" i="3"/>
  <c r="AM53" i="3"/>
  <c r="AL53" i="3"/>
  <c r="AQ51" i="3"/>
  <c r="AP51" i="3"/>
  <c r="AO51" i="3"/>
  <c r="AN51" i="3"/>
  <c r="AM51" i="3"/>
  <c r="AQ32" i="3"/>
  <c r="AP32" i="3"/>
  <c r="AO32" i="3"/>
  <c r="AN32" i="3"/>
  <c r="AM32" i="3"/>
  <c r="AL32" i="3"/>
  <c r="AQ7" i="3"/>
  <c r="AQ79" i="3" s="1"/>
  <c r="AP7" i="3"/>
  <c r="AP79" i="3" s="1"/>
  <c r="AO7" i="3"/>
  <c r="AO79" i="3" s="1"/>
  <c r="AN7" i="3"/>
  <c r="AN73" i="3" s="1"/>
  <c r="AM7" i="3"/>
  <c r="AM52" i="3" s="1"/>
  <c r="AL7" i="3"/>
  <c r="AL52" i="3" s="1"/>
  <c r="AN303" i="2"/>
  <c r="AQ299" i="2"/>
  <c r="AP299" i="2"/>
  <c r="AO299" i="2"/>
  <c r="AN299" i="2"/>
  <c r="AQ297" i="2"/>
  <c r="AP297" i="2"/>
  <c r="AO297" i="2"/>
  <c r="AN297" i="2"/>
  <c r="AN293" i="2"/>
  <c r="AN292" i="2"/>
  <c r="AQ289" i="2"/>
  <c r="AP289" i="2"/>
  <c r="AO289" i="2"/>
  <c r="AN289" i="2"/>
  <c r="AQ282" i="2"/>
  <c r="AP282" i="2"/>
  <c r="AO282" i="2"/>
  <c r="AN282" i="2"/>
  <c r="AR283" i="2"/>
  <c r="AR285" i="2"/>
  <c r="AR297" i="2"/>
  <c r="AR298" i="2"/>
  <c r="AQ278" i="2"/>
  <c r="AP278" i="2"/>
  <c r="AO278" i="2"/>
  <c r="AN278" i="2"/>
  <c r="AM278" i="2"/>
  <c r="AQ277" i="2"/>
  <c r="AP277" i="2"/>
  <c r="AO277" i="2"/>
  <c r="AN277" i="2"/>
  <c r="AM277" i="2"/>
  <c r="AQ276" i="2"/>
  <c r="AP276" i="2"/>
  <c r="AO276" i="2"/>
  <c r="AN276" i="2"/>
  <c r="AM276" i="2"/>
  <c r="AQ275" i="2"/>
  <c r="AP275" i="2"/>
  <c r="AO275" i="2"/>
  <c r="AN275" i="2"/>
  <c r="AM275" i="2"/>
  <c r="AQ274" i="2"/>
  <c r="AP274" i="2"/>
  <c r="AO274" i="2"/>
  <c r="AN274" i="2"/>
  <c r="AM274" i="2"/>
  <c r="AQ270" i="2"/>
  <c r="AP270" i="2"/>
  <c r="AO270" i="2"/>
  <c r="AN270" i="2"/>
  <c r="AM270" i="2"/>
  <c r="AQ269" i="2"/>
  <c r="AP269" i="2"/>
  <c r="AO269" i="2"/>
  <c r="AN269" i="2"/>
  <c r="AM269" i="2"/>
  <c r="AQ266" i="2"/>
  <c r="AQ255" i="2" s="1"/>
  <c r="AP266" i="2"/>
  <c r="AO266" i="2"/>
  <c r="AN266" i="2"/>
  <c r="AM266" i="2"/>
  <c r="AQ251" i="2"/>
  <c r="AP251" i="2"/>
  <c r="AO251" i="2"/>
  <c r="AN251" i="2"/>
  <c r="AM251" i="2"/>
  <c r="AQ250" i="2"/>
  <c r="AP250" i="2"/>
  <c r="AO250" i="2"/>
  <c r="AN250" i="2"/>
  <c r="AM250" i="2"/>
  <c r="AQ249" i="2"/>
  <c r="AP249" i="2"/>
  <c r="AO249" i="2"/>
  <c r="AN249" i="2"/>
  <c r="AM249" i="2"/>
  <c r="AQ248" i="2"/>
  <c r="AP248" i="2"/>
  <c r="AO248" i="2"/>
  <c r="AN248" i="2"/>
  <c r="AM248" i="2"/>
  <c r="AQ247" i="2"/>
  <c r="AP247" i="2"/>
  <c r="AO247" i="2"/>
  <c r="AN247" i="2"/>
  <c r="AM247" i="2"/>
  <c r="AQ244" i="2"/>
  <c r="AP244" i="2"/>
  <c r="AO244" i="2"/>
  <c r="AN244" i="2"/>
  <c r="AM244" i="2"/>
  <c r="AQ243" i="2"/>
  <c r="AP243" i="2"/>
  <c r="AO243" i="2"/>
  <c r="AN243" i="2"/>
  <c r="AM243" i="2"/>
  <c r="AQ242" i="2"/>
  <c r="AP242" i="2"/>
  <c r="AO242" i="2"/>
  <c r="AN242" i="2"/>
  <c r="AM242" i="2"/>
  <c r="AQ241" i="2"/>
  <c r="AP241" i="2"/>
  <c r="AO241" i="2"/>
  <c r="AN241" i="2"/>
  <c r="AM241" i="2"/>
  <c r="AQ240" i="2"/>
  <c r="AP240" i="2"/>
  <c r="AO240" i="2"/>
  <c r="AN240" i="2"/>
  <c r="AM240" i="2"/>
  <c r="AQ239" i="2"/>
  <c r="AP239" i="2"/>
  <c r="AO239" i="2"/>
  <c r="AN239" i="2"/>
  <c r="AM239" i="2"/>
  <c r="AQ238" i="2"/>
  <c r="AP238" i="2"/>
  <c r="AO238" i="2"/>
  <c r="AN238" i="2"/>
  <c r="AM238" i="2"/>
  <c r="AQ237" i="2"/>
  <c r="AP237" i="2"/>
  <c r="AO237" i="2"/>
  <c r="AN237" i="2"/>
  <c r="AM237" i="2"/>
  <c r="AQ234" i="2"/>
  <c r="AP234" i="2"/>
  <c r="AO234" i="2"/>
  <c r="AN234" i="2"/>
  <c r="AM234" i="2"/>
  <c r="AQ233" i="2"/>
  <c r="AP233" i="2"/>
  <c r="AO233" i="2"/>
  <c r="AN233" i="2"/>
  <c r="AM233" i="2"/>
  <c r="AQ230" i="2"/>
  <c r="AP230" i="2"/>
  <c r="AO230" i="2"/>
  <c r="AN230" i="2"/>
  <c r="AM230" i="2"/>
  <c r="AQ218" i="2"/>
  <c r="AP218" i="2"/>
  <c r="AO218" i="2"/>
  <c r="AN218" i="2"/>
  <c r="AM218" i="2"/>
  <c r="AQ217" i="2"/>
  <c r="AP217" i="2"/>
  <c r="AO217" i="2"/>
  <c r="AN217" i="2"/>
  <c r="AM217" i="2"/>
  <c r="AQ216" i="2"/>
  <c r="AP216" i="2"/>
  <c r="AO216" i="2"/>
  <c r="AN216" i="2"/>
  <c r="AM216" i="2"/>
  <c r="AQ215" i="2"/>
  <c r="AP215" i="2"/>
  <c r="AO215" i="2"/>
  <c r="AN215" i="2"/>
  <c r="AM215" i="2"/>
  <c r="AQ214" i="2"/>
  <c r="AP214" i="2"/>
  <c r="AO214" i="2"/>
  <c r="AN214" i="2"/>
  <c r="AM214" i="2"/>
  <c r="AQ211" i="2"/>
  <c r="BD234" i="2" s="1"/>
  <c r="AP211" i="2"/>
  <c r="BC234" i="2" s="1"/>
  <c r="AO211" i="2"/>
  <c r="BB234" i="2" s="1"/>
  <c r="AN211" i="2"/>
  <c r="BA234" i="2" s="1"/>
  <c r="AM211" i="2"/>
  <c r="AZ234" i="2" s="1"/>
  <c r="AQ210" i="2"/>
  <c r="AP210" i="2"/>
  <c r="AO210" i="2"/>
  <c r="AN210" i="2"/>
  <c r="AM210" i="2"/>
  <c r="AQ190" i="2"/>
  <c r="AP190" i="2"/>
  <c r="AO190" i="2"/>
  <c r="AN190" i="2"/>
  <c r="AM190" i="2"/>
  <c r="AQ173" i="2"/>
  <c r="AP173" i="2"/>
  <c r="AO173" i="2"/>
  <c r="AN173" i="2"/>
  <c r="AM173" i="2"/>
  <c r="AQ164" i="2"/>
  <c r="AP164" i="2"/>
  <c r="AO164" i="2"/>
  <c r="AN164" i="2"/>
  <c r="AM164" i="2"/>
  <c r="AQ148" i="2"/>
  <c r="AP148" i="2"/>
  <c r="AO148" i="2"/>
  <c r="AN148" i="2"/>
  <c r="AM148" i="2"/>
  <c r="AQ125" i="2"/>
  <c r="AO125" i="2"/>
  <c r="AN125" i="2"/>
  <c r="AP125" i="2"/>
  <c r="AM125" i="2"/>
  <c r="AQ19" i="2"/>
  <c r="AP19" i="2"/>
  <c r="AO19" i="2"/>
  <c r="AN19" i="2"/>
  <c r="AM19" i="2"/>
  <c r="AQ8" i="2"/>
  <c r="AP8" i="2"/>
  <c r="AO8" i="2"/>
  <c r="AN8" i="2"/>
  <c r="AM8" i="2"/>
  <c r="AM308" i="2" l="1"/>
  <c r="AM232" i="2"/>
  <c r="AN308" i="2"/>
  <c r="AN232" i="2"/>
  <c r="AO308" i="2"/>
  <c r="AO232" i="2"/>
  <c r="AR52" i="4"/>
  <c r="AQ232" i="2"/>
  <c r="AP308" i="2"/>
  <c r="AP232" i="2"/>
  <c r="AM254" i="2"/>
  <c r="AM255" i="2"/>
  <c r="AM268" i="2" s="1"/>
  <c r="AN254" i="2"/>
  <c r="AN255" i="2"/>
  <c r="AN268" i="2" s="1"/>
  <c r="AO254" i="2"/>
  <c r="AO255" i="2"/>
  <c r="AO268" i="2" s="1"/>
  <c r="AP254" i="2"/>
  <c r="AP255" i="2"/>
  <c r="AP268" i="2" s="1"/>
  <c r="AQ268" i="2"/>
  <c r="AO48" i="4"/>
  <c r="AR51" i="4"/>
  <c r="AO52" i="4"/>
  <c r="AP52" i="4"/>
  <c r="AQ52" i="4"/>
  <c r="AP48" i="4"/>
  <c r="AQ22" i="3"/>
  <c r="AO26" i="4"/>
  <c r="AP5" i="4"/>
  <c r="AP51" i="4" s="1"/>
  <c r="AQ26" i="4"/>
  <c r="AM73" i="3"/>
  <c r="AO24" i="5"/>
  <c r="AO73" i="3"/>
  <c r="AN24" i="5"/>
  <c r="AQ73" i="3"/>
  <c r="AO52" i="3"/>
  <c r="AQ52" i="3"/>
  <c r="AS68" i="3"/>
  <c r="AQ24" i="5"/>
  <c r="AM68" i="3"/>
  <c r="AP24" i="5"/>
  <c r="CC26" i="9"/>
  <c r="CC102" i="9" s="1"/>
  <c r="AN208" i="2"/>
  <c r="AO5" i="4"/>
  <c r="AO51" i="4" s="1"/>
  <c r="AR18" i="4"/>
  <c r="AQ5" i="4"/>
  <c r="AQ51" i="4" s="1"/>
  <c r="AQ48" i="4"/>
  <c r="AR38" i="4"/>
  <c r="AP26" i="4"/>
  <c r="AO208" i="2"/>
  <c r="AQ208" i="2"/>
  <c r="AP231" i="2"/>
  <c r="AQ267" i="2"/>
  <c r="AQ292" i="2"/>
  <c r="AQ303" i="2"/>
  <c r="AP208" i="2"/>
  <c r="AQ231" i="2"/>
  <c r="AO293" i="2"/>
  <c r="AM207" i="2"/>
  <c r="AP293" i="2"/>
  <c r="AS303" i="2"/>
  <c r="AQ308" i="2"/>
  <c r="AN207" i="2"/>
  <c r="AM267" i="2"/>
  <c r="AQ293" i="2"/>
  <c r="AO207" i="2"/>
  <c r="AM231" i="2"/>
  <c r="AN267" i="2"/>
  <c r="AM208" i="2"/>
  <c r="AP207" i="2"/>
  <c r="AN231" i="2"/>
  <c r="AO267" i="2"/>
  <c r="AO292" i="2"/>
  <c r="AO303" i="2"/>
  <c r="AR44" i="4"/>
  <c r="AQ207" i="2"/>
  <c r="AO231" i="2"/>
  <c r="AP267" i="2"/>
  <c r="AP292" i="2"/>
  <c r="AP303" i="2"/>
  <c r="AQ38" i="4"/>
  <c r="AP38" i="4"/>
  <c r="AP42" i="4" s="1"/>
  <c r="AO38" i="4"/>
  <c r="AO42" i="4" s="1"/>
  <c r="AR24" i="4"/>
  <c r="AN52" i="3"/>
  <c r="AN68" i="3"/>
  <c r="AP73" i="3"/>
  <c r="AP52" i="3"/>
  <c r="AP68" i="3"/>
  <c r="AL79" i="3"/>
  <c r="AO68" i="3"/>
  <c r="AQ68" i="3"/>
  <c r="AM79" i="3"/>
  <c r="AL73" i="3"/>
  <c r="AN79" i="3"/>
  <c r="AP24" i="4" l="1"/>
  <c r="AQ24" i="4"/>
  <c r="AO24" i="4"/>
  <c r="BQ26" i="9"/>
  <c r="AQ44" i="4"/>
  <c r="AQ42" i="4"/>
  <c r="AO44" i="4"/>
  <c r="AP44" i="4"/>
  <c r="AR42" i="4"/>
  <c r="BQ102" i="9" l="1"/>
  <c r="AE161" i="9" l="1"/>
  <c r="AF161" i="9"/>
  <c r="AG161" i="9"/>
  <c r="AH161" i="9"/>
  <c r="AI161" i="9"/>
  <c r="AJ161" i="9"/>
  <c r="AK161" i="9"/>
  <c r="AL161" i="9"/>
  <c r="AM161" i="9"/>
  <c r="AN161" i="9"/>
  <c r="AO161" i="9"/>
  <c r="AP161" i="9"/>
  <c r="AD161" i="9"/>
  <c r="AE157" i="9"/>
  <c r="AF157" i="9"/>
  <c r="AG157" i="9"/>
  <c r="AH157" i="9"/>
  <c r="AI157" i="9"/>
  <c r="AJ157" i="9"/>
  <c r="AK157" i="9"/>
  <c r="AL157" i="9"/>
  <c r="AM157" i="9"/>
  <c r="AN157" i="9"/>
  <c r="AO157" i="9"/>
  <c r="AP157" i="9"/>
  <c r="AR157" i="9"/>
  <c r="AS157" i="9"/>
  <c r="AT157" i="9"/>
  <c r="AU157" i="9"/>
  <c r="AV157" i="9"/>
  <c r="AW157" i="9"/>
  <c r="AX157" i="9"/>
  <c r="AY157" i="9"/>
  <c r="AZ157" i="9"/>
  <c r="BA157" i="9"/>
  <c r="BB157" i="9"/>
  <c r="BC157" i="9"/>
  <c r="AD157" i="9"/>
  <c r="AE155" i="9"/>
  <c r="AF155" i="9"/>
  <c r="AG155" i="9"/>
  <c r="AH155" i="9"/>
  <c r="AI155" i="9"/>
  <c r="AJ155" i="9"/>
  <c r="AK155" i="9"/>
  <c r="AL155" i="9"/>
  <c r="AM155" i="9"/>
  <c r="AN155" i="9"/>
  <c r="AO155" i="9"/>
  <c r="AP155" i="9"/>
  <c r="AR155" i="9"/>
  <c r="AS155" i="9"/>
  <c r="AT155" i="9"/>
  <c r="AU155" i="9"/>
  <c r="AV155" i="9"/>
  <c r="AW155" i="9"/>
  <c r="AX155" i="9"/>
  <c r="AY155" i="9"/>
  <c r="AZ155" i="9"/>
  <c r="BA155" i="9"/>
  <c r="BB155" i="9"/>
  <c r="BC155" i="9"/>
  <c r="AD155" i="9"/>
  <c r="AR146" i="9"/>
  <c r="AS146" i="9"/>
  <c r="AT146" i="9"/>
  <c r="AU146" i="9"/>
  <c r="AV146" i="9"/>
  <c r="AW146" i="9"/>
  <c r="AX146" i="9"/>
  <c r="AY146" i="9"/>
  <c r="AZ146" i="9"/>
  <c r="BA146" i="9"/>
  <c r="BB146" i="9"/>
  <c r="BC146" i="9"/>
  <c r="AD98" i="9"/>
  <c r="AD18" i="9"/>
  <c r="AD39" i="9"/>
  <c r="AP127" i="9"/>
  <c r="AO127" i="9"/>
  <c r="AN127" i="9"/>
  <c r="AM127" i="9"/>
  <c r="AL127" i="9"/>
  <c r="AK127" i="9"/>
  <c r="AJ127" i="9"/>
  <c r="AI127" i="9"/>
  <c r="AH127" i="9"/>
  <c r="AG127" i="9"/>
  <c r="AF127" i="9"/>
  <c r="AE127" i="9"/>
  <c r="AD127" i="9"/>
  <c r="AP126" i="9"/>
  <c r="AO126" i="9"/>
  <c r="AN126" i="9"/>
  <c r="AM126" i="9"/>
  <c r="AL126" i="9"/>
  <c r="AK126" i="9"/>
  <c r="AJ126" i="9"/>
  <c r="AI126" i="9"/>
  <c r="AH126" i="9"/>
  <c r="AG126" i="9"/>
  <c r="AF126" i="9"/>
  <c r="AE126" i="9"/>
  <c r="AD126" i="9"/>
  <c r="AP125" i="9"/>
  <c r="AO125" i="9"/>
  <c r="AN125" i="9"/>
  <c r="AM125" i="9"/>
  <c r="AL125" i="9"/>
  <c r="AK125" i="9"/>
  <c r="AJ125" i="9"/>
  <c r="AI125" i="9"/>
  <c r="AH125" i="9"/>
  <c r="AG125" i="9"/>
  <c r="AF125" i="9"/>
  <c r="AE125" i="9"/>
  <c r="AD125" i="9"/>
  <c r="AP124" i="9"/>
  <c r="AO124" i="9"/>
  <c r="AN124" i="9"/>
  <c r="AM124" i="9"/>
  <c r="AL124" i="9"/>
  <c r="AK124" i="9"/>
  <c r="AJ124" i="9"/>
  <c r="AI124" i="9"/>
  <c r="AH124" i="9"/>
  <c r="AG124" i="9"/>
  <c r="AF124" i="9"/>
  <c r="AE124" i="9"/>
  <c r="AD124" i="9"/>
  <c r="AP123" i="9"/>
  <c r="AO123" i="9"/>
  <c r="AN123" i="9"/>
  <c r="AM123" i="9"/>
  <c r="AL123" i="9"/>
  <c r="AK123" i="9"/>
  <c r="AJ123" i="9"/>
  <c r="AI123" i="9"/>
  <c r="AH123" i="9"/>
  <c r="AG123" i="9"/>
  <c r="AF123" i="9"/>
  <c r="AE123" i="9"/>
  <c r="AD123" i="9"/>
  <c r="AP122" i="9"/>
  <c r="AO122" i="9"/>
  <c r="AN122" i="9"/>
  <c r="AM122" i="9"/>
  <c r="AL122" i="9"/>
  <c r="AK122" i="9"/>
  <c r="AJ122" i="9"/>
  <c r="AI122" i="9"/>
  <c r="AH122" i="9"/>
  <c r="AG122" i="9"/>
  <c r="AF122" i="9"/>
  <c r="AE122" i="9"/>
  <c r="AD122" i="9"/>
  <c r="AP121" i="9"/>
  <c r="AO121" i="9"/>
  <c r="AN121" i="9"/>
  <c r="AM121" i="9"/>
  <c r="AL121" i="9"/>
  <c r="AK121" i="9"/>
  <c r="AJ121" i="9"/>
  <c r="AI121" i="9"/>
  <c r="AH121" i="9"/>
  <c r="AG121" i="9"/>
  <c r="AF121" i="9"/>
  <c r="AE121" i="9"/>
  <c r="AD121" i="9"/>
  <c r="AP120" i="9"/>
  <c r="AO120" i="9"/>
  <c r="AN120" i="9"/>
  <c r="AM120" i="9"/>
  <c r="AL120" i="9"/>
  <c r="AK120" i="9"/>
  <c r="AJ120" i="9"/>
  <c r="AI120" i="9"/>
  <c r="AH120" i="9"/>
  <c r="AG120" i="9"/>
  <c r="AF120" i="9"/>
  <c r="AE120" i="9"/>
  <c r="AD120" i="9"/>
  <c r="AP119" i="9"/>
  <c r="AO119" i="9"/>
  <c r="AN119" i="9"/>
  <c r="AM119" i="9"/>
  <c r="AL119" i="9"/>
  <c r="AK119" i="9"/>
  <c r="AJ119" i="9"/>
  <c r="AI119" i="9"/>
  <c r="AH119" i="9"/>
  <c r="AG119" i="9"/>
  <c r="AF119" i="9"/>
  <c r="AE119" i="9"/>
  <c r="AD119" i="9"/>
  <c r="AP118" i="9"/>
  <c r="AO118" i="9"/>
  <c r="AN118" i="9"/>
  <c r="AM118" i="9"/>
  <c r="AL118" i="9"/>
  <c r="AK118" i="9"/>
  <c r="AJ118" i="9"/>
  <c r="AI118" i="9"/>
  <c r="AH118" i="9"/>
  <c r="AG118" i="9"/>
  <c r="AF118" i="9"/>
  <c r="AE118" i="9"/>
  <c r="AD118" i="9"/>
  <c r="AP117" i="9"/>
  <c r="AO117" i="9"/>
  <c r="AN117" i="9"/>
  <c r="AM117" i="9"/>
  <c r="AL117" i="9"/>
  <c r="AK117" i="9"/>
  <c r="AJ117" i="9"/>
  <c r="AI117" i="9"/>
  <c r="AH117" i="9"/>
  <c r="AG117" i="9"/>
  <c r="AF117" i="9"/>
  <c r="AE117" i="9"/>
  <c r="AD117" i="9"/>
  <c r="AD116" i="9"/>
  <c r="AO113" i="9"/>
  <c r="AN113" i="9"/>
  <c r="AL113" i="9"/>
  <c r="AK113" i="9"/>
  <c r="AI113" i="9"/>
  <c r="AH113" i="9"/>
  <c r="AE113" i="9"/>
  <c r="AD112" i="9"/>
  <c r="AD111" i="9"/>
  <c r="AP110" i="9"/>
  <c r="AO110" i="9"/>
  <c r="AN110" i="9"/>
  <c r="AM110" i="9"/>
  <c r="AL110" i="9"/>
  <c r="AK110" i="9"/>
  <c r="AJ110" i="9"/>
  <c r="AI110" i="9"/>
  <c r="AH110" i="9"/>
  <c r="AG110" i="9"/>
  <c r="AF110" i="9"/>
  <c r="AE110" i="9"/>
  <c r="AD110" i="9"/>
  <c r="AD108" i="9"/>
  <c r="AP107" i="9"/>
  <c r="AO107" i="9"/>
  <c r="AN107" i="9"/>
  <c r="AM107" i="9"/>
  <c r="AL107" i="9"/>
  <c r="AK107" i="9"/>
  <c r="AJ107" i="9"/>
  <c r="AI107" i="9"/>
  <c r="AH107" i="9"/>
  <c r="AG107" i="9"/>
  <c r="AF107" i="9"/>
  <c r="AE107" i="9"/>
  <c r="AD106" i="9"/>
  <c r="AD105" i="9"/>
  <c r="AD104" i="9"/>
  <c r="AP103" i="9"/>
  <c r="AO103" i="9"/>
  <c r="AN103" i="9"/>
  <c r="AM103" i="9"/>
  <c r="AL103" i="9"/>
  <c r="AK103" i="9"/>
  <c r="AJ103" i="9"/>
  <c r="AI103" i="9"/>
  <c r="AH103" i="9"/>
  <c r="AG103" i="9"/>
  <c r="AF103" i="9"/>
  <c r="AE103" i="9"/>
  <c r="AD103" i="9"/>
  <c r="AP102" i="9"/>
  <c r="AO102" i="9"/>
  <c r="AN102" i="9"/>
  <c r="AM102" i="9"/>
  <c r="AL102" i="9"/>
  <c r="AK102" i="9"/>
  <c r="AJ102" i="9"/>
  <c r="AI102" i="9"/>
  <c r="AH102" i="9"/>
  <c r="AG102" i="9"/>
  <c r="AF102" i="9"/>
  <c r="AE102" i="9"/>
  <c r="AD102" i="9"/>
  <c r="AP101" i="9"/>
  <c r="AO101" i="9"/>
  <c r="AN101" i="9"/>
  <c r="AM101" i="9"/>
  <c r="AL101" i="9"/>
  <c r="AK101" i="9"/>
  <c r="AJ101" i="9"/>
  <c r="AI101" i="9"/>
  <c r="AH101" i="9"/>
  <c r="AG101" i="9"/>
  <c r="AF101" i="9"/>
  <c r="AE101" i="9"/>
  <c r="AD101" i="9"/>
  <c r="AP99" i="9"/>
  <c r="AO99" i="9"/>
  <c r="AN99" i="9"/>
  <c r="AM99" i="9"/>
  <c r="AL99" i="9"/>
  <c r="AK99" i="9"/>
  <c r="AJ99" i="9"/>
  <c r="AI99" i="9"/>
  <c r="AH99" i="9"/>
  <c r="AG99" i="9"/>
  <c r="AF99" i="9"/>
  <c r="AE99" i="9"/>
  <c r="AD99" i="9"/>
  <c r="AP98" i="9"/>
  <c r="AO98" i="9"/>
  <c r="AN98" i="9"/>
  <c r="AM98" i="9"/>
  <c r="AL98" i="9"/>
  <c r="AK98" i="9"/>
  <c r="AJ98" i="9"/>
  <c r="AI98" i="9"/>
  <c r="AH98" i="9"/>
  <c r="AG98" i="9"/>
  <c r="AF98" i="9"/>
  <c r="AE98" i="9"/>
  <c r="AD97" i="9"/>
  <c r="AP94" i="9"/>
  <c r="AO94" i="9"/>
  <c r="AN94" i="9"/>
  <c r="AL94" i="9"/>
  <c r="AK94" i="9"/>
  <c r="AJ94" i="9"/>
  <c r="AI94" i="9"/>
  <c r="AH94" i="9"/>
  <c r="AG94" i="9"/>
  <c r="AF94" i="9"/>
  <c r="AE94" i="9"/>
  <c r="AD93" i="9"/>
  <c r="AD92" i="9"/>
  <c r="AP91" i="9"/>
  <c r="AO91" i="9"/>
  <c r="AN91" i="9"/>
  <c r="AM91" i="9"/>
  <c r="AL91" i="9"/>
  <c r="AK91" i="9"/>
  <c r="AJ91" i="9"/>
  <c r="AI91" i="9"/>
  <c r="AH91" i="9"/>
  <c r="AG91" i="9"/>
  <c r="AF91" i="9"/>
  <c r="AE91" i="9"/>
  <c r="AD91" i="9"/>
  <c r="AD90" i="9"/>
  <c r="AP89" i="9"/>
  <c r="AO89" i="9"/>
  <c r="AN89" i="9"/>
  <c r="AL89" i="9"/>
  <c r="AK89" i="9"/>
  <c r="AJ89" i="9"/>
  <c r="AI89" i="9"/>
  <c r="AH89" i="9"/>
  <c r="AG89" i="9"/>
  <c r="AF89" i="9"/>
  <c r="AE89" i="9"/>
  <c r="AD115" i="9" l="1"/>
  <c r="AD109" i="9"/>
  <c r="AD113" i="9"/>
  <c r="AD107" i="9"/>
  <c r="AD19" i="9"/>
  <c r="AD4" i="9" s="1"/>
  <c r="AD3" i="9"/>
  <c r="AH85" i="9"/>
  <c r="AI85" i="9"/>
  <c r="AJ85" i="9"/>
  <c r="AK85" i="9"/>
  <c r="AL85" i="9"/>
  <c r="AE85" i="9"/>
  <c r="AN85" i="9"/>
  <c r="AF85" i="9"/>
  <c r="AO85" i="9"/>
  <c r="AG85" i="9"/>
  <c r="AP85" i="9"/>
  <c r="AD38" i="9"/>
  <c r="AH97" i="9"/>
  <c r="AF97" i="9"/>
  <c r="AN97" i="9"/>
  <c r="AP97" i="9"/>
  <c r="AG97" i="9"/>
  <c r="AO97" i="9"/>
  <c r="AJ97" i="9"/>
  <c r="AI97" i="9"/>
  <c r="AL97" i="9"/>
  <c r="AE97" i="9"/>
  <c r="AM97" i="9"/>
  <c r="AD94" i="9"/>
  <c r="AK97" i="9"/>
  <c r="AD114" i="9" l="1"/>
  <c r="AD20" i="9"/>
  <c r="AD52" i="9" l="1"/>
  <c r="AD6" i="9" l="1"/>
  <c r="AD7" i="9"/>
  <c r="BP51" i="9"/>
  <c r="BP127" i="9" s="1"/>
  <c r="BO51" i="9"/>
  <c r="BO127" i="9" s="1"/>
  <c r="BN51" i="9"/>
  <c r="BN127" i="9" s="1"/>
  <c r="BM51" i="9"/>
  <c r="BM127" i="9" s="1"/>
  <c r="BL51" i="9"/>
  <c r="BL127" i="9" s="1"/>
  <c r="BK51" i="9"/>
  <c r="BK127" i="9" s="1"/>
  <c r="BJ51" i="9"/>
  <c r="BJ127" i="9" s="1"/>
  <c r="BI51" i="9"/>
  <c r="BI127" i="9" s="1"/>
  <c r="BH51" i="9"/>
  <c r="BH127" i="9" s="1"/>
  <c r="BG51" i="9"/>
  <c r="BG127" i="9" s="1"/>
  <c r="BF51" i="9"/>
  <c r="BF127" i="9" s="1"/>
  <c r="BE51" i="9"/>
  <c r="BE127" i="9" s="1"/>
  <c r="BP50" i="9"/>
  <c r="BP126" i="9" s="1"/>
  <c r="BO50" i="9"/>
  <c r="BO126" i="9" s="1"/>
  <c r="BN50" i="9"/>
  <c r="BN126" i="9" s="1"/>
  <c r="BM50" i="9"/>
  <c r="BM126" i="9" s="1"/>
  <c r="BL50" i="9"/>
  <c r="BL126" i="9" s="1"/>
  <c r="BK50" i="9"/>
  <c r="BK126" i="9" s="1"/>
  <c r="BJ50" i="9"/>
  <c r="BJ126" i="9" s="1"/>
  <c r="BI50" i="9"/>
  <c r="BI126" i="9" s="1"/>
  <c r="BH50" i="9"/>
  <c r="BH126" i="9" s="1"/>
  <c r="BG50" i="9"/>
  <c r="BG126" i="9" s="1"/>
  <c r="BF50" i="9"/>
  <c r="BF126" i="9" s="1"/>
  <c r="BE50" i="9"/>
  <c r="BE126" i="9" s="1"/>
  <c r="BE45" i="9"/>
  <c r="BE121" i="9" s="1"/>
  <c r="BP31" i="9"/>
  <c r="BP107" i="9" s="1"/>
  <c r="BO31" i="9"/>
  <c r="BO107" i="9" s="1"/>
  <c r="BN31" i="9"/>
  <c r="BN107" i="9" s="1"/>
  <c r="BM31" i="9"/>
  <c r="BM107" i="9" s="1"/>
  <c r="BL31" i="9"/>
  <c r="BL107" i="9" s="1"/>
  <c r="BK31" i="9"/>
  <c r="BK107" i="9" s="1"/>
  <c r="BJ31" i="9"/>
  <c r="BJ107" i="9" s="1"/>
  <c r="BI31" i="9"/>
  <c r="BI107" i="9" s="1"/>
  <c r="BH31" i="9"/>
  <c r="BH107" i="9" s="1"/>
  <c r="BG31" i="9"/>
  <c r="BG107" i="9" s="1"/>
  <c r="BF31" i="9"/>
  <c r="BF107" i="9" s="1"/>
  <c r="BE31" i="9"/>
  <c r="BE107" i="9" s="1"/>
  <c r="BP25" i="9"/>
  <c r="BP101" i="9" s="1"/>
  <c r="BO25" i="9"/>
  <c r="BO101" i="9" s="1"/>
  <c r="BN25" i="9"/>
  <c r="BN101" i="9" s="1"/>
  <c r="BM25" i="9"/>
  <c r="BM101" i="9" s="1"/>
  <c r="BL25" i="9"/>
  <c r="BL101" i="9" s="1"/>
  <c r="BK25" i="9"/>
  <c r="BK101" i="9" s="1"/>
  <c r="BJ25" i="9"/>
  <c r="BJ101" i="9" s="1"/>
  <c r="BI25" i="9"/>
  <c r="BI101" i="9" s="1"/>
  <c r="BH25" i="9"/>
  <c r="BH101" i="9" s="1"/>
  <c r="BG25" i="9"/>
  <c r="BG101" i="9" s="1"/>
  <c r="BF25" i="9"/>
  <c r="BF101" i="9" s="1"/>
  <c r="BE25" i="9"/>
  <c r="BE101" i="9" s="1"/>
  <c r="BD74" i="9"/>
  <c r="BD73" i="9"/>
  <c r="BD72" i="9"/>
  <c r="BD71" i="9"/>
  <c r="BD70" i="9"/>
  <c r="BD69" i="9"/>
  <c r="BD68" i="9"/>
  <c r="BD67" i="9"/>
  <c r="BO65" i="9"/>
  <c r="BN65" i="9"/>
  <c r="BL65" i="9"/>
  <c r="BK65" i="9"/>
  <c r="BI65" i="9"/>
  <c r="BH65" i="9"/>
  <c r="BF65" i="9"/>
  <c r="BE65" i="9"/>
  <c r="BD64" i="9"/>
  <c r="BD62" i="9"/>
  <c r="BD61" i="9"/>
  <c r="BD60" i="9"/>
  <c r="BD59" i="9"/>
  <c r="BD58" i="9"/>
  <c r="BD57" i="9"/>
  <c r="BD56" i="9"/>
  <c r="BD55" i="9"/>
  <c r="BD54" i="9"/>
  <c r="BO53" i="9"/>
  <c r="BN53" i="9"/>
  <c r="BM53" i="9"/>
  <c r="BL53" i="9"/>
  <c r="BK53" i="9"/>
  <c r="BJ53" i="9"/>
  <c r="BI53" i="9"/>
  <c r="BH53" i="9"/>
  <c r="BG53" i="9"/>
  <c r="BF53" i="9"/>
  <c r="BE53" i="9"/>
  <c r="BD41" i="11"/>
  <c r="BC41" i="11"/>
  <c r="BB41" i="11"/>
  <c r="BA41" i="11"/>
  <c r="AZ41" i="11"/>
  <c r="AY41" i="11"/>
  <c r="AX41" i="11"/>
  <c r="AW41" i="11"/>
  <c r="AV41" i="11"/>
  <c r="AU41" i="11"/>
  <c r="AT41" i="11"/>
  <c r="AS41" i="11"/>
  <c r="BD40" i="11"/>
  <c r="BC40" i="11"/>
  <c r="BB40" i="11"/>
  <c r="BA40" i="11"/>
  <c r="AZ40" i="11"/>
  <c r="AY40" i="11"/>
  <c r="AX40" i="11"/>
  <c r="AW40" i="11"/>
  <c r="AV40" i="11"/>
  <c r="AU40" i="11"/>
  <c r="AT40" i="11"/>
  <c r="AS40" i="11"/>
  <c r="AS49" i="11" s="1"/>
  <c r="AR39" i="11"/>
  <c r="AR35" i="11"/>
  <c r="AR34" i="11"/>
  <c r="AR28" i="11"/>
  <c r="AR27" i="11"/>
  <c r="AR21" i="11"/>
  <c r="AR20" i="11"/>
  <c r="AR48" i="11" s="1"/>
  <c r="AR14" i="11"/>
  <c r="AR13" i="11"/>
  <c r="AR7" i="11"/>
  <c r="AR6" i="11"/>
  <c r="AR18" i="10"/>
  <c r="AR50" i="10"/>
  <c r="AL46" i="13"/>
  <c r="AM48" i="13"/>
  <c r="AN48" i="13" s="1"/>
  <c r="AO48" i="13" s="1"/>
  <c r="AR48" i="13" s="1"/>
  <c r="AS48" i="13" s="1"/>
  <c r="AT48" i="13" s="1"/>
  <c r="AU48" i="13" s="1"/>
  <c r="AV48" i="13" s="1"/>
  <c r="AW48" i="13" s="1"/>
  <c r="AX48" i="13" s="1"/>
  <c r="AY48" i="13" s="1"/>
  <c r="AZ48" i="13" s="1"/>
  <c r="BA48" i="13" s="1"/>
  <c r="BB48" i="13" s="1"/>
  <c r="AM45" i="13"/>
  <c r="AN45" i="13"/>
  <c r="AO45" i="13"/>
  <c r="AL45" i="13"/>
  <c r="AK47" i="13"/>
  <c r="AK49" i="13" s="1"/>
  <c r="AC18" i="13"/>
  <c r="AC19" i="13"/>
  <c r="AC20" i="13"/>
  <c r="AC21" i="13"/>
  <c r="AC24" i="13"/>
  <c r="AT54" i="11" l="1"/>
  <c r="AT49" i="11"/>
  <c r="AW49" i="11"/>
  <c r="AW54" i="11"/>
  <c r="AR54" i="11"/>
  <c r="AR47" i="11"/>
  <c r="AX49" i="11"/>
  <c r="AX54" i="11"/>
  <c r="BC54" i="11"/>
  <c r="BC49" i="11"/>
  <c r="AU49" i="11"/>
  <c r="AU54" i="11"/>
  <c r="AY49" i="11"/>
  <c r="AY54" i="11"/>
  <c r="AZ49" i="11"/>
  <c r="AZ54" i="11"/>
  <c r="BD54" i="11"/>
  <c r="BD49" i="11"/>
  <c r="AV49" i="11"/>
  <c r="AV54" i="11"/>
  <c r="BB54" i="11"/>
  <c r="BB49" i="11"/>
  <c r="BA49" i="11"/>
  <c r="BA54" i="11"/>
  <c r="BG45" i="9"/>
  <c r="BG121" i="9" s="1"/>
  <c r="BF45" i="9"/>
  <c r="BF121" i="9" s="1"/>
  <c r="BD51" i="9"/>
  <c r="DJ51" i="9" s="1"/>
  <c r="BD138" i="9"/>
  <c r="DG138" i="9" s="1"/>
  <c r="BD53" i="9"/>
  <c r="BD31" i="9"/>
  <c r="BD25" i="9"/>
  <c r="BD50" i="9"/>
  <c r="DJ50" i="9" s="1"/>
  <c r="AR40" i="11"/>
  <c r="AR41" i="11"/>
  <c r="AR26" i="10"/>
  <c r="AR12" i="10"/>
  <c r="AR11" i="10"/>
  <c r="AP40" i="13"/>
  <c r="AR24" i="10"/>
  <c r="AL47" i="13"/>
  <c r="AL49" i="13" s="1"/>
  <c r="AM46" i="13"/>
  <c r="AN46" i="13" s="1"/>
  <c r="AO46" i="13" s="1"/>
  <c r="DG25" i="9" l="1"/>
  <c r="DJ25" i="9"/>
  <c r="DG31" i="9"/>
  <c r="DJ31" i="9"/>
  <c r="BD126" i="9"/>
  <c r="DG126" i="9" s="1"/>
  <c r="BD107" i="9"/>
  <c r="DG107" i="9" s="1"/>
  <c r="BD127" i="9"/>
  <c r="BD101" i="9"/>
  <c r="DG101" i="9" s="1"/>
  <c r="BE12" i="10"/>
  <c r="BH45" i="9"/>
  <c r="BH121" i="9" s="1"/>
  <c r="AO47" i="13"/>
  <c r="AO49" i="13" s="1"/>
  <c r="BD136" i="9"/>
  <c r="DG136" i="9" s="1"/>
  <c r="AN47" i="13"/>
  <c r="AN49" i="13" s="1"/>
  <c r="AM47" i="13"/>
  <c r="AM49" i="13" s="1"/>
  <c r="BD143" i="9" l="1"/>
  <c r="BE11" i="10"/>
  <c r="BI45" i="9"/>
  <c r="BI121" i="9" s="1"/>
  <c r="AR46" i="13"/>
  <c r="AS46" i="13" s="1"/>
  <c r="AT46" i="13" s="1"/>
  <c r="AU46" i="13" s="1"/>
  <c r="AV46" i="13" s="1"/>
  <c r="AW46" i="13" s="1"/>
  <c r="AX46" i="13" s="1"/>
  <c r="AY46" i="13" s="1"/>
  <c r="AZ46" i="13" s="1"/>
  <c r="BA46" i="13" s="1"/>
  <c r="BB46" i="13" s="1"/>
  <c r="AQ47" i="13"/>
  <c r="AQ49" i="13" s="1"/>
  <c r="AR10" i="10" l="1"/>
  <c r="BJ45" i="9"/>
  <c r="BJ121" i="9" s="1"/>
  <c r="BE10" i="10" l="1"/>
  <c r="BK45" i="9"/>
  <c r="BK121" i="9" s="1"/>
  <c r="AR48" i="10"/>
  <c r="BL45" i="9" l="1"/>
  <c r="BL121" i="9" s="1"/>
  <c r="BM45" i="9" l="1"/>
  <c r="BM121" i="9" s="1"/>
  <c r="BN45" i="9" l="1"/>
  <c r="BN121" i="9" s="1"/>
  <c r="BO45" i="9" l="1"/>
  <c r="BO121" i="9" s="1"/>
  <c r="BR45" i="9" l="1"/>
  <c r="BR121" i="9" s="1"/>
  <c r="BP45" i="9"/>
  <c r="BP121" i="9" s="1"/>
  <c r="AR38" i="10"/>
  <c r="BS45" i="9" l="1"/>
  <c r="BS121" i="9" s="1"/>
  <c r="BD45" i="9"/>
  <c r="BD121" i="9" l="1"/>
  <c r="BT45" i="9"/>
  <c r="BT121" i="9" s="1"/>
  <c r="BU45" i="9" l="1"/>
  <c r="BU121" i="9" s="1"/>
  <c r="BV45" i="9" l="1"/>
  <c r="BV121" i="9" s="1"/>
  <c r="BC44" i="13"/>
  <c r="AR78" i="3"/>
  <c r="AR63" i="3"/>
  <c r="AR62" i="3"/>
  <c r="AR61" i="3"/>
  <c r="AR60" i="3"/>
  <c r="AR51" i="3"/>
  <c r="AR50" i="3"/>
  <c r="AR49" i="3"/>
  <c r="AR47" i="3"/>
  <c r="AR46" i="3"/>
  <c r="AR41" i="3"/>
  <c r="AR40" i="3"/>
  <c r="AR39" i="3"/>
  <c r="AR38" i="3"/>
  <c r="AR37" i="3"/>
  <c r="AR36" i="3"/>
  <c r="AR34" i="3"/>
  <c r="AR33" i="3"/>
  <c r="BD32" i="3"/>
  <c r="BC32" i="3"/>
  <c r="BB32" i="3"/>
  <c r="BA32" i="3"/>
  <c r="AZ32" i="3"/>
  <c r="AY32" i="3"/>
  <c r="AX32" i="3"/>
  <c r="AX125" i="2" s="1"/>
  <c r="AW32" i="3"/>
  <c r="AW125" i="2" s="1"/>
  <c r="AV32" i="3"/>
  <c r="AV125" i="2" s="1"/>
  <c r="AU32" i="3"/>
  <c r="AU125" i="2" s="1"/>
  <c r="AT32" i="3"/>
  <c r="AT26" i="3"/>
  <c r="AR45" i="13"/>
  <c r="AR47" i="13" s="1"/>
  <c r="AR49" i="13" s="1"/>
  <c r="S14" i="4"/>
  <c r="S18" i="4"/>
  <c r="F14" i="4"/>
  <c r="F18" i="4"/>
  <c r="AT31" i="3" l="1"/>
  <c r="AT125" i="2"/>
  <c r="BW45" i="9"/>
  <c r="BW121" i="9" s="1"/>
  <c r="AV31" i="3"/>
  <c r="AR32" i="3"/>
  <c r="AU31" i="3"/>
  <c r="BE8" i="5" l="1"/>
  <c r="BE9" i="5"/>
  <c r="BE10" i="5"/>
  <c r="BF24" i="5"/>
  <c r="BX45" i="9"/>
  <c r="BX121" i="9" s="1"/>
  <c r="AS45" i="13"/>
  <c r="AS47" i="13" s="1"/>
  <c r="AS49" i="13" s="1"/>
  <c r="AR74" i="3"/>
  <c r="AR48" i="3"/>
  <c r="BY45" i="9" l="1"/>
  <c r="BY121" i="9" s="1"/>
  <c r="AT45" i="13"/>
  <c r="AT47" i="13" s="1"/>
  <c r="AT49" i="13" s="1"/>
  <c r="BG47" i="4" l="1"/>
  <c r="BZ45" i="9"/>
  <c r="BZ121" i="9" s="1"/>
  <c r="AU45" i="13"/>
  <c r="AU47" i="13" s="1"/>
  <c r="AU49" i="13" s="1"/>
  <c r="CA45" i="9" l="1"/>
  <c r="CA121" i="9" s="1"/>
  <c r="AV45" i="13"/>
  <c r="AV47" i="13" s="1"/>
  <c r="AV49" i="13" s="1"/>
  <c r="CB45" i="9" l="1"/>
  <c r="CB121" i="9" s="1"/>
  <c r="AW45" i="13"/>
  <c r="AW47" i="13" s="1"/>
  <c r="AW49" i="13" s="1"/>
  <c r="CC45" i="9" l="1"/>
  <c r="CC121" i="9" s="1"/>
  <c r="BE38" i="10"/>
  <c r="AX45" i="13"/>
  <c r="AX47" i="13" s="1"/>
  <c r="AX49" i="13" s="1"/>
  <c r="BQ45" i="9" l="1"/>
  <c r="AY45" i="13"/>
  <c r="AY47" i="13" s="1"/>
  <c r="AY49" i="13" s="1"/>
  <c r="DK45" i="9" l="1"/>
  <c r="DJ45" i="9"/>
  <c r="DH45" i="9"/>
  <c r="DG45" i="9"/>
  <c r="BQ121" i="9"/>
  <c r="DH121" i="9" s="1"/>
  <c r="AZ45" i="13"/>
  <c r="AZ47" i="13" s="1"/>
  <c r="AZ49" i="13" s="1"/>
  <c r="AR44" i="3"/>
  <c r="AR43" i="3"/>
  <c r="BA45" i="13" l="1"/>
  <c r="BA47" i="13" s="1"/>
  <c r="BA49" i="13" s="1"/>
  <c r="BE7" i="5" l="1"/>
  <c r="BB45" i="13"/>
  <c r="BB47" i="13" s="1"/>
  <c r="BB49" i="13" s="1"/>
  <c r="AP44" i="13" l="1"/>
  <c r="BA40" i="5"/>
  <c r="AX40" i="5"/>
  <c r="AU40" i="5"/>
  <c r="AR30" i="5"/>
  <c r="AR19" i="5"/>
  <c r="AR15" i="5"/>
  <c r="AR14" i="5"/>
  <c r="AR13" i="5"/>
  <c r="AR12" i="5"/>
  <c r="AR10" i="5"/>
  <c r="AR9" i="5"/>
  <c r="AR8" i="5"/>
  <c r="AR7" i="5"/>
  <c r="BD40" i="5" l="1"/>
  <c r="AR28" i="5"/>
  <c r="AR20" i="5"/>
  <c r="AS41" i="4" l="1"/>
  <c r="AS34" i="4"/>
  <c r="AS27" i="4"/>
  <c r="AS12" i="4"/>
  <c r="AS11" i="4"/>
  <c r="AD137" i="9" l="1"/>
  <c r="AD144" i="9"/>
  <c r="AD96" i="9" l="1"/>
  <c r="AD89" i="9"/>
  <c r="AR18" i="5"/>
  <c r="AS13" i="4"/>
  <c r="AD136" i="9"/>
  <c r="AD85" i="9" l="1"/>
  <c r="AD143" i="9"/>
  <c r="AD88" i="9"/>
  <c r="AD176" i="9" l="1"/>
  <c r="AD128" i="9" l="1"/>
  <c r="AS16" i="4" l="1"/>
  <c r="BA65" i="9" l="1"/>
  <c r="BB65" i="9"/>
  <c r="AP82" i="9"/>
  <c r="AD82" i="9"/>
  <c r="AC82" i="9"/>
  <c r="Q76" i="9"/>
  <c r="Q74" i="9"/>
  <c r="Q72" i="9"/>
  <c r="Q71" i="9"/>
  <c r="Q70" i="9"/>
  <c r="Q69" i="9"/>
  <c r="Q68" i="9"/>
  <c r="Q67" i="9"/>
  <c r="Q66" i="9"/>
  <c r="AY65" i="9"/>
  <c r="AX65" i="9"/>
  <c r="AW65" i="9"/>
  <c r="AV65" i="9"/>
  <c r="AU65" i="9"/>
  <c r="AT65" i="9"/>
  <c r="AS65" i="9"/>
  <c r="AR65" i="9"/>
  <c r="AP65" i="9"/>
  <c r="AO65" i="9"/>
  <c r="AN65" i="9"/>
  <c r="AM65" i="9"/>
  <c r="AL65" i="9"/>
  <c r="AK65" i="9"/>
  <c r="AJ65" i="9"/>
  <c r="AI65" i="9"/>
  <c r="AH65" i="9"/>
  <c r="AG65" i="9"/>
  <c r="AF65" i="9"/>
  <c r="AE65" i="9"/>
  <c r="AC65" i="9"/>
  <c r="AB65" i="9"/>
  <c r="AA65" i="9"/>
  <c r="Z65" i="9"/>
  <c r="Y65" i="9"/>
  <c r="X65" i="9"/>
  <c r="W65" i="9"/>
  <c r="V65" i="9"/>
  <c r="U65" i="9"/>
  <c r="T65" i="9"/>
  <c r="S65" i="9"/>
  <c r="R65" i="9"/>
  <c r="P65" i="9"/>
  <c r="O65" i="9"/>
  <c r="N65" i="9"/>
  <c r="M65" i="9"/>
  <c r="L65" i="9"/>
  <c r="K65" i="9"/>
  <c r="J65" i="9"/>
  <c r="I65" i="9"/>
  <c r="H65" i="9"/>
  <c r="G65" i="9"/>
  <c r="F65" i="9"/>
  <c r="E65" i="9"/>
  <c r="Q64" i="9"/>
  <c r="Q62" i="9"/>
  <c r="Q61" i="9"/>
  <c r="Q60" i="9"/>
  <c r="Q59" i="9"/>
  <c r="Q58" i="9"/>
  <c r="Q56" i="9"/>
  <c r="Q55" i="9"/>
  <c r="Q54" i="9"/>
  <c r="BC53" i="9"/>
  <c r="BB53" i="9"/>
  <c r="BA53" i="9"/>
  <c r="BA75" i="9" s="1"/>
  <c r="BA77" i="9" s="1"/>
  <c r="AZ53" i="9"/>
  <c r="AY53" i="9"/>
  <c r="AX53" i="9"/>
  <c r="AW53" i="9"/>
  <c r="AV53" i="9"/>
  <c r="AU53" i="9"/>
  <c r="AT53" i="9"/>
  <c r="AS53" i="9"/>
  <c r="AR53" i="9"/>
  <c r="AP53" i="9"/>
  <c r="AO53" i="9"/>
  <c r="AN53" i="9"/>
  <c r="AM53" i="9"/>
  <c r="AL53" i="9"/>
  <c r="AK53" i="9"/>
  <c r="AJ53" i="9"/>
  <c r="AI53" i="9"/>
  <c r="AH53" i="9"/>
  <c r="AG53" i="9"/>
  <c r="AF53" i="9"/>
  <c r="AE53" i="9"/>
  <c r="AC53" i="9"/>
  <c r="AB53" i="9"/>
  <c r="AA53" i="9"/>
  <c r="Z53" i="9"/>
  <c r="Y53" i="9"/>
  <c r="X53" i="9"/>
  <c r="W53" i="9"/>
  <c r="V53" i="9"/>
  <c r="U53" i="9"/>
  <c r="T53" i="9"/>
  <c r="S53" i="9"/>
  <c r="R53" i="9"/>
  <c r="P53" i="9"/>
  <c r="O53" i="9"/>
  <c r="N53" i="9"/>
  <c r="M53" i="9"/>
  <c r="L53" i="9"/>
  <c r="K53" i="9"/>
  <c r="J53" i="9"/>
  <c r="I53" i="9"/>
  <c r="H53" i="9"/>
  <c r="G53" i="9"/>
  <c r="F53" i="9"/>
  <c r="E53" i="9"/>
  <c r="AU75" i="9" l="1"/>
  <c r="AU77" i="9" s="1"/>
  <c r="AV75" i="9"/>
  <c r="AV77" i="9" s="1"/>
  <c r="AT75" i="9"/>
  <c r="AT77" i="9" s="1"/>
  <c r="AY75" i="9"/>
  <c r="AY77" i="9" s="1"/>
  <c r="BB75" i="9"/>
  <c r="BB77" i="9" s="1"/>
  <c r="AR75" i="9"/>
  <c r="AW75" i="9"/>
  <c r="AW77" i="9" s="1"/>
  <c r="AS75" i="9"/>
  <c r="AS77" i="9" s="1"/>
  <c r="AX75" i="9"/>
  <c r="AX77" i="9" s="1"/>
  <c r="AR77" i="9"/>
  <c r="Q65" i="9"/>
  <c r="Q53" i="9"/>
  <c r="K79" i="9" l="1"/>
  <c r="E79" i="9"/>
  <c r="F75" i="9"/>
  <c r="F77" i="9" s="1"/>
  <c r="O75" i="9"/>
  <c r="O77" i="9" s="1"/>
  <c r="G75" i="9"/>
  <c r="G77" i="9" s="1"/>
  <c r="M79" i="9"/>
  <c r="J75" i="9"/>
  <c r="J77" i="9" s="1"/>
  <c r="H75" i="9"/>
  <c r="H77" i="9" s="1"/>
  <c r="H79" i="9"/>
  <c r="P75" i="9"/>
  <c r="P77" i="9" s="1"/>
  <c r="P79" i="9"/>
  <c r="K75" i="9" l="1"/>
  <c r="K77" i="9" s="1"/>
  <c r="O79" i="9"/>
  <c r="E75" i="9"/>
  <c r="E77" i="9" s="1"/>
  <c r="J79" i="9"/>
  <c r="M75" i="9"/>
  <c r="M77" i="9" s="1"/>
  <c r="F79" i="9"/>
  <c r="G79" i="9"/>
  <c r="I79" i="9"/>
  <c r="I75" i="9"/>
  <c r="I77" i="9" s="1"/>
  <c r="N75" i="9"/>
  <c r="N77" i="9" s="1"/>
  <c r="N79" i="9"/>
  <c r="L75" i="9"/>
  <c r="L77" i="9" s="1"/>
  <c r="L79" i="9"/>
  <c r="BD162" i="9" l="1"/>
  <c r="AN39" i="5" l="1"/>
  <c r="AK40" i="5"/>
  <c r="AK39" i="5"/>
  <c r="AH40" i="5"/>
  <c r="AH39" i="5"/>
  <c r="AN40" i="5"/>
  <c r="AH18" i="4"/>
  <c r="AI18" i="4"/>
  <c r="AJ18" i="4"/>
  <c r="AK18" i="4"/>
  <c r="AL18" i="4"/>
  <c r="AM18" i="4"/>
  <c r="AN18" i="4"/>
  <c r="AG18" i="4"/>
  <c r="AK41" i="5" l="1"/>
  <c r="AK42" i="5" s="1"/>
  <c r="AH41" i="5"/>
  <c r="AH42" i="5" s="1"/>
  <c r="AN41" i="5"/>
  <c r="AN42" i="5" s="1"/>
  <c r="BE36" i="9"/>
  <c r="BE112" i="9" s="1"/>
  <c r="AS21" i="5"/>
  <c r="AS25" i="5"/>
  <c r="BE33" i="9" s="1"/>
  <c r="BE109" i="9" s="1"/>
  <c r="AQ39" i="5"/>
  <c r="AQ40" i="5"/>
  <c r="AQ41" i="5" l="1"/>
  <c r="AQ42" i="5" s="1"/>
  <c r="AR29" i="5"/>
  <c r="AR18" i="11"/>
  <c r="AT25" i="5"/>
  <c r="BF33" i="9" s="1"/>
  <c r="BF109" i="9" s="1"/>
  <c r="AT21" i="5"/>
  <c r="AF17" i="4"/>
  <c r="AR16" i="10" l="1"/>
  <c r="AR13" i="10"/>
  <c r="AR9" i="10"/>
  <c r="AR17" i="10"/>
  <c r="AU34" i="5"/>
  <c r="BF36" i="9"/>
  <c r="BF112" i="9" s="1"/>
  <c r="AR15" i="10"/>
  <c r="BE13" i="10"/>
  <c r="BE29" i="5"/>
  <c r="AU21" i="5"/>
  <c r="AU39" i="5"/>
  <c r="AU41" i="5" s="1"/>
  <c r="AU47" i="4"/>
  <c r="AR21" i="10" l="1"/>
  <c r="AU25" i="5"/>
  <c r="BG33" i="9" s="1"/>
  <c r="BG109" i="9" s="1"/>
  <c r="AU42" i="5"/>
  <c r="AR25" i="10"/>
  <c r="BE15" i="10"/>
  <c r="AS6" i="10"/>
  <c r="AV47" i="4"/>
  <c r="AV25" i="5"/>
  <c r="BH33" i="9" s="1"/>
  <c r="BH109" i="9" s="1"/>
  <c r="AV21" i="5"/>
  <c r="BE39" i="9" l="1"/>
  <c r="BE115" i="9" s="1"/>
  <c r="AS7" i="10"/>
  <c r="BI36" i="9"/>
  <c r="BI112" i="9" s="1"/>
  <c r="BH36" i="9"/>
  <c r="BH112" i="9" s="1"/>
  <c r="BE17" i="10"/>
  <c r="AS9" i="4"/>
  <c r="BE37" i="9"/>
  <c r="BE113" i="9" s="1"/>
  <c r="AT6" i="10"/>
  <c r="AW25" i="5"/>
  <c r="BI33" i="9" s="1"/>
  <c r="BI109" i="9" s="1"/>
  <c r="AW21" i="5"/>
  <c r="AW47" i="4"/>
  <c r="AS10" i="4"/>
  <c r="AR35" i="10"/>
  <c r="BE47" i="9"/>
  <c r="BE123" i="9" s="1"/>
  <c r="BX42" i="5" l="1"/>
  <c r="BX25" i="5"/>
  <c r="CJ33" i="9" s="1"/>
  <c r="BU42" i="5"/>
  <c r="BU25" i="5"/>
  <c r="CG33" i="9" s="1"/>
  <c r="BF39" i="9"/>
  <c r="BF115" i="9" s="1"/>
  <c r="AT7" i="10"/>
  <c r="AX34" i="5"/>
  <c r="BF37" i="9"/>
  <c r="BF113" i="9" s="1"/>
  <c r="BF10" i="4"/>
  <c r="BE35" i="9"/>
  <c r="BE111" i="9" s="1"/>
  <c r="AU6" i="10"/>
  <c r="AX47" i="4"/>
  <c r="AX21" i="5"/>
  <c r="AX39" i="5"/>
  <c r="AX41" i="5" s="1"/>
  <c r="BF47" i="9"/>
  <c r="BF123" i="9" s="1"/>
  <c r="CA42" i="5" l="1"/>
  <c r="CD25" i="5" s="1"/>
  <c r="CP33" i="9" s="1"/>
  <c r="CJ109" i="9"/>
  <c r="CJ32" i="9"/>
  <c r="CG109" i="9"/>
  <c r="CG32" i="9"/>
  <c r="BG39" i="9"/>
  <c r="BG115" i="9" s="1"/>
  <c r="AU7" i="10"/>
  <c r="AX25" i="5"/>
  <c r="BJ33" i="9" s="1"/>
  <c r="BJ109" i="9" s="1"/>
  <c r="AX42" i="5"/>
  <c r="BF35" i="9"/>
  <c r="BF111" i="9" s="1"/>
  <c r="AV6" i="10"/>
  <c r="AY47" i="4"/>
  <c r="AR24" i="5"/>
  <c r="AY25" i="5"/>
  <c r="BK33" i="9" s="1"/>
  <c r="BK109" i="9" s="1"/>
  <c r="AY21" i="5"/>
  <c r="BR17" i="9"/>
  <c r="BR93" i="9" s="1"/>
  <c r="BG47" i="9"/>
  <c r="BG123" i="9" s="1"/>
  <c r="BE17" i="9"/>
  <c r="BE93" i="9" s="1"/>
  <c r="AC22" i="13"/>
  <c r="CP109" i="9" l="1"/>
  <c r="CH31" i="5"/>
  <c r="BR31" i="5"/>
  <c r="CG108" i="9"/>
  <c r="CG20" i="9"/>
  <c r="CJ108" i="9"/>
  <c r="CJ20" i="9"/>
  <c r="BH39" i="9"/>
  <c r="BH115" i="9" s="1"/>
  <c r="AV7" i="10"/>
  <c r="BG37" i="9"/>
  <c r="BG113" i="9" s="1"/>
  <c r="BH37" i="9"/>
  <c r="BH113" i="9" s="1"/>
  <c r="BK36" i="9"/>
  <c r="BK112" i="9" s="1"/>
  <c r="AW6" i="10"/>
  <c r="BA21" i="5"/>
  <c r="AZ25" i="5"/>
  <c r="BL33" i="9" s="1"/>
  <c r="BL109" i="9" s="1"/>
  <c r="AZ21" i="5"/>
  <c r="AZ47" i="4"/>
  <c r="AP6" i="13"/>
  <c r="AP37" i="13" s="1"/>
  <c r="BH47" i="9"/>
  <c r="BH123" i="9" s="1"/>
  <c r="BF17" i="9"/>
  <c r="BF93" i="9" s="1"/>
  <c r="CH42" i="5" l="1"/>
  <c r="CK31" i="5" s="1"/>
  <c r="CH25" i="5"/>
  <c r="CT109" i="9" s="1"/>
  <c r="CG96" i="9"/>
  <c r="CG52" i="9"/>
  <c r="CG79" i="9" s="1"/>
  <c r="CJ96" i="9"/>
  <c r="BI39" i="9"/>
  <c r="BI115" i="9" s="1"/>
  <c r="AW7" i="10"/>
  <c r="BI37" i="9"/>
  <c r="BI35" i="9" s="1"/>
  <c r="BI111" i="9" s="1"/>
  <c r="BL36" i="9"/>
  <c r="BL112" i="9" s="1"/>
  <c r="BA34" i="5"/>
  <c r="BT17" i="9"/>
  <c r="BT93" i="9" s="1"/>
  <c r="BE35" i="10"/>
  <c r="BH35" i="9"/>
  <c r="BH111" i="9" s="1"/>
  <c r="AX6" i="10"/>
  <c r="BA14" i="4"/>
  <c r="BA8" i="4" s="1"/>
  <c r="BA7" i="4" s="1"/>
  <c r="BA26" i="4" s="1"/>
  <c r="BB21" i="5"/>
  <c r="BA39" i="5"/>
  <c r="BA41" i="5" s="1"/>
  <c r="BA42" i="5" s="1"/>
  <c r="BI47" i="9"/>
  <c r="BI123" i="9" s="1"/>
  <c r="BG17" i="9"/>
  <c r="BG93" i="9" s="1"/>
  <c r="AR260" i="2"/>
  <c r="AR273" i="2" s="1"/>
  <c r="AR259" i="2"/>
  <c r="AR224" i="2"/>
  <c r="AR236" i="2" s="1"/>
  <c r="AR200" i="2"/>
  <c r="AR189" i="2"/>
  <c r="AR188" i="2"/>
  <c r="AR187" i="2"/>
  <c r="AR186" i="2"/>
  <c r="AR185" i="2"/>
  <c r="AR182" i="2"/>
  <c r="AR180" i="2"/>
  <c r="AR179" i="2"/>
  <c r="AR178" i="2"/>
  <c r="AR177" i="2"/>
  <c r="AR176" i="2"/>
  <c r="AR175" i="2"/>
  <c r="AR174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AR172" i="2"/>
  <c r="AR171" i="2"/>
  <c r="AR170" i="2"/>
  <c r="AR169" i="2"/>
  <c r="AR168" i="2"/>
  <c r="AR167" i="2"/>
  <c r="AR166" i="2"/>
  <c r="AR165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R154" i="2"/>
  <c r="AR153" i="2"/>
  <c r="AR152" i="2"/>
  <c r="AR151" i="2"/>
  <c r="AR150" i="2"/>
  <c r="AR149" i="2"/>
  <c r="BD148" i="2"/>
  <c r="BC148" i="2"/>
  <c r="BB148" i="2"/>
  <c r="BA148" i="2"/>
  <c r="AZ148" i="2"/>
  <c r="AY148" i="2"/>
  <c r="AX148" i="2"/>
  <c r="AW148" i="2"/>
  <c r="AV148" i="2"/>
  <c r="AU148" i="2"/>
  <c r="AT148" i="2"/>
  <c r="AS148" i="2"/>
  <c r="AR126" i="2"/>
  <c r="AR124" i="2"/>
  <c r="AR123" i="2"/>
  <c r="AR122" i="2"/>
  <c r="AR121" i="2"/>
  <c r="AR120" i="2"/>
  <c r="AR118" i="2"/>
  <c r="AR117" i="2"/>
  <c r="AX114" i="2"/>
  <c r="AW114" i="2"/>
  <c r="AV114" i="2"/>
  <c r="AU114" i="2"/>
  <c r="AT114" i="2"/>
  <c r="AS114" i="2"/>
  <c r="AX113" i="2"/>
  <c r="AW113" i="2"/>
  <c r="AV113" i="2"/>
  <c r="AU113" i="2"/>
  <c r="AT113" i="2"/>
  <c r="AS113" i="2"/>
  <c r="AX111" i="2"/>
  <c r="AW111" i="2"/>
  <c r="AV111" i="2"/>
  <c r="AU111" i="2"/>
  <c r="AT111" i="2"/>
  <c r="AS111" i="2"/>
  <c r="AX108" i="2"/>
  <c r="AW108" i="2"/>
  <c r="AV108" i="2"/>
  <c r="AU108" i="2"/>
  <c r="AT108" i="2"/>
  <c r="AS108" i="2"/>
  <c r="AX107" i="2"/>
  <c r="AW107" i="2"/>
  <c r="AV107" i="2"/>
  <c r="AU107" i="2"/>
  <c r="AT107" i="2"/>
  <c r="AS107" i="2"/>
  <c r="AR93" i="2"/>
  <c r="AR92" i="2"/>
  <c r="AR91" i="2"/>
  <c r="AR90" i="2"/>
  <c r="AR89" i="2"/>
  <c r="AR87" i="2"/>
  <c r="AR86" i="2"/>
  <c r="AR85" i="2"/>
  <c r="AR83" i="2"/>
  <c r="AR82" i="2"/>
  <c r="AR81" i="2"/>
  <c r="AR80" i="2"/>
  <c r="AR79" i="2"/>
  <c r="AR77" i="2"/>
  <c r="AR76" i="2"/>
  <c r="AR75" i="2"/>
  <c r="AR74" i="2"/>
  <c r="AR73" i="2"/>
  <c r="AR72" i="2"/>
  <c r="AR71" i="2"/>
  <c r="AR70" i="2"/>
  <c r="AR69" i="2"/>
  <c r="AR67" i="2"/>
  <c r="AR66" i="2"/>
  <c r="AR65" i="2"/>
  <c r="AR64" i="2"/>
  <c r="AR63" i="2"/>
  <c r="AR62" i="2"/>
  <c r="AR60" i="2"/>
  <c r="AR59" i="2"/>
  <c r="AR58" i="2"/>
  <c r="AR57" i="2"/>
  <c r="AR56" i="2"/>
  <c r="AR54" i="2"/>
  <c r="AR53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49" i="2"/>
  <c r="AR46" i="2"/>
  <c r="AR44" i="2"/>
  <c r="BD40" i="2"/>
  <c r="BC40" i="2"/>
  <c r="BB40" i="2"/>
  <c r="BA40" i="2"/>
  <c r="AZ40" i="2"/>
  <c r="AY40" i="2"/>
  <c r="AX40" i="2"/>
  <c r="AX106" i="2" s="1"/>
  <c r="AW40" i="2"/>
  <c r="AW106" i="2" s="1"/>
  <c r="AV40" i="2"/>
  <c r="AV106" i="2" s="1"/>
  <c r="AU40" i="2"/>
  <c r="AU106" i="2" s="1"/>
  <c r="AT40" i="2"/>
  <c r="AS40" i="2"/>
  <c r="AR36" i="2"/>
  <c r="AR35" i="2"/>
  <c r="AR34" i="2"/>
  <c r="AR33" i="2"/>
  <c r="AR32" i="2"/>
  <c r="AR31" i="2"/>
  <c r="AR30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CT33" i="9" l="1"/>
  <c r="CT108" i="9"/>
  <c r="CK42" i="5"/>
  <c r="CN31" i="5" s="1"/>
  <c r="CK25" i="5"/>
  <c r="CW109" i="9" s="1"/>
  <c r="CG128" i="9"/>
  <c r="CG75" i="9"/>
  <c r="CG77" i="9" s="1"/>
  <c r="BI113" i="9"/>
  <c r="BJ39" i="9"/>
  <c r="BJ115" i="9" s="1"/>
  <c r="AX7" i="10"/>
  <c r="AR213" i="2"/>
  <c r="BJ37" i="9"/>
  <c r="BJ113" i="9" s="1"/>
  <c r="BA47" i="4"/>
  <c r="AR108" i="2"/>
  <c r="AR29" i="2"/>
  <c r="AR148" i="2"/>
  <c r="AR110" i="2"/>
  <c r="AY6" i="10"/>
  <c r="BC21" i="5"/>
  <c r="BB25" i="5"/>
  <c r="BN33" i="9" s="1"/>
  <c r="BN109" i="9" s="1"/>
  <c r="BB14" i="4"/>
  <c r="BB8" i="4" s="1"/>
  <c r="BB7" i="4" s="1"/>
  <c r="BB26" i="4" s="1"/>
  <c r="BA25" i="5"/>
  <c r="BM33" i="9" s="1"/>
  <c r="BM109" i="9" s="1"/>
  <c r="BJ47" i="9"/>
  <c r="BJ123" i="9" s="1"/>
  <c r="AR52" i="2"/>
  <c r="AR114" i="2"/>
  <c r="AR164" i="2"/>
  <c r="BH17" i="9"/>
  <c r="BH93" i="9" s="1"/>
  <c r="AR111" i="2"/>
  <c r="AR107" i="2"/>
  <c r="AR113" i="2"/>
  <c r="AR112" i="2"/>
  <c r="AT106" i="2"/>
  <c r="AS106" i="2"/>
  <c r="AR40" i="2"/>
  <c r="AR173" i="2"/>
  <c r="AR183" i="2"/>
  <c r="AR266" i="2"/>
  <c r="CW33" i="9" l="1"/>
  <c r="CW32" i="9" s="1"/>
  <c r="CW108" i="9"/>
  <c r="CT32" i="9"/>
  <c r="CN42" i="5"/>
  <c r="CQ31" i="5" s="1"/>
  <c r="CN25" i="5"/>
  <c r="CZ109" i="9" s="1"/>
  <c r="BK39" i="9"/>
  <c r="BK115" i="9" s="1"/>
  <c r="AY7" i="10"/>
  <c r="BK37" i="9"/>
  <c r="BN36" i="9"/>
  <c r="BN112" i="9" s="1"/>
  <c r="BO36" i="9"/>
  <c r="BO112" i="9" s="1"/>
  <c r="BV17" i="9"/>
  <c r="BV93" i="9" s="1"/>
  <c r="AZ6" i="10"/>
  <c r="BC14" i="4"/>
  <c r="BC8" i="4" s="1"/>
  <c r="BC7" i="4" s="1"/>
  <c r="BC26" i="4" s="1"/>
  <c r="BD21" i="5"/>
  <c r="AR21" i="5" s="1"/>
  <c r="BC25" i="5"/>
  <c r="BO33" i="9" s="1"/>
  <c r="BO109" i="9" s="1"/>
  <c r="BK47" i="9"/>
  <c r="BK123" i="9" s="1"/>
  <c r="BI17" i="9"/>
  <c r="BI93" i="9" s="1"/>
  <c r="CZ33" i="9" l="1"/>
  <c r="CZ108" i="9"/>
  <c r="CQ42" i="5"/>
  <c r="CQ25" i="5"/>
  <c r="CE31" i="5"/>
  <c r="BL39" i="9"/>
  <c r="BL115" i="9" s="1"/>
  <c r="AZ7" i="10"/>
  <c r="BL37" i="9"/>
  <c r="BF23" i="5"/>
  <c r="BK35" i="9"/>
  <c r="BK111" i="9" s="1"/>
  <c r="BK113" i="9"/>
  <c r="AR11" i="11"/>
  <c r="AR294" i="2"/>
  <c r="BA6" i="10"/>
  <c r="AR26" i="5"/>
  <c r="BD39" i="5"/>
  <c r="BD41" i="5" s="1"/>
  <c r="BD42" i="5" s="1"/>
  <c r="BD14" i="4"/>
  <c r="BD8" i="4" s="1"/>
  <c r="BD7" i="4" s="1"/>
  <c r="BD26" i="4" s="1"/>
  <c r="AR23" i="5"/>
  <c r="AR6" i="5"/>
  <c r="AR22" i="5"/>
  <c r="AR27" i="5"/>
  <c r="AS33" i="4"/>
  <c r="BL47" i="9"/>
  <c r="BL123" i="9" s="1"/>
  <c r="BJ17" i="9"/>
  <c r="BJ93" i="9" s="1"/>
  <c r="CE25" i="5" l="1"/>
  <c r="DC109" i="9"/>
  <c r="CZ32" i="9"/>
  <c r="BM39" i="9"/>
  <c r="BM115" i="9" s="1"/>
  <c r="BA7" i="10"/>
  <c r="BG24" i="5"/>
  <c r="BG22" i="3"/>
  <c r="BL35" i="9"/>
  <c r="BL111" i="9" s="1"/>
  <c r="BL113" i="9"/>
  <c r="BX17" i="9"/>
  <c r="BX93" i="9" s="1"/>
  <c r="BE21" i="10"/>
  <c r="BE9" i="10"/>
  <c r="BF25" i="5"/>
  <c r="BR33" i="9" s="1"/>
  <c r="BR109" i="9" s="1"/>
  <c r="BF21" i="5"/>
  <c r="BH23" i="5"/>
  <c r="BB6" i="10"/>
  <c r="BE14" i="4"/>
  <c r="BE8" i="4" s="1"/>
  <c r="BE7" i="4" s="1"/>
  <c r="BE26" i="4" s="1"/>
  <c r="AR31" i="5"/>
  <c r="BD25" i="5"/>
  <c r="AR19" i="10"/>
  <c r="AS17" i="4"/>
  <c r="BM47" i="9"/>
  <c r="BM123" i="9" s="1"/>
  <c r="BK17" i="9"/>
  <c r="BK93" i="9" s="1"/>
  <c r="DC33" i="9" l="1"/>
  <c r="DC108" i="9"/>
  <c r="CQ108" i="9" s="1"/>
  <c r="CQ109" i="9"/>
  <c r="BN39" i="9"/>
  <c r="BN115" i="9" s="1"/>
  <c r="BB7" i="10"/>
  <c r="BR36" i="9"/>
  <c r="BR112" i="9" s="1"/>
  <c r="BH24" i="5"/>
  <c r="BH22" i="3"/>
  <c r="BH14" i="4"/>
  <c r="BM37" i="9"/>
  <c r="BM113" i="9" s="1"/>
  <c r="BN37" i="9"/>
  <c r="BD34" i="5"/>
  <c r="BE294" i="2"/>
  <c r="BG25" i="5"/>
  <c r="BS33" i="9" s="1"/>
  <c r="BS109" i="9" s="1"/>
  <c r="AR32" i="11"/>
  <c r="BC6" i="10"/>
  <c r="AR25" i="5"/>
  <c r="BP33" i="9"/>
  <c r="BP109" i="9" s="1"/>
  <c r="BN47" i="9"/>
  <c r="BN123" i="9" s="1"/>
  <c r="BL17" i="9"/>
  <c r="BL93" i="9" s="1"/>
  <c r="DC32" i="9" l="1"/>
  <c r="CQ32" i="9" s="1"/>
  <c r="CQ33" i="9"/>
  <c r="BO39" i="9"/>
  <c r="BO115" i="9" s="1"/>
  <c r="BC7" i="10"/>
  <c r="BS36" i="9"/>
  <c r="BS112" i="9" s="1"/>
  <c r="BH47" i="4"/>
  <c r="BI24" i="5"/>
  <c r="BI22" i="3"/>
  <c r="BI14" i="4"/>
  <c r="BO37" i="9"/>
  <c r="BN35" i="9"/>
  <c r="BN111" i="9" s="1"/>
  <c r="BN113" i="9"/>
  <c r="BZ17" i="9"/>
  <c r="BZ93" i="9" s="1"/>
  <c r="BE25" i="10"/>
  <c r="BH21" i="5"/>
  <c r="BJ23" i="5"/>
  <c r="AR14" i="10"/>
  <c r="BD6" i="10"/>
  <c r="AR6" i="10" s="1"/>
  <c r="BD33" i="9"/>
  <c r="BO47" i="9"/>
  <c r="BO123" i="9" s="1"/>
  <c r="BM17" i="9"/>
  <c r="BM93" i="9" s="1"/>
  <c r="E26" i="28" l="1"/>
  <c r="E25" i="28"/>
  <c r="F28" i="24"/>
  <c r="BR115" i="9"/>
  <c r="BP39" i="9"/>
  <c r="BP115" i="9" s="1"/>
  <c r="BD7" i="10"/>
  <c r="BT36" i="9"/>
  <c r="BT112" i="9" s="1"/>
  <c r="BD109" i="9"/>
  <c r="BJ14" i="4"/>
  <c r="BI47" i="4"/>
  <c r="BJ24" i="5"/>
  <c r="BJ22" i="3"/>
  <c r="BO35" i="9"/>
  <c r="BO111" i="9" s="1"/>
  <c r="BO113" i="9"/>
  <c r="AR25" i="11"/>
  <c r="AR49" i="11" s="1"/>
  <c r="BG6" i="10"/>
  <c r="BS39" i="9" s="1"/>
  <c r="BI25" i="5"/>
  <c r="BU33" i="9" s="1"/>
  <c r="BU109" i="9" s="1"/>
  <c r="AR7" i="10"/>
  <c r="BA5" i="4"/>
  <c r="BP47" i="9"/>
  <c r="BP123" i="9" s="1"/>
  <c r="AR43" i="10"/>
  <c r="BN17" i="9"/>
  <c r="BN93" i="9" s="1"/>
  <c r="BD39" i="9" l="1"/>
  <c r="BG7" i="10"/>
  <c r="BS115" i="9" s="1"/>
  <c r="BH25" i="5"/>
  <c r="BT33" i="9" s="1"/>
  <c r="BT109" i="9" s="1"/>
  <c r="BP37" i="9"/>
  <c r="BP113" i="9" s="1"/>
  <c r="BD115" i="9"/>
  <c r="BK24" i="5"/>
  <c r="BK22" i="3"/>
  <c r="BJ47" i="4"/>
  <c r="BK14" i="4"/>
  <c r="AZ33" i="10"/>
  <c r="AZ49" i="10"/>
  <c r="AZ47" i="10"/>
  <c r="AZ42" i="10"/>
  <c r="AZ31" i="10"/>
  <c r="BS47" i="9"/>
  <c r="BS123" i="9" s="1"/>
  <c r="CB17" i="9"/>
  <c r="CB93" i="9" s="1"/>
  <c r="BH6" i="10"/>
  <c r="BT39" i="9" s="1"/>
  <c r="BJ25" i="5"/>
  <c r="BV33" i="9" s="1"/>
  <c r="BV109" i="9" s="1"/>
  <c r="BJ21" i="5"/>
  <c r="BL23" i="5"/>
  <c r="BD47" i="9"/>
  <c r="BO17" i="9"/>
  <c r="BO93" i="9" s="1"/>
  <c r="BH7" i="10" l="1"/>
  <c r="BT115" i="9" s="1"/>
  <c r="BD37" i="9"/>
  <c r="BU36" i="9"/>
  <c r="BU112" i="9" s="1"/>
  <c r="BV36" i="9"/>
  <c r="BV112" i="9" s="1"/>
  <c r="BR37" i="9"/>
  <c r="BR113" i="9" s="1"/>
  <c r="BK25" i="5"/>
  <c r="BW33" i="9" s="1"/>
  <c r="BW109" i="9" s="1"/>
  <c r="BD123" i="9"/>
  <c r="BK47" i="4"/>
  <c r="BL24" i="5"/>
  <c r="BL22" i="3"/>
  <c r="BL14" i="4"/>
  <c r="BT47" i="9"/>
  <c r="BT123" i="9" s="1"/>
  <c r="BI6" i="10"/>
  <c r="BU39" i="9" s="1"/>
  <c r="AS6" i="4"/>
  <c r="BG7" i="4"/>
  <c r="BP17" i="9"/>
  <c r="BP93" i="9" s="1"/>
  <c r="BD113" i="9" l="1"/>
  <c r="BI7" i="10"/>
  <c r="BU115" i="9" s="1"/>
  <c r="BG5" i="4"/>
  <c r="BW36" i="9"/>
  <c r="BW112" i="9" s="1"/>
  <c r="BR35" i="9"/>
  <c r="BR111" i="9" s="1"/>
  <c r="BS37" i="9"/>
  <c r="BS113" i="9" s="1"/>
  <c r="BL47" i="4"/>
  <c r="BM24" i="5"/>
  <c r="BM22" i="3"/>
  <c r="BM14" i="4"/>
  <c r="BU47" i="9"/>
  <c r="BU123" i="9" s="1"/>
  <c r="BJ6" i="10"/>
  <c r="BH8" i="4"/>
  <c r="BH7" i="4" s="1"/>
  <c r="BH26" i="4" s="1"/>
  <c r="BN23" i="5"/>
  <c r="BL25" i="5"/>
  <c r="BX33" i="9" s="1"/>
  <c r="BX109" i="9" s="1"/>
  <c r="BL21" i="5"/>
  <c r="AS18" i="4"/>
  <c r="BD17" i="9"/>
  <c r="BF42" i="10" l="1"/>
  <c r="BF45" i="10"/>
  <c r="BF27" i="10"/>
  <c r="BF33" i="10"/>
  <c r="BF49" i="10"/>
  <c r="BF31" i="10"/>
  <c r="BF37" i="10"/>
  <c r="BJ7" i="10"/>
  <c r="BV39" i="9"/>
  <c r="BS35" i="9"/>
  <c r="BS111" i="9" s="1"/>
  <c r="BX36" i="9"/>
  <c r="BX112" i="9" s="1"/>
  <c r="BT37" i="9"/>
  <c r="BT113" i="9" s="1"/>
  <c r="BD93" i="9"/>
  <c r="BN24" i="5"/>
  <c r="BN22" i="3"/>
  <c r="BM47" i="4"/>
  <c r="BN14" i="4"/>
  <c r="BV47" i="9"/>
  <c r="BV123" i="9" s="1"/>
  <c r="BK6" i="10"/>
  <c r="BW39" i="9" s="1"/>
  <c r="BI8" i="4"/>
  <c r="BI7" i="4" s="1"/>
  <c r="BI26" i="4" s="1"/>
  <c r="BM25" i="5"/>
  <c r="BY33" i="9" s="1"/>
  <c r="BY109" i="9" s="1"/>
  <c r="BV115" i="9" l="1"/>
  <c r="BK7" i="10"/>
  <c r="BW115" i="9" s="1"/>
  <c r="BY36" i="9"/>
  <c r="BY112" i="9" s="1"/>
  <c r="BT35" i="9"/>
  <c r="BT111" i="9" s="1"/>
  <c r="BN47" i="4"/>
  <c r="BO24" i="5"/>
  <c r="BO22" i="3"/>
  <c r="BO14" i="4"/>
  <c r="BW47" i="9"/>
  <c r="BW123" i="9" s="1"/>
  <c r="BX39" i="9"/>
  <c r="BJ8" i="4"/>
  <c r="BJ7" i="4" s="1"/>
  <c r="BJ26" i="4" s="1"/>
  <c r="BP23" i="5"/>
  <c r="BN21" i="5"/>
  <c r="BL7" i="10" l="1"/>
  <c r="BX115" i="9" s="1"/>
  <c r="BU37" i="9"/>
  <c r="BU113" i="9" s="1"/>
  <c r="BZ36" i="9"/>
  <c r="BZ112" i="9" s="1"/>
  <c r="BO47" i="4"/>
  <c r="BP14" i="4"/>
  <c r="BP24" i="5"/>
  <c r="BP22" i="3"/>
  <c r="BX47" i="9"/>
  <c r="BX123" i="9" s="1"/>
  <c r="BN25" i="5"/>
  <c r="BZ33" i="9" s="1"/>
  <c r="BZ109" i="9" s="1"/>
  <c r="BM6" i="10"/>
  <c r="BY39" i="9" s="1"/>
  <c r="BK8" i="4"/>
  <c r="BK7" i="4" s="1"/>
  <c r="BK26" i="4" s="1"/>
  <c r="BI5" i="4"/>
  <c r="BO25" i="5"/>
  <c r="CA33" i="9" s="1"/>
  <c r="CA109" i="9" s="1"/>
  <c r="BH42" i="10" l="1"/>
  <c r="BH45" i="10"/>
  <c r="BH33" i="10"/>
  <c r="BH49" i="10"/>
  <c r="BH31" i="10"/>
  <c r="BH27" i="10"/>
  <c r="BH37" i="10"/>
  <c r="BM7" i="10"/>
  <c r="BY115" i="9" s="1"/>
  <c r="BV37" i="9"/>
  <c r="BV113" i="9" s="1"/>
  <c r="CA36" i="9"/>
  <c r="CA112" i="9" s="1"/>
  <c r="BU35" i="9"/>
  <c r="BU111" i="9" s="1"/>
  <c r="BQ14" i="4"/>
  <c r="BE129" i="2"/>
  <c r="BQ24" i="5"/>
  <c r="BE24" i="5" s="1"/>
  <c r="BQ22" i="3"/>
  <c r="BE22" i="3" s="1"/>
  <c r="BP47" i="4"/>
  <c r="BE19" i="10"/>
  <c r="BF33" i="4"/>
  <c r="BY47" i="9"/>
  <c r="BY123" i="9" s="1"/>
  <c r="BN6" i="10"/>
  <c r="BZ39" i="9" s="1"/>
  <c r="BL8" i="4"/>
  <c r="BL7" i="4" s="1"/>
  <c r="BL26" i="4" s="1"/>
  <c r="BE27" i="5"/>
  <c r="BP25" i="5"/>
  <c r="CB33" i="9" s="1"/>
  <c r="CB109" i="9" s="1"/>
  <c r="BP21" i="5"/>
  <c r="BE6" i="5"/>
  <c r="BW37" i="9" l="1"/>
  <c r="BW113" i="9" s="1"/>
  <c r="BN7" i="10"/>
  <c r="BZ115" i="9" s="1"/>
  <c r="BE11" i="11"/>
  <c r="BX37" i="9"/>
  <c r="BX113" i="9" s="1"/>
  <c r="BV35" i="9"/>
  <c r="BV111" i="9" s="1"/>
  <c r="BR14" i="4"/>
  <c r="BF15" i="4"/>
  <c r="BQ47" i="4"/>
  <c r="BZ47" i="9"/>
  <c r="BZ123" i="9" s="1"/>
  <c r="BE26" i="5"/>
  <c r="BO6" i="10"/>
  <c r="CA39" i="9" s="1"/>
  <c r="BM8" i="4"/>
  <c r="BM7" i="4" s="1"/>
  <c r="BM26" i="4" s="1"/>
  <c r="BK5" i="4"/>
  <c r="BF17" i="4"/>
  <c r="BW35" i="9" l="1"/>
  <c r="BW111" i="9" s="1"/>
  <c r="BJ45" i="10"/>
  <c r="BJ49" i="10"/>
  <c r="BJ31" i="10"/>
  <c r="BJ42" i="10"/>
  <c r="BJ27" i="10"/>
  <c r="BJ33" i="10"/>
  <c r="BJ37" i="10"/>
  <c r="CB36" i="9"/>
  <c r="CB112" i="9" s="1"/>
  <c r="BO7" i="10"/>
  <c r="CA115" i="9" s="1"/>
  <c r="BX35" i="9"/>
  <c r="BX111" i="9" s="1"/>
  <c r="BY37" i="9"/>
  <c r="BY113" i="9" s="1"/>
  <c r="BR47" i="4"/>
  <c r="BF14" i="4"/>
  <c r="CA47" i="9"/>
  <c r="CA123" i="9" s="1"/>
  <c r="BP6" i="10"/>
  <c r="CB39" i="9" s="1"/>
  <c r="BN8" i="4"/>
  <c r="BN7" i="4" s="1"/>
  <c r="AM19" i="10"/>
  <c r="CC36" i="9" l="1"/>
  <c r="CC112" i="9" s="1"/>
  <c r="BY23" i="9"/>
  <c r="BY99" i="9" s="1"/>
  <c r="BN26" i="4"/>
  <c r="BP7" i="10"/>
  <c r="CB115" i="9" s="1"/>
  <c r="BY35" i="9"/>
  <c r="BY111" i="9" s="1"/>
  <c r="BZ37" i="9"/>
  <c r="BZ113" i="9" s="1"/>
  <c r="BQ25" i="5"/>
  <c r="BE25" i="5" s="1"/>
  <c r="BE31" i="5"/>
  <c r="BF47" i="4"/>
  <c r="CB47" i="9"/>
  <c r="CB123" i="9" s="1"/>
  <c r="BE14" i="10"/>
  <c r="BE6" i="10" s="1"/>
  <c r="BE7" i="10" s="1"/>
  <c r="BO8" i="4"/>
  <c r="BO7" i="4" s="1"/>
  <c r="BO26" i="4" s="1"/>
  <c r="BM5" i="4"/>
  <c r="BQ36" i="9" l="1"/>
  <c r="BL49" i="10"/>
  <c r="BL31" i="10"/>
  <c r="BL27" i="10"/>
  <c r="BL33" i="10"/>
  <c r="BL45" i="10"/>
  <c r="BL42" i="10"/>
  <c r="BL37" i="10"/>
  <c r="BQ7" i="10"/>
  <c r="CC39" i="9"/>
  <c r="BQ39" i="9" s="1"/>
  <c r="DJ39" i="9" s="1"/>
  <c r="BZ35" i="9"/>
  <c r="BZ111" i="9" s="1"/>
  <c r="CC33" i="9"/>
  <c r="CC109" i="9" s="1"/>
  <c r="CA37" i="9"/>
  <c r="CA113" i="9" s="1"/>
  <c r="CC47" i="9"/>
  <c r="CC123" i="9" s="1"/>
  <c r="BE43" i="10"/>
  <c r="BP8" i="4"/>
  <c r="BP7" i="4" s="1"/>
  <c r="BP26" i="4" s="1"/>
  <c r="AG15" i="4"/>
  <c r="AH16" i="4"/>
  <c r="DK36" i="9" l="1"/>
  <c r="BQ112" i="9"/>
  <c r="DH112" i="9" s="1"/>
  <c r="DG39" i="9"/>
  <c r="DK39" i="9"/>
  <c r="DH36" i="9"/>
  <c r="BQ115" i="9"/>
  <c r="DH115" i="9" s="1"/>
  <c r="DH39" i="9"/>
  <c r="CC115" i="9"/>
  <c r="BQ33" i="9"/>
  <c r="DJ33" i="9" s="1"/>
  <c r="CA35" i="9"/>
  <c r="CA111" i="9" s="1"/>
  <c r="CB37" i="9"/>
  <c r="CB113" i="9" s="1"/>
  <c r="BE25" i="11"/>
  <c r="BE49" i="11" s="1"/>
  <c r="BQ47" i="9"/>
  <c r="BQ8" i="4"/>
  <c r="BQ7" i="4" s="1"/>
  <c r="BO5" i="4"/>
  <c r="AH15" i="4"/>
  <c r="AI16" i="4"/>
  <c r="AN7" i="4"/>
  <c r="AN52" i="4" s="1"/>
  <c r="AM7" i="4"/>
  <c r="DK47" i="9" l="1"/>
  <c r="DJ47" i="9"/>
  <c r="DH47" i="9"/>
  <c r="DG47" i="9"/>
  <c r="DG33" i="9"/>
  <c r="BN49" i="10"/>
  <c r="BN31" i="10"/>
  <c r="BN27" i="10"/>
  <c r="BN33" i="10"/>
  <c r="BN45" i="10"/>
  <c r="BN42" i="10"/>
  <c r="BN37" i="10"/>
  <c r="CB23" i="9"/>
  <c r="CB99" i="9" s="1"/>
  <c r="BQ26" i="4"/>
  <c r="BQ123" i="9"/>
  <c r="DH123" i="9" s="1"/>
  <c r="BQ109" i="9"/>
  <c r="CB35" i="9"/>
  <c r="CB111" i="9" s="1"/>
  <c r="CC37" i="9"/>
  <c r="CC113" i="9" s="1"/>
  <c r="BQ5" i="4"/>
  <c r="AJ16" i="4"/>
  <c r="AI15" i="4"/>
  <c r="DG109" i="9" l="1"/>
  <c r="BP37" i="10"/>
  <c r="BP27" i="10"/>
  <c r="BP31" i="10"/>
  <c r="BP33" i="10"/>
  <c r="BP42" i="10"/>
  <c r="BP49" i="10"/>
  <c r="BP45" i="10"/>
  <c r="BR8" i="4"/>
  <c r="BR7" i="4" s="1"/>
  <c r="CC35" i="9"/>
  <c r="BQ37" i="9"/>
  <c r="BF18" i="4"/>
  <c r="AK16" i="4"/>
  <c r="AJ15" i="4"/>
  <c r="AL6" i="5"/>
  <c r="AL22" i="3" s="1"/>
  <c r="AM35" i="4"/>
  <c r="AL299" i="2"/>
  <c r="AL297" i="2"/>
  <c r="AL289" i="2"/>
  <c r="AL282" i="2"/>
  <c r="AL278" i="2"/>
  <c r="AL277" i="2"/>
  <c r="AL276" i="2"/>
  <c r="AL275" i="2"/>
  <c r="AL274" i="2"/>
  <c r="AL270" i="2"/>
  <c r="AL269" i="2"/>
  <c r="AL266" i="2"/>
  <c r="AL251" i="2"/>
  <c r="AL250" i="2"/>
  <c r="AL249" i="2"/>
  <c r="AL248" i="2"/>
  <c r="AL247" i="2"/>
  <c r="AL244" i="2"/>
  <c r="AL243" i="2"/>
  <c r="DK37" i="9" l="1"/>
  <c r="DJ37" i="9"/>
  <c r="DH37" i="9"/>
  <c r="DG37" i="9"/>
  <c r="AL254" i="2"/>
  <c r="AL255" i="2"/>
  <c r="CC23" i="9"/>
  <c r="CC99" i="9" s="1"/>
  <c r="BR26" i="4"/>
  <c r="BQ113" i="9"/>
  <c r="BQ35" i="9"/>
  <c r="CC111" i="9"/>
  <c r="BF8" i="4"/>
  <c r="AL24" i="5"/>
  <c r="AM47" i="4"/>
  <c r="AL16" i="4"/>
  <c r="AK15" i="4"/>
  <c r="AL241" i="2"/>
  <c r="AL240" i="2"/>
  <c r="AL239" i="2"/>
  <c r="AL238" i="2"/>
  <c r="AL237" i="2"/>
  <c r="AL234" i="2"/>
  <c r="AL233" i="2"/>
  <c r="AL230" i="2"/>
  <c r="DK35" i="9" l="1"/>
  <c r="D29" i="24"/>
  <c r="I29" i="24" s="1"/>
  <c r="DH35" i="9"/>
  <c r="DG113" i="9"/>
  <c r="DH113" i="9"/>
  <c r="BQ111" i="9"/>
  <c r="BF7" i="4"/>
  <c r="AM16" i="4"/>
  <c r="AL15" i="4"/>
  <c r="AL218" i="2"/>
  <c r="AL217" i="2"/>
  <c r="AL216" i="2"/>
  <c r="AL215" i="2"/>
  <c r="AL214" i="2"/>
  <c r="AL211" i="2"/>
  <c r="AY234" i="2" s="1"/>
  <c r="AL210" i="2"/>
  <c r="AL242" i="2"/>
  <c r="AL190" i="2"/>
  <c r="DH111" i="9" l="1"/>
  <c r="AN16" i="4"/>
  <c r="AM15" i="4"/>
  <c r="AM48" i="4" s="1"/>
  <c r="AN15" i="4" l="1"/>
  <c r="AF16" i="4"/>
  <c r="AK34" i="5"/>
  <c r="AF15" i="4" l="1"/>
  <c r="AK59" i="3"/>
  <c r="AK54" i="3"/>
  <c r="AK53" i="3"/>
  <c r="AK51" i="3"/>
  <c r="AK278" i="2" l="1"/>
  <c r="AK277" i="2"/>
  <c r="AK276" i="2"/>
  <c r="AK275" i="2"/>
  <c r="AK274" i="2"/>
  <c r="AK270" i="2"/>
  <c r="AK269" i="2"/>
  <c r="AK251" i="2"/>
  <c r="AK250" i="2"/>
  <c r="AK249" i="2"/>
  <c r="AK248" i="2"/>
  <c r="AK247" i="2"/>
  <c r="AK244" i="2"/>
  <c r="AK243" i="2"/>
  <c r="AK241" i="2"/>
  <c r="AK240" i="2"/>
  <c r="AK239" i="2"/>
  <c r="AK238" i="2"/>
  <c r="AK237" i="2"/>
  <c r="AK234" i="2"/>
  <c r="AK233" i="2"/>
  <c r="AK218" i="2"/>
  <c r="AK217" i="2"/>
  <c r="AK216" i="2"/>
  <c r="AK215" i="2"/>
  <c r="AK214" i="2"/>
  <c r="AK211" i="2"/>
  <c r="AX234" i="2" s="1"/>
  <c r="AK210" i="2"/>
  <c r="AZ65" i="9" l="1"/>
  <c r="AZ75" i="9" s="1"/>
  <c r="BC65" i="9"/>
  <c r="BC75" i="9" s="1"/>
  <c r="BC77" i="9" s="1"/>
  <c r="BM65" i="9"/>
  <c r="AK114" i="2"/>
  <c r="AK113" i="2"/>
  <c r="AK112" i="2"/>
  <c r="AK111" i="2"/>
  <c r="AK110" i="2"/>
  <c r="AK108" i="2"/>
  <c r="AK107" i="2"/>
  <c r="AZ77" i="9" l="1"/>
  <c r="AQ75" i="9"/>
  <c r="AQ77" i="9" s="1"/>
  <c r="AK282" i="2"/>
  <c r="AL7" i="4" l="1"/>
  <c r="AJ59" i="3" l="1"/>
  <c r="AJ54" i="3"/>
  <c r="AJ53" i="3"/>
  <c r="AJ51" i="3"/>
  <c r="AJ32" i="3"/>
  <c r="AJ278" i="2"/>
  <c r="AJ277" i="2"/>
  <c r="AJ276" i="2"/>
  <c r="AJ275" i="2"/>
  <c r="AJ274" i="2"/>
  <c r="AJ270" i="2"/>
  <c r="AJ269" i="2"/>
  <c r="AJ241" i="2"/>
  <c r="AJ240" i="2"/>
  <c r="AJ239" i="2"/>
  <c r="AJ238" i="2"/>
  <c r="AJ237" i="2"/>
  <c r="AJ234" i="2"/>
  <c r="AJ233" i="2"/>
  <c r="AJ230" i="2"/>
  <c r="AJ218" i="2"/>
  <c r="AJ217" i="2"/>
  <c r="AJ216" i="2"/>
  <c r="AJ215" i="2"/>
  <c r="AJ214" i="2"/>
  <c r="AJ211" i="2"/>
  <c r="AW234" i="2" s="1"/>
  <c r="AJ210" i="2"/>
  <c r="AJ242" i="2" l="1"/>
  <c r="AK25" i="4" l="1"/>
  <c r="AJ116" i="2" l="1"/>
  <c r="AJ125" i="2" l="1"/>
  <c r="AJ251" i="2"/>
  <c r="AJ250" i="2"/>
  <c r="AJ249" i="2"/>
  <c r="AJ248" i="2"/>
  <c r="AJ247" i="2"/>
  <c r="AJ244" i="2"/>
  <c r="AJ243" i="2"/>
  <c r="AJ114" i="2"/>
  <c r="AJ113" i="2"/>
  <c r="AJ112" i="2"/>
  <c r="AJ111" i="2"/>
  <c r="AJ110" i="2"/>
  <c r="AJ108" i="2"/>
  <c r="AJ107" i="2"/>
  <c r="AK7" i="4" l="1"/>
  <c r="AK26" i="4" l="1"/>
  <c r="AI59" i="3"/>
  <c r="AI54" i="3"/>
  <c r="AI53" i="3"/>
  <c r="AI278" i="2"/>
  <c r="AI277" i="2"/>
  <c r="AI276" i="2"/>
  <c r="AI275" i="2"/>
  <c r="AI274" i="2"/>
  <c r="AI270" i="2"/>
  <c r="AI269" i="2"/>
  <c r="AI251" i="2"/>
  <c r="AI250" i="2"/>
  <c r="AI249" i="2"/>
  <c r="AI248" i="2"/>
  <c r="AI247" i="2"/>
  <c r="AI244" i="2"/>
  <c r="AI243" i="2"/>
  <c r="AI241" i="2"/>
  <c r="AI240" i="2"/>
  <c r="AI239" i="2"/>
  <c r="AI238" i="2"/>
  <c r="AI237" i="2"/>
  <c r="AI234" i="2"/>
  <c r="AI233" i="2"/>
  <c r="AI218" i="2"/>
  <c r="AI217" i="2"/>
  <c r="AI216" i="2"/>
  <c r="AI215" i="2"/>
  <c r="AI214" i="2"/>
  <c r="AI211" i="2"/>
  <c r="AV234" i="2" s="1"/>
  <c r="AI210" i="2"/>
  <c r="AH23" i="5" l="1"/>
  <c r="AH59" i="3"/>
  <c r="AH54" i="3"/>
  <c r="AH53" i="3"/>
  <c r="E49" i="3"/>
  <c r="R49" i="3"/>
  <c r="AE49" i="3"/>
  <c r="AH278" i="2" l="1"/>
  <c r="AH277" i="2"/>
  <c r="AH276" i="2"/>
  <c r="AH275" i="2"/>
  <c r="AH274" i="2"/>
  <c r="AH270" i="2"/>
  <c r="AH269" i="2"/>
  <c r="AH251" i="2"/>
  <c r="AH250" i="2"/>
  <c r="AH249" i="2"/>
  <c r="AH248" i="2"/>
  <c r="AH247" i="2"/>
  <c r="AH244" i="2"/>
  <c r="AH243" i="2"/>
  <c r="AH241" i="2"/>
  <c r="AH240" i="2"/>
  <c r="AH239" i="2"/>
  <c r="AH238" i="2"/>
  <c r="AH237" i="2"/>
  <c r="AH234" i="2"/>
  <c r="AH233" i="2"/>
  <c r="AH230" i="2"/>
  <c r="AH218" i="2"/>
  <c r="AH217" i="2"/>
  <c r="AH216" i="2"/>
  <c r="AH215" i="2"/>
  <c r="AH214" i="2"/>
  <c r="AH211" i="2"/>
  <c r="AU234" i="2" s="1"/>
  <c r="AH210" i="2"/>
  <c r="AI114" i="2" l="1"/>
  <c r="AI113" i="2"/>
  <c r="AI112" i="2"/>
  <c r="AI111" i="2"/>
  <c r="AI110" i="2"/>
  <c r="AI108" i="2"/>
  <c r="AI107" i="2"/>
  <c r="AH114" i="2"/>
  <c r="AH113" i="2"/>
  <c r="AH112" i="2"/>
  <c r="AH111" i="2"/>
  <c r="AH110" i="2"/>
  <c r="AH108" i="2"/>
  <c r="AH107" i="2"/>
  <c r="AJ40" i="11"/>
  <c r="AJ49" i="11" s="1"/>
  <c r="AK40" i="11"/>
  <c r="AK49" i="11" s="1"/>
  <c r="AL40" i="11"/>
  <c r="AL49" i="11" s="1"/>
  <c r="AM40" i="11"/>
  <c r="AM49" i="11" s="1"/>
  <c r="AN40" i="11"/>
  <c r="AN49" i="11" s="1"/>
  <c r="AO40" i="11"/>
  <c r="AO49" i="11" s="1"/>
  <c r="AP40" i="11"/>
  <c r="AP49" i="11" s="1"/>
  <c r="AQ40" i="11"/>
  <c r="AQ49" i="11" s="1"/>
  <c r="AJ41" i="11"/>
  <c r="AK41" i="11"/>
  <c r="AL41" i="11"/>
  <c r="AM41" i="11"/>
  <c r="AN41" i="11"/>
  <c r="AO41" i="11"/>
  <c r="AP41" i="11"/>
  <c r="AQ41" i="11"/>
  <c r="AG41" i="11"/>
  <c r="AH41" i="11"/>
  <c r="AI41" i="11"/>
  <c r="AF41" i="11"/>
  <c r="AG40" i="11"/>
  <c r="AG49" i="11" s="1"/>
  <c r="AH40" i="11"/>
  <c r="AH49" i="11" s="1"/>
  <c r="AI40" i="11"/>
  <c r="AI49" i="11" s="1"/>
  <c r="AF40" i="11"/>
  <c r="AF49" i="11" s="1"/>
  <c r="AJ7" i="4" l="1"/>
  <c r="AI7" i="4"/>
  <c r="AH7" i="4"/>
  <c r="AH34" i="5"/>
  <c r="AH40" i="10"/>
  <c r="AH36" i="10"/>
  <c r="AH33" i="5"/>
  <c r="AH25" i="5"/>
  <c r="AH6" i="5"/>
  <c r="AH22" i="3" s="1"/>
  <c r="AI40" i="4"/>
  <c r="AI39" i="4"/>
  <c r="AI35" i="4"/>
  <c r="AI47" i="4" l="1"/>
  <c r="AI48" i="4"/>
  <c r="AH24" i="5"/>
  <c r="AI38" i="4"/>
  <c r="AI42" i="4" l="1"/>
  <c r="AH40" i="2" l="1"/>
  <c r="AH299" i="2"/>
  <c r="AH297" i="2"/>
  <c r="AH289" i="2"/>
  <c r="AH282" i="2"/>
  <c r="AH266" i="2"/>
  <c r="AH242" i="2"/>
  <c r="AH190" i="2"/>
  <c r="AH254" i="2" l="1"/>
  <c r="AH255" i="2"/>
  <c r="AD40" i="11"/>
  <c r="AD49" i="11" s="1"/>
  <c r="AG23" i="5" l="1"/>
  <c r="AG266" i="2"/>
  <c r="AG254" i="2" l="1"/>
  <c r="AG255" i="2"/>
  <c r="AC44" i="13"/>
  <c r="AC26" i="13"/>
  <c r="AC25" i="13"/>
  <c r="AC23" i="13"/>
  <c r="AC17" i="13"/>
  <c r="AC16" i="13"/>
  <c r="AC15" i="13"/>
  <c r="AC14" i="13"/>
  <c r="AC13" i="13"/>
  <c r="AC12" i="13"/>
  <c r="AC11" i="13"/>
  <c r="AC10" i="13"/>
  <c r="AC9" i="13"/>
  <c r="AC8" i="13"/>
  <c r="AC7" i="13"/>
  <c r="AC6" i="13"/>
  <c r="P21" i="13"/>
  <c r="P17" i="13"/>
  <c r="P8" i="13"/>
  <c r="P9" i="13"/>
  <c r="AE21" i="2"/>
  <c r="AE20" i="2"/>
  <c r="AE18" i="2"/>
  <c r="AE17" i="2"/>
  <c r="AE16" i="2"/>
  <c r="AE15" i="2"/>
  <c r="AE14" i="2"/>
  <c r="AE12" i="2"/>
  <c r="AE10" i="2"/>
  <c r="AE9" i="2"/>
  <c r="AE20" i="3"/>
  <c r="AE19" i="3"/>
  <c r="AE18" i="3"/>
  <c r="AE17" i="3"/>
  <c r="AE16" i="3"/>
  <c r="AE15" i="3"/>
  <c r="AE14" i="3"/>
  <c r="AE13" i="3"/>
  <c r="AE12" i="3"/>
  <c r="AE11" i="3"/>
  <c r="AE9" i="3"/>
  <c r="AE8" i="3"/>
  <c r="L22" i="3"/>
  <c r="M22" i="3"/>
  <c r="N22" i="3"/>
  <c r="O22" i="3"/>
  <c r="Q22" i="3"/>
  <c r="AC37" i="13" l="1"/>
  <c r="AR299" i="2"/>
  <c r="AV19" i="2"/>
  <c r="BB19" i="2"/>
  <c r="AW19" i="2"/>
  <c r="AT19" i="2"/>
  <c r="AU19" i="2"/>
  <c r="AR19" i="2"/>
  <c r="AR53" i="3"/>
  <c r="AR54" i="3"/>
  <c r="AR8" i="2"/>
  <c r="AE19" i="2"/>
  <c r="AE8" i="2"/>
  <c r="AI40" i="10"/>
  <c r="AJ40" i="10"/>
  <c r="AK40" i="10"/>
  <c r="AL40" i="10"/>
  <c r="AM40" i="10"/>
  <c r="AI36" i="10"/>
  <c r="AJ36" i="10"/>
  <c r="AK36" i="10"/>
  <c r="AL36" i="10"/>
  <c r="AM36" i="10"/>
  <c r="AI33" i="5"/>
  <c r="AJ33" i="5"/>
  <c r="AK33" i="5"/>
  <c r="AL33" i="5"/>
  <c r="AM33" i="5"/>
  <c r="AN33" i="5" s="1"/>
  <c r="AI25" i="5"/>
  <c r="AJ25" i="5"/>
  <c r="AK25" i="5"/>
  <c r="AL25" i="5"/>
  <c r="AM25" i="5"/>
  <c r="AN25" i="5"/>
  <c r="AO25" i="5"/>
  <c r="AP25" i="5"/>
  <c r="AQ25" i="5"/>
  <c r="AO47" i="4"/>
  <c r="AP47" i="4"/>
  <c r="AQ47" i="4"/>
  <c r="AR47" i="4"/>
  <c r="AJ39" i="4"/>
  <c r="AK39" i="4"/>
  <c r="AL39" i="4"/>
  <c r="AM39" i="4"/>
  <c r="AN39" i="4"/>
  <c r="AJ40" i="4"/>
  <c r="AK40" i="4"/>
  <c r="AL40" i="4"/>
  <c r="AM40" i="4"/>
  <c r="AN40" i="4"/>
  <c r="AH5" i="4"/>
  <c r="AI5" i="4"/>
  <c r="AJ5" i="4"/>
  <c r="AK5" i="4"/>
  <c r="AL5" i="4"/>
  <c r="AM5" i="4"/>
  <c r="AN5" i="4"/>
  <c r="AN51" i="4" s="1"/>
  <c r="AH25" i="4"/>
  <c r="AI25" i="4"/>
  <c r="AJ25" i="4"/>
  <c r="AL25" i="4"/>
  <c r="AM25" i="4"/>
  <c r="AN25" i="4"/>
  <c r="AH26" i="4"/>
  <c r="AI26" i="4"/>
  <c r="AJ26" i="4"/>
  <c r="AL26" i="4"/>
  <c r="AM26" i="4"/>
  <c r="AN26" i="4"/>
  <c r="AJ35" i="4"/>
  <c r="AK35" i="4"/>
  <c r="AL35" i="4"/>
  <c r="AN35" i="4"/>
  <c r="AH51" i="3"/>
  <c r="AI51" i="3"/>
  <c r="AI299" i="2"/>
  <c r="AJ299" i="2"/>
  <c r="AK299" i="2"/>
  <c r="AM299" i="2"/>
  <c r="AI289" i="2"/>
  <c r="AJ289" i="2"/>
  <c r="AK289" i="2"/>
  <c r="AM289" i="2"/>
  <c r="AI282" i="2"/>
  <c r="AJ282" i="2"/>
  <c r="AM282" i="2"/>
  <c r="AI266" i="2"/>
  <c r="AJ266" i="2"/>
  <c r="AK266" i="2"/>
  <c r="AI230" i="2"/>
  <c r="AK230" i="2"/>
  <c r="AG190" i="2"/>
  <c r="AI190" i="2"/>
  <c r="AJ190" i="2"/>
  <c r="AK190" i="2"/>
  <c r="AI40" i="2"/>
  <c r="AJ40" i="2"/>
  <c r="AJ106" i="2" s="1"/>
  <c r="AK40" i="2"/>
  <c r="AL40" i="2"/>
  <c r="AM40" i="2"/>
  <c r="AM106" i="2" s="1"/>
  <c r="AN40" i="2"/>
  <c r="AN106" i="2" s="1"/>
  <c r="AO40" i="2"/>
  <c r="AO106" i="2" s="1"/>
  <c r="AP40" i="2"/>
  <c r="AP106" i="2" s="1"/>
  <c r="AQ40" i="2"/>
  <c r="AQ106" i="2" s="1"/>
  <c r="AH19" i="2"/>
  <c r="AI19" i="2"/>
  <c r="AJ19" i="2"/>
  <c r="AK19" i="2"/>
  <c r="AL19" i="2"/>
  <c r="AG6" i="5"/>
  <c r="AG22" i="3" s="1"/>
  <c r="AI6" i="5"/>
  <c r="AI22" i="3" s="1"/>
  <c r="AJ6" i="5"/>
  <c r="AJ22" i="3" s="1"/>
  <c r="AK6" i="5"/>
  <c r="AK22" i="3" s="1"/>
  <c r="AM6" i="5"/>
  <c r="AK254" i="2" l="1"/>
  <c r="AK255" i="2"/>
  <c r="AJ254" i="2"/>
  <c r="AJ255" i="2"/>
  <c r="AI254" i="2"/>
  <c r="AI255" i="2"/>
  <c r="AK27" i="10"/>
  <c r="AH27" i="10"/>
  <c r="AM22" i="3"/>
  <c r="AM24" i="5"/>
  <c r="AZ19" i="2"/>
  <c r="AS19" i="2"/>
  <c r="BC19" i="2"/>
  <c r="AX19" i="2"/>
  <c r="BD19" i="2"/>
  <c r="BA19" i="2"/>
  <c r="AY19" i="2"/>
  <c r="AO33" i="5"/>
  <c r="AN48" i="4"/>
  <c r="AJ48" i="4"/>
  <c r="AI24" i="5"/>
  <c r="AK48" i="4"/>
  <c r="AJ24" i="5"/>
  <c r="AK47" i="4"/>
  <c r="AL48" i="4"/>
  <c r="AK24" i="5"/>
  <c r="AH48" i="4"/>
  <c r="AG24" i="5"/>
  <c r="AS22" i="3"/>
  <c r="AS8" i="2"/>
  <c r="AK242" i="2"/>
  <c r="AS24" i="2"/>
  <c r="AS25" i="2"/>
  <c r="AI242" i="2"/>
  <c r="AI27" i="10"/>
  <c r="AI45" i="10"/>
  <c r="AI37" i="10"/>
  <c r="AI49" i="10"/>
  <c r="AI42" i="10"/>
  <c r="AI33" i="10"/>
  <c r="AI31" i="10"/>
  <c r="AI47" i="10"/>
  <c r="AJ24" i="4"/>
  <c r="AM47" i="10"/>
  <c r="AM27" i="10"/>
  <c r="AM31" i="10"/>
  <c r="AM45" i="10"/>
  <c r="AM42" i="10"/>
  <c r="AM37" i="10"/>
  <c r="AM33" i="10"/>
  <c r="AM24" i="4"/>
  <c r="AL47" i="10"/>
  <c r="AL45" i="10"/>
  <c r="AK37" i="10"/>
  <c r="AK31" i="10"/>
  <c r="AK45" i="10"/>
  <c r="AK42" i="10"/>
  <c r="AK33" i="10"/>
  <c r="AK47" i="10"/>
  <c r="AK49" i="10"/>
  <c r="AN47" i="4"/>
  <c r="AN24" i="4"/>
  <c r="AL27" i="10"/>
  <c r="AL42" i="10"/>
  <c r="AL37" i="10"/>
  <c r="AL33" i="10"/>
  <c r="AL31" i="10"/>
  <c r="AN38" i="4"/>
  <c r="AL47" i="4"/>
  <c r="AM38" i="4"/>
  <c r="AL24" i="4"/>
  <c r="AL38" i="4"/>
  <c r="AJ45" i="10"/>
  <c r="AJ42" i="10"/>
  <c r="AJ37" i="10"/>
  <c r="AJ33" i="10"/>
  <c r="AJ49" i="10"/>
  <c r="AJ47" i="10"/>
  <c r="AJ31" i="10"/>
  <c r="AK24" i="4"/>
  <c r="AK38" i="4"/>
  <c r="AJ27" i="10"/>
  <c r="AJ47" i="4"/>
  <c r="AI24" i="4"/>
  <c r="AH42" i="10"/>
  <c r="AH49" i="10"/>
  <c r="AH47" i="10"/>
  <c r="AH45" i="10"/>
  <c r="AH31" i="10"/>
  <c r="AH33" i="10"/>
  <c r="AH37" i="10"/>
  <c r="AI44" i="4"/>
  <c r="AJ38" i="4"/>
  <c r="AG49" i="10"/>
  <c r="AG47" i="10"/>
  <c r="AG45" i="10"/>
  <c r="AG42" i="10"/>
  <c r="AG40" i="10"/>
  <c r="AG36" i="10"/>
  <c r="AG37" i="10" s="1"/>
  <c r="AG33" i="10"/>
  <c r="AG31" i="10"/>
  <c r="AG27" i="10"/>
  <c r="AH19" i="10"/>
  <c r="AH6" i="10" s="1"/>
  <c r="AI19" i="10"/>
  <c r="AI6" i="10" s="1"/>
  <c r="AJ19" i="10"/>
  <c r="AJ6" i="10" s="1"/>
  <c r="AK19" i="10"/>
  <c r="AK6" i="10" s="1"/>
  <c r="AL19" i="10"/>
  <c r="AL6" i="10" s="1"/>
  <c r="AM6" i="10"/>
  <c r="AG23" i="10"/>
  <c r="AH23" i="10"/>
  <c r="AI23" i="10"/>
  <c r="AJ23" i="10"/>
  <c r="AK23" i="10"/>
  <c r="AL23" i="10"/>
  <c r="AM23" i="10"/>
  <c r="AG24" i="10"/>
  <c r="AH24" i="10"/>
  <c r="AI24" i="10"/>
  <c r="AJ24" i="10"/>
  <c r="AK24" i="10"/>
  <c r="AL24" i="10"/>
  <c r="AM24" i="10"/>
  <c r="AG19" i="10"/>
  <c r="AG6" i="10" s="1"/>
  <c r="AG25" i="5"/>
  <c r="AH47" i="4"/>
  <c r="AH35" i="4"/>
  <c r="AG53" i="3"/>
  <c r="AG54" i="3"/>
  <c r="AG59" i="3"/>
  <c r="AG269" i="2"/>
  <c r="AG270" i="2"/>
  <c r="AG274" i="2"/>
  <c r="AG275" i="2"/>
  <c r="AG276" i="2"/>
  <c r="AG277" i="2"/>
  <c r="AG278" i="2"/>
  <c r="AG243" i="2"/>
  <c r="AG244" i="2"/>
  <c r="AG247" i="2"/>
  <c r="AG248" i="2"/>
  <c r="AG249" i="2"/>
  <c r="AG250" i="2"/>
  <c r="AG251" i="2"/>
  <c r="AG233" i="2"/>
  <c r="AG234" i="2"/>
  <c r="AG237" i="2"/>
  <c r="AG238" i="2"/>
  <c r="AG239" i="2"/>
  <c r="AG240" i="2"/>
  <c r="AG241" i="2"/>
  <c r="AG210" i="2"/>
  <c r="AG211" i="2"/>
  <c r="AT234" i="2" s="1"/>
  <c r="AG214" i="2"/>
  <c r="AG215" i="2"/>
  <c r="AG216" i="2"/>
  <c r="AG217" i="2"/>
  <c r="AG218" i="2"/>
  <c r="AG107" i="2"/>
  <c r="AG108" i="2"/>
  <c r="AG110" i="2"/>
  <c r="AG111" i="2"/>
  <c r="AG112" i="2"/>
  <c r="AG113" i="2"/>
  <c r="AG114" i="2"/>
  <c r="AG40" i="2"/>
  <c r="AS268" i="2" l="1"/>
  <c r="AS209" i="2"/>
  <c r="AS232" i="2"/>
  <c r="AT52" i="4"/>
  <c r="AT51" i="4"/>
  <c r="AT303" i="2"/>
  <c r="AS267" i="2"/>
  <c r="AS292" i="2"/>
  <c r="AS29" i="10"/>
  <c r="AS293" i="2"/>
  <c r="AS308" i="2"/>
  <c r="AP33" i="5"/>
  <c r="AH20" i="10"/>
  <c r="AG20" i="10"/>
  <c r="AU40" i="4"/>
  <c r="AT22" i="3"/>
  <c r="AL44" i="4"/>
  <c r="AT8" i="2"/>
  <c r="AJ42" i="4"/>
  <c r="AN44" i="4"/>
  <c r="AK44" i="4"/>
  <c r="AT24" i="2"/>
  <c r="AH24" i="4"/>
  <c r="AN42" i="4"/>
  <c r="AM20" i="10"/>
  <c r="AL20" i="10"/>
  <c r="AL42" i="4"/>
  <c r="AM44" i="4"/>
  <c r="AM42" i="4"/>
  <c r="AK20" i="10"/>
  <c r="AK42" i="4"/>
  <c r="AJ20" i="10"/>
  <c r="AJ44" i="4"/>
  <c r="AI20" i="10"/>
  <c r="AG25" i="4"/>
  <c r="AT268" i="2" l="1"/>
  <c r="AT209" i="2"/>
  <c r="AT232" i="2"/>
  <c r="AU52" i="4"/>
  <c r="AU51" i="4"/>
  <c r="AT267" i="2"/>
  <c r="AT29" i="10"/>
  <c r="AT292" i="2"/>
  <c r="AT293" i="2"/>
  <c r="AT308" i="2"/>
  <c r="AU303" i="2"/>
  <c r="AU39" i="4"/>
  <c r="AQ33" i="5"/>
  <c r="AT82" i="3"/>
  <c r="AV40" i="4"/>
  <c r="AU22" i="3"/>
  <c r="AV39" i="4"/>
  <c r="AU8" i="2"/>
  <c r="AU24" i="2"/>
  <c r="AU25" i="2"/>
  <c r="AU268" i="2" l="1"/>
  <c r="AU209" i="2"/>
  <c r="AU232" i="2"/>
  <c r="AV52" i="4"/>
  <c r="AV51" i="4"/>
  <c r="AU292" i="2"/>
  <c r="AU293" i="2"/>
  <c r="AU308" i="2"/>
  <c r="AU267" i="2"/>
  <c r="AU29" i="10"/>
  <c r="AV303" i="2"/>
  <c r="AU38" i="4"/>
  <c r="AX40" i="4"/>
  <c r="AV38" i="4"/>
  <c r="AV43" i="4" s="1"/>
  <c r="AV44" i="4" s="1"/>
  <c r="AU82" i="3"/>
  <c r="AW40" i="4"/>
  <c r="AV22" i="3"/>
  <c r="AW39" i="4"/>
  <c r="AV24" i="2"/>
  <c r="AV8" i="2"/>
  <c r="AH40" i="4"/>
  <c r="AH39" i="4"/>
  <c r="AV268" i="2" l="1"/>
  <c r="AV232" i="2"/>
  <c r="AV209" i="2"/>
  <c r="AW52" i="4"/>
  <c r="AW51" i="4"/>
  <c r="AV292" i="2"/>
  <c r="AV293" i="2"/>
  <c r="AV308" i="2"/>
  <c r="AV29" i="10"/>
  <c r="AV267" i="2"/>
  <c r="AW303" i="2"/>
  <c r="AU42" i="4"/>
  <c r="AU43" i="4"/>
  <c r="AU44" i="4" s="1"/>
  <c r="AV42" i="4"/>
  <c r="AW38" i="4"/>
  <c r="AW43" i="4" s="1"/>
  <c r="AW44" i="4" s="1"/>
  <c r="AW82" i="3"/>
  <c r="AY40" i="4"/>
  <c r="AW22" i="3"/>
  <c r="AV82" i="3"/>
  <c r="AW25" i="2"/>
  <c r="AW24" i="2"/>
  <c r="AX39" i="4"/>
  <c r="AW8" i="2"/>
  <c r="AH38" i="4"/>
  <c r="AW268" i="2" l="1"/>
  <c r="AW232" i="2"/>
  <c r="AW209" i="2"/>
  <c r="AX52" i="4"/>
  <c r="AX51" i="4"/>
  <c r="AW293" i="2"/>
  <c r="AW308" i="2"/>
  <c r="AW292" i="2"/>
  <c r="AW267" i="2"/>
  <c r="AW29" i="10"/>
  <c r="AX303" i="2"/>
  <c r="AX38" i="4"/>
  <c r="AX43" i="4" s="1"/>
  <c r="AX44" i="4" s="1"/>
  <c r="AW42" i="4"/>
  <c r="BE34" i="9"/>
  <c r="BE110" i="9" s="1"/>
  <c r="BF34" i="9"/>
  <c r="BF110" i="9" s="1"/>
  <c r="AZ40" i="4"/>
  <c r="AX82" i="3"/>
  <c r="AX22" i="3"/>
  <c r="AX25" i="2"/>
  <c r="AX24" i="2"/>
  <c r="AH44" i="4"/>
  <c r="AY39" i="4"/>
  <c r="AX8" i="2"/>
  <c r="AH42" i="4"/>
  <c r="AX268" i="2" l="1"/>
  <c r="AX232" i="2"/>
  <c r="AX209" i="2"/>
  <c r="AY52" i="4"/>
  <c r="AY51" i="4"/>
  <c r="AX42" i="4"/>
  <c r="AX308" i="2"/>
  <c r="AX267" i="2"/>
  <c r="AX29" i="10"/>
  <c r="AX292" i="2"/>
  <c r="AX293" i="2"/>
  <c r="AY303" i="2"/>
  <c r="AY38" i="4"/>
  <c r="AY43" i="4" s="1"/>
  <c r="AY44" i="4" s="1"/>
  <c r="BG34" i="9"/>
  <c r="BG110" i="9" s="1"/>
  <c r="BF32" i="9"/>
  <c r="BF108" i="9" s="1"/>
  <c r="BE32" i="9"/>
  <c r="BE108" i="9" s="1"/>
  <c r="AY22" i="3"/>
  <c r="AY8" i="2"/>
  <c r="AY25" i="2"/>
  <c r="AY24" i="2"/>
  <c r="AZ39" i="4"/>
  <c r="AG19" i="2"/>
  <c r="AY268" i="2" l="1"/>
  <c r="AY232" i="2"/>
  <c r="AY209" i="2"/>
  <c r="AZ52" i="4"/>
  <c r="AZ51" i="4"/>
  <c r="AZ303" i="2"/>
  <c r="AY267" i="2"/>
  <c r="AY29" i="10"/>
  <c r="AY292" i="2"/>
  <c r="AY293" i="2"/>
  <c r="AY308" i="2"/>
  <c r="AY42" i="4"/>
  <c r="AZ38" i="4"/>
  <c r="AZ43" i="4" s="1"/>
  <c r="AZ44" i="4" s="1"/>
  <c r="BG32" i="9"/>
  <c r="BG108" i="9" s="1"/>
  <c r="BF26" i="9"/>
  <c r="BF102" i="9" s="1"/>
  <c r="AZ22" i="3"/>
  <c r="AY82" i="3"/>
  <c r="AZ25" i="2"/>
  <c r="AZ24" i="2"/>
  <c r="AZ8" i="2"/>
  <c r="AF251" i="2"/>
  <c r="AF250" i="2"/>
  <c r="AF249" i="2"/>
  <c r="AF248" i="2"/>
  <c r="AF247" i="2"/>
  <c r="AF244" i="2"/>
  <c r="AF243" i="2"/>
  <c r="AF241" i="2"/>
  <c r="AF240" i="2"/>
  <c r="AF239" i="2"/>
  <c r="AF238" i="2"/>
  <c r="AF237" i="2"/>
  <c r="AF234" i="2"/>
  <c r="AF233" i="2"/>
  <c r="AF230" i="2"/>
  <c r="AF218" i="2"/>
  <c r="AF217" i="2"/>
  <c r="AF216" i="2"/>
  <c r="AF215" i="2"/>
  <c r="AF214" i="2"/>
  <c r="AF211" i="2"/>
  <c r="AF210" i="2"/>
  <c r="AF190" i="2"/>
  <c r="AD190" i="2"/>
  <c r="AF59" i="3"/>
  <c r="AF54" i="3"/>
  <c r="AF53" i="3"/>
  <c r="AF51" i="3"/>
  <c r="AF278" i="2"/>
  <c r="AF277" i="2"/>
  <c r="AF276" i="2"/>
  <c r="AF275" i="2"/>
  <c r="AF274" i="2"/>
  <c r="AF270" i="2"/>
  <c r="AF269" i="2"/>
  <c r="AF266" i="2"/>
  <c r="AZ268" i="2" l="1"/>
  <c r="AZ232" i="2"/>
  <c r="AZ209" i="2"/>
  <c r="AF254" i="2"/>
  <c r="AF255" i="2"/>
  <c r="BA303" i="2"/>
  <c r="BA52" i="4"/>
  <c r="BA51" i="4"/>
  <c r="AZ267" i="2"/>
  <c r="AZ308" i="2"/>
  <c r="AZ42" i="4"/>
  <c r="AS239" i="2"/>
  <c r="AS238" i="2"/>
  <c r="AS241" i="2"/>
  <c r="AF242" i="2"/>
  <c r="AT233" i="2"/>
  <c r="AS237" i="2"/>
  <c r="AS240" i="2"/>
  <c r="AS233" i="2"/>
  <c r="AS234" i="2"/>
  <c r="BH34" i="9"/>
  <c r="BH110" i="9" s="1"/>
  <c r="BI34" i="9"/>
  <c r="BI110" i="9" s="1"/>
  <c r="BG26" i="9"/>
  <c r="BG102" i="9" s="1"/>
  <c r="BA22" i="3"/>
  <c r="BA8" i="2"/>
  <c r="BA25" i="2"/>
  <c r="BA24" i="2"/>
  <c r="BA268" i="2" l="1"/>
  <c r="BA232" i="2"/>
  <c r="BA209" i="2"/>
  <c r="BB52" i="4"/>
  <c r="BB303" i="2"/>
  <c r="BA308" i="2"/>
  <c r="BA293" i="2"/>
  <c r="AS231" i="2"/>
  <c r="BE15" i="9"/>
  <c r="AT240" i="2"/>
  <c r="AT237" i="2"/>
  <c r="AT238" i="2"/>
  <c r="AU233" i="2"/>
  <c r="AT241" i="2"/>
  <c r="AT239" i="2"/>
  <c r="BI32" i="9"/>
  <c r="BI108" i="9" s="1"/>
  <c r="BJ34" i="9"/>
  <c r="BJ110" i="9" s="1"/>
  <c r="BH32" i="9"/>
  <c r="BH108" i="9" s="1"/>
  <c r="BH26" i="9"/>
  <c r="BH102" i="9" s="1"/>
  <c r="BB22" i="3"/>
  <c r="BB24" i="2"/>
  <c r="BB25" i="2"/>
  <c r="BB8" i="2"/>
  <c r="AF19" i="10"/>
  <c r="AF40" i="10"/>
  <c r="BB268" i="2" l="1"/>
  <c r="BB232" i="2"/>
  <c r="BB209" i="2"/>
  <c r="BC52" i="4"/>
  <c r="BC303" i="2"/>
  <c r="BB308" i="2"/>
  <c r="BB293" i="2"/>
  <c r="AT231" i="2"/>
  <c r="BE91" i="9"/>
  <c r="AV233" i="2"/>
  <c r="AU239" i="2"/>
  <c r="AU237" i="2"/>
  <c r="AU241" i="2"/>
  <c r="AU238" i="2"/>
  <c r="AU240" i="2"/>
  <c r="BJ32" i="9"/>
  <c r="BJ108" i="9" s="1"/>
  <c r="BI26" i="9"/>
  <c r="BI102" i="9" s="1"/>
  <c r="BD22" i="3"/>
  <c r="BC22" i="3"/>
  <c r="BC8" i="2"/>
  <c r="BC24" i="2"/>
  <c r="BC25" i="2"/>
  <c r="AF6" i="5"/>
  <c r="BC268" i="2" l="1"/>
  <c r="BC209" i="2"/>
  <c r="BC232" i="2"/>
  <c r="BD52" i="4"/>
  <c r="BC308" i="2"/>
  <c r="BD303" i="2"/>
  <c r="BC293" i="2"/>
  <c r="AU231" i="2"/>
  <c r="AV239" i="2"/>
  <c r="AW233" i="2"/>
  <c r="BF15" i="9"/>
  <c r="AV238" i="2"/>
  <c r="AV237" i="2"/>
  <c r="AV241" i="2"/>
  <c r="AV240" i="2"/>
  <c r="AR197" i="2"/>
  <c r="BK34" i="9"/>
  <c r="BK110" i="9" s="1"/>
  <c r="AG48" i="4"/>
  <c r="AF22" i="3"/>
  <c r="AE22" i="3" s="1"/>
  <c r="AG47" i="4"/>
  <c r="BJ26" i="9"/>
  <c r="BJ102" i="9" s="1"/>
  <c r="AR22" i="3"/>
  <c r="BD25" i="2"/>
  <c r="BD24" i="2"/>
  <c r="BD8" i="2"/>
  <c r="AF299" i="2"/>
  <c r="AD107" i="2"/>
  <c r="AF114" i="2"/>
  <c r="AF113" i="2"/>
  <c r="AF112" i="2"/>
  <c r="AF111" i="2"/>
  <c r="AF110" i="2"/>
  <c r="AF108" i="2"/>
  <c r="AF107" i="2"/>
  <c r="AF40" i="2"/>
  <c r="BD268" i="2" l="1"/>
  <c r="BD209" i="2"/>
  <c r="BD232" i="2"/>
  <c r="BE52" i="4"/>
  <c r="AS52" i="4" s="1"/>
  <c r="BD308" i="2"/>
  <c r="AR210" i="2"/>
  <c r="BD293" i="2"/>
  <c r="BF91" i="9"/>
  <c r="AV231" i="2"/>
  <c r="AW238" i="2"/>
  <c r="AW241" i="2"/>
  <c r="AW240" i="2"/>
  <c r="AW237" i="2"/>
  <c r="AX233" i="2"/>
  <c r="BG15" i="9"/>
  <c r="AW239" i="2"/>
  <c r="AR222" i="2"/>
  <c r="AR198" i="2"/>
  <c r="BK32" i="9"/>
  <c r="BK108" i="9" s="1"/>
  <c r="BK26" i="9"/>
  <c r="BK102" i="9" s="1"/>
  <c r="AR42" i="3"/>
  <c r="AR24" i="2"/>
  <c r="AD23" i="5"/>
  <c r="AD53" i="3"/>
  <c r="AD54" i="3"/>
  <c r="AD59" i="3"/>
  <c r="AD51" i="3"/>
  <c r="AD269" i="2"/>
  <c r="AD270" i="2"/>
  <c r="AD274" i="2"/>
  <c r="AD275" i="2"/>
  <c r="AD276" i="2"/>
  <c r="AD277" i="2"/>
  <c r="AD278" i="2"/>
  <c r="AD266" i="2"/>
  <c r="AD255" i="2" s="1"/>
  <c r="AD242" i="2"/>
  <c r="AD243" i="2"/>
  <c r="AD244" i="2"/>
  <c r="AD247" i="2"/>
  <c r="AD248" i="2"/>
  <c r="AD249" i="2"/>
  <c r="AD250" i="2"/>
  <c r="AD251" i="2"/>
  <c r="AD233" i="2"/>
  <c r="AD234" i="2"/>
  <c r="AD237" i="2"/>
  <c r="AD238" i="2"/>
  <c r="AD239" i="2"/>
  <c r="AD240" i="2"/>
  <c r="AD241" i="2"/>
  <c r="AD230" i="2"/>
  <c r="AD210" i="2"/>
  <c r="AD211" i="2"/>
  <c r="AD214" i="2"/>
  <c r="AD215" i="2"/>
  <c r="AD216" i="2"/>
  <c r="AD217" i="2"/>
  <c r="AD218" i="2"/>
  <c r="AR211" i="2" l="1"/>
  <c r="BG91" i="9"/>
  <c r="AW231" i="2"/>
  <c r="BH15" i="9"/>
  <c r="AX241" i="2"/>
  <c r="AY233" i="2"/>
  <c r="AX237" i="2"/>
  <c r="AX238" i="2"/>
  <c r="AX240" i="2"/>
  <c r="AX239" i="2"/>
  <c r="AR244" i="2"/>
  <c r="AR234" i="2"/>
  <c r="BL26" i="9"/>
  <c r="BL102" i="9" s="1"/>
  <c r="AP113" i="9"/>
  <c r="AP112" i="9"/>
  <c r="BH91" i="9" l="1"/>
  <c r="AP111" i="9"/>
  <c r="AX231" i="2"/>
  <c r="AY238" i="2"/>
  <c r="AY241" i="2"/>
  <c r="AY239" i="2"/>
  <c r="AY237" i="2"/>
  <c r="BI15" i="9"/>
  <c r="AY240" i="2"/>
  <c r="AZ233" i="2"/>
  <c r="AD36" i="10"/>
  <c r="AD23" i="10"/>
  <c r="AD24" i="10"/>
  <c r="AD19" i="10"/>
  <c r="AD33" i="5"/>
  <c r="AE27" i="4"/>
  <c r="AE39" i="4"/>
  <c r="AE40" i="4"/>
  <c r="AP93" i="9"/>
  <c r="BI91" i="9" l="1"/>
  <c r="AY231" i="2"/>
  <c r="AZ239" i="2"/>
  <c r="AZ241" i="2"/>
  <c r="BA233" i="2"/>
  <c r="BJ15" i="9"/>
  <c r="AZ240" i="2"/>
  <c r="AZ237" i="2"/>
  <c r="AZ238" i="2"/>
  <c r="AE38" i="4"/>
  <c r="AE43" i="4" s="1"/>
  <c r="AD299" i="2"/>
  <c r="AD297" i="2"/>
  <c r="AD108" i="2"/>
  <c r="AD110" i="2"/>
  <c r="AD111" i="2"/>
  <c r="AD112" i="2"/>
  <c r="AD113" i="2"/>
  <c r="AD114" i="2"/>
  <c r="AD40" i="2"/>
  <c r="BJ91" i="9" l="1"/>
  <c r="BA241" i="2"/>
  <c r="BA238" i="2"/>
  <c r="BK15" i="9"/>
  <c r="BA237" i="2"/>
  <c r="BA239" i="2"/>
  <c r="BA240" i="2"/>
  <c r="AD6" i="5"/>
  <c r="AD22" i="3" s="1"/>
  <c r="BK91" i="9" l="1"/>
  <c r="BA231" i="2"/>
  <c r="BB238" i="2"/>
  <c r="BL15" i="9"/>
  <c r="BB239" i="2"/>
  <c r="BC233" i="2"/>
  <c r="BB240" i="2"/>
  <c r="BB237" i="2"/>
  <c r="BB241" i="2"/>
  <c r="AE47" i="4"/>
  <c r="AD24" i="5"/>
  <c r="AD32" i="3"/>
  <c r="AD116" i="2" s="1"/>
  <c r="AC32" i="3"/>
  <c r="BL91" i="9" l="1"/>
  <c r="BD233" i="2"/>
  <c r="BB231" i="2"/>
  <c r="AR221" i="2"/>
  <c r="BA267" i="2"/>
  <c r="BM15" i="9"/>
  <c r="BC241" i="2"/>
  <c r="BC239" i="2"/>
  <c r="BC237" i="2"/>
  <c r="BC240" i="2"/>
  <c r="BC238" i="2"/>
  <c r="AD125" i="2"/>
  <c r="AP92" i="9"/>
  <c r="AP90" i="9" s="1"/>
  <c r="AP88" i="9" s="1"/>
  <c r="AP95" i="9" s="1"/>
  <c r="AC40" i="2"/>
  <c r="AC107" i="2"/>
  <c r="AC108" i="2"/>
  <c r="AC110" i="2"/>
  <c r="AC111" i="2"/>
  <c r="AC112" i="2"/>
  <c r="AC113" i="2"/>
  <c r="AC114" i="2"/>
  <c r="AC6" i="5"/>
  <c r="BM91" i="9" l="1"/>
  <c r="BC231" i="2"/>
  <c r="AR265" i="2"/>
  <c r="AR278" i="2" s="1"/>
  <c r="BD240" i="2"/>
  <c r="AR204" i="2"/>
  <c r="BD241" i="2"/>
  <c r="AR205" i="2"/>
  <c r="AR263" i="2"/>
  <c r="AR276" i="2" s="1"/>
  <c r="BD237" i="2"/>
  <c r="AR264" i="2"/>
  <c r="AR277" i="2" s="1"/>
  <c r="AR243" i="2"/>
  <c r="AR233" i="2"/>
  <c r="BD239" i="2"/>
  <c r="AR203" i="2"/>
  <c r="BD238" i="2"/>
  <c r="AR202" i="2"/>
  <c r="AR256" i="2"/>
  <c r="AR257" i="2"/>
  <c r="AR262" i="2"/>
  <c r="AR275" i="2" s="1"/>
  <c r="BB267" i="2"/>
  <c r="BN15" i="9"/>
  <c r="AR261" i="2"/>
  <c r="AR274" i="2" s="1"/>
  <c r="AD47" i="4"/>
  <c r="AC22" i="3"/>
  <c r="AP19" i="9"/>
  <c r="AC24" i="5"/>
  <c r="AC23" i="5"/>
  <c r="AR269" i="2" l="1"/>
  <c r="AR255" i="2"/>
  <c r="AR268" i="2" s="1"/>
  <c r="AR270" i="2"/>
  <c r="AR215" i="2"/>
  <c r="AR218" i="2"/>
  <c r="AR216" i="2"/>
  <c r="AR217" i="2"/>
  <c r="AR227" i="2"/>
  <c r="AR249" i="2" s="1"/>
  <c r="AR229" i="2"/>
  <c r="AR251" i="2" s="1"/>
  <c r="AR226" i="2"/>
  <c r="AR248" i="2" s="1"/>
  <c r="AR228" i="2"/>
  <c r="AR250" i="2" s="1"/>
  <c r="BN91" i="9"/>
  <c r="AR225" i="2"/>
  <c r="BD231" i="2"/>
  <c r="BC267" i="2"/>
  <c r="BO15" i="9"/>
  <c r="AR201" i="2"/>
  <c r="AR253" i="2"/>
  <c r="BD267" i="2"/>
  <c r="BP15" i="9"/>
  <c r="AC53" i="3"/>
  <c r="AC54" i="3"/>
  <c r="AC59" i="3"/>
  <c r="AC269" i="2"/>
  <c r="AC270" i="2"/>
  <c r="AC274" i="2"/>
  <c r="AC275" i="2"/>
  <c r="AC276" i="2"/>
  <c r="AC277" i="2"/>
  <c r="AC278" i="2"/>
  <c r="AC51" i="3"/>
  <c r="AC266" i="2"/>
  <c r="AC255" i="2" s="1"/>
  <c r="AC243" i="2"/>
  <c r="AC244" i="2"/>
  <c r="AC247" i="2"/>
  <c r="AC248" i="2"/>
  <c r="AC249" i="2"/>
  <c r="AC250" i="2"/>
  <c r="AC251" i="2"/>
  <c r="AC233" i="2"/>
  <c r="AC234" i="2"/>
  <c r="AC237" i="2"/>
  <c r="AC238" i="2"/>
  <c r="AC239" i="2"/>
  <c r="AC240" i="2"/>
  <c r="AC241" i="2"/>
  <c r="AC230" i="2"/>
  <c r="AC210" i="2"/>
  <c r="AC211" i="2"/>
  <c r="AC214" i="2"/>
  <c r="AC215" i="2"/>
  <c r="AC216" i="2"/>
  <c r="AC217" i="2"/>
  <c r="AC218" i="2"/>
  <c r="AC190" i="2"/>
  <c r="AR240" i="2" l="1"/>
  <c r="AR239" i="2"/>
  <c r="AR267" i="2"/>
  <c r="AR214" i="2"/>
  <c r="AR238" i="2"/>
  <c r="AR241" i="2"/>
  <c r="BO91" i="9"/>
  <c r="BP91" i="9"/>
  <c r="AR237" i="2"/>
  <c r="AR247" i="2"/>
  <c r="BD15" i="9"/>
  <c r="AC40" i="10"/>
  <c r="AC36" i="10"/>
  <c r="AD27" i="4"/>
  <c r="BD91" i="9" l="1"/>
  <c r="AC33" i="5"/>
  <c r="AC299" i="2"/>
  <c r="AB19" i="10" l="1"/>
  <c r="AB23" i="5" l="1"/>
  <c r="AA23" i="5"/>
  <c r="AB40" i="10" l="1"/>
  <c r="AB36" i="10"/>
  <c r="AB20" i="10"/>
  <c r="AN116" i="9" s="1"/>
  <c r="Z33" i="5" l="1"/>
  <c r="AA33" i="5"/>
  <c r="AB33" i="5"/>
  <c r="AC27" i="4"/>
  <c r="AB27" i="4"/>
  <c r="AN93" i="9"/>
  <c r="AB114" i="2"/>
  <c r="AB113" i="2"/>
  <c r="AB112" i="2"/>
  <c r="AB111" i="2"/>
  <c r="AB110" i="2"/>
  <c r="AB108" i="2"/>
  <c r="AB107" i="2"/>
  <c r="AB116" i="2"/>
  <c r="AB299" i="2"/>
  <c r="AB297" i="2"/>
  <c r="AB289" i="2"/>
  <c r="AN106" i="9" s="1"/>
  <c r="AB282" i="2"/>
  <c r="AN105" i="9" s="1"/>
  <c r="AB278" i="2"/>
  <c r="AB277" i="2"/>
  <c r="AB276" i="2"/>
  <c r="AB275" i="2"/>
  <c r="AB274" i="2"/>
  <c r="AB270" i="2"/>
  <c r="AB269" i="2"/>
  <c r="AB266" i="2"/>
  <c r="AB255" i="2" s="1"/>
  <c r="AB251" i="2"/>
  <c r="AB250" i="2"/>
  <c r="AB249" i="2"/>
  <c r="AB248" i="2"/>
  <c r="AB247" i="2"/>
  <c r="AB244" i="2"/>
  <c r="AB243" i="2"/>
  <c r="AB242" i="2"/>
  <c r="AB241" i="2"/>
  <c r="AB240" i="2"/>
  <c r="AB239" i="2"/>
  <c r="AB238" i="2"/>
  <c r="AB237" i="2"/>
  <c r="AB234" i="2"/>
  <c r="AB233" i="2"/>
  <c r="AB230" i="2"/>
  <c r="AB218" i="2"/>
  <c r="AB217" i="2"/>
  <c r="AB216" i="2"/>
  <c r="AB215" i="2"/>
  <c r="AB214" i="2"/>
  <c r="AB211" i="2"/>
  <c r="AB210" i="2"/>
  <c r="AB190" i="2"/>
  <c r="AB59" i="3"/>
  <c r="AB54" i="3"/>
  <c r="AB53" i="3"/>
  <c r="AB51" i="3"/>
  <c r="AN104" i="9" l="1"/>
  <c r="AB125" i="2"/>
  <c r="BE264" i="2" l="1"/>
  <c r="BE277" i="2" s="1"/>
  <c r="BE256" i="2"/>
  <c r="BE269" i="2" l="1"/>
  <c r="AB6" i="5"/>
  <c r="AB24" i="5" l="1"/>
  <c r="AB22" i="3"/>
  <c r="AB40" i="2"/>
  <c r="AB106" i="2" s="1"/>
  <c r="AC47" i="4" l="1"/>
  <c r="AA73" i="11" l="1"/>
  <c r="AA72" i="11"/>
  <c r="X73" i="11"/>
  <c r="X72" i="11"/>
  <c r="U73" i="11"/>
  <c r="U72" i="11"/>
  <c r="AA59" i="3" l="1"/>
  <c r="AA54" i="3"/>
  <c r="AA53" i="3"/>
  <c r="AA51" i="3"/>
  <c r="AA278" i="2"/>
  <c r="AA277" i="2"/>
  <c r="AA276" i="2"/>
  <c r="AA275" i="2"/>
  <c r="AA274" i="2"/>
  <c r="AA270" i="2"/>
  <c r="AA269" i="2"/>
  <c r="AA266" i="2"/>
  <c r="AA255" i="2" s="1"/>
  <c r="AA241" i="2"/>
  <c r="AA240" i="2"/>
  <c r="AA239" i="2"/>
  <c r="AA238" i="2"/>
  <c r="AA237" i="2"/>
  <c r="AA234" i="2"/>
  <c r="AA233" i="2"/>
  <c r="AA218" i="2"/>
  <c r="AA217" i="2"/>
  <c r="AA216" i="2"/>
  <c r="AA215" i="2"/>
  <c r="AA214" i="2"/>
  <c r="AA211" i="2"/>
  <c r="AA210" i="2"/>
  <c r="AA190" i="2"/>
  <c r="AA220" i="2" l="1"/>
  <c r="AA196" i="2"/>
  <c r="AA206" i="2" s="1"/>
  <c r="AM89" i="9" l="1"/>
  <c r="AA230" i="2"/>
  <c r="AM94" i="9"/>
  <c r="AM85" i="9" l="1"/>
  <c r="AM113" i="9"/>
  <c r="AM112" i="9"/>
  <c r="U40" i="10"/>
  <c r="V40" i="10"/>
  <c r="W40" i="10"/>
  <c r="X40" i="10"/>
  <c r="Y40" i="10"/>
  <c r="Z40" i="10"/>
  <c r="AA40" i="10"/>
  <c r="AA36" i="10"/>
  <c r="AM111" i="9" l="1"/>
  <c r="AB25" i="4"/>
  <c r="AA116" i="2"/>
  <c r="AA125" i="2" l="1"/>
  <c r="AA299" i="2"/>
  <c r="AA114" i="2"/>
  <c r="AA113" i="2"/>
  <c r="AA112" i="2"/>
  <c r="AA111" i="2"/>
  <c r="AA110" i="2"/>
  <c r="AA108" i="2"/>
  <c r="AA107" i="2"/>
  <c r="AA40" i="2" l="1"/>
  <c r="AA106" i="2" s="1"/>
  <c r="AE123" i="2" l="1"/>
  <c r="AE122" i="2"/>
  <c r="AE121" i="2"/>
  <c r="AE120" i="2"/>
  <c r="AE117" i="2"/>
  <c r="AE129" i="2" l="1"/>
  <c r="AE126" i="2" l="1"/>
  <c r="AE124" i="2"/>
  <c r="AE118" i="2" l="1"/>
  <c r="AE41" i="3" l="1"/>
  <c r="AE40" i="3"/>
  <c r="AE39" i="3"/>
  <c r="AE38" i="3"/>
  <c r="AE37" i="3"/>
  <c r="AE36" i="3"/>
  <c r="AE34" i="3"/>
  <c r="AE33" i="3"/>
  <c r="T242" i="2" l="1"/>
  <c r="U242" i="2"/>
  <c r="V242" i="2"/>
  <c r="W242" i="2"/>
  <c r="X242" i="2"/>
  <c r="Y242" i="2"/>
  <c r="Z242" i="2"/>
  <c r="S242" i="2"/>
  <c r="S244" i="2"/>
  <c r="T244" i="2"/>
  <c r="U244" i="2"/>
  <c r="V244" i="2"/>
  <c r="W244" i="2"/>
  <c r="X244" i="2"/>
  <c r="Y244" i="2"/>
  <c r="Z244" i="2"/>
  <c r="S247" i="2"/>
  <c r="T247" i="2"/>
  <c r="U247" i="2"/>
  <c r="V247" i="2"/>
  <c r="W247" i="2"/>
  <c r="X247" i="2"/>
  <c r="Y247" i="2"/>
  <c r="Z247" i="2"/>
  <c r="S248" i="2"/>
  <c r="T248" i="2"/>
  <c r="U248" i="2"/>
  <c r="V248" i="2"/>
  <c r="W248" i="2"/>
  <c r="X248" i="2"/>
  <c r="Y248" i="2"/>
  <c r="Z248" i="2"/>
  <c r="S249" i="2"/>
  <c r="T249" i="2"/>
  <c r="U249" i="2"/>
  <c r="V249" i="2"/>
  <c r="W249" i="2"/>
  <c r="X249" i="2"/>
  <c r="Y249" i="2"/>
  <c r="Z249" i="2"/>
  <c r="S250" i="2"/>
  <c r="T250" i="2"/>
  <c r="U250" i="2"/>
  <c r="V250" i="2"/>
  <c r="W250" i="2"/>
  <c r="X250" i="2"/>
  <c r="Y250" i="2"/>
  <c r="Z250" i="2"/>
  <c r="S251" i="2"/>
  <c r="T251" i="2"/>
  <c r="U251" i="2"/>
  <c r="V251" i="2"/>
  <c r="W251" i="2"/>
  <c r="X251" i="2"/>
  <c r="Y251" i="2"/>
  <c r="Z251" i="2"/>
  <c r="T243" i="2"/>
  <c r="U243" i="2"/>
  <c r="V243" i="2"/>
  <c r="W243" i="2"/>
  <c r="X243" i="2"/>
  <c r="Y243" i="2"/>
  <c r="Z243" i="2"/>
  <c r="S243" i="2"/>
  <c r="R129" i="2" l="1"/>
  <c r="R126" i="2"/>
  <c r="AA32" i="3" l="1"/>
  <c r="AM92" i="9" s="1"/>
  <c r="Z29" i="11" l="1"/>
  <c r="AA26" i="11" s="1"/>
  <c r="AA29" i="11" s="1"/>
  <c r="AB26" i="11" s="1"/>
  <c r="AB29" i="11" s="1"/>
  <c r="Z24" i="11"/>
  <c r="AA24" i="11" s="1"/>
  <c r="AB24" i="11" s="1"/>
  <c r="AC24" i="11" s="1"/>
  <c r="AD24" i="11" s="1"/>
  <c r="AF19" i="11" s="1"/>
  <c r="AG19" i="11" s="1"/>
  <c r="AC26" i="11" l="1"/>
  <c r="AC29" i="11" s="1"/>
  <c r="AD26" i="11" l="1"/>
  <c r="AD29" i="11" s="1"/>
  <c r="AF26" i="11" s="1"/>
  <c r="AH19" i="11"/>
  <c r="AI19" i="11" l="1"/>
  <c r="AG26" i="11" l="1"/>
  <c r="AJ19" i="11"/>
  <c r="AH26" i="11" l="1"/>
  <c r="AK19" i="11"/>
  <c r="AI26" i="11" l="1"/>
  <c r="AL19" i="11"/>
  <c r="AJ26" i="11" l="1"/>
  <c r="AM19" i="11"/>
  <c r="AK26" i="11" l="1"/>
  <c r="AN19" i="11"/>
  <c r="AL26" i="11" l="1"/>
  <c r="AO19" i="11"/>
  <c r="AM26" i="11" l="1"/>
  <c r="AP19" i="11"/>
  <c r="AN26" i="11" l="1"/>
  <c r="AQ19" i="11"/>
  <c r="AO26" i="11" l="1"/>
  <c r="AP26" i="11" l="1"/>
  <c r="AQ26" i="11" l="1"/>
  <c r="AB16" i="11" l="1"/>
  <c r="AC16" i="11" s="1"/>
  <c r="AD16" i="11" s="1"/>
  <c r="Z17" i="11"/>
  <c r="U5" i="11" l="1"/>
  <c r="V5" i="11"/>
  <c r="T5" i="11"/>
  <c r="W5" i="11" l="1"/>
  <c r="X5" i="11" l="1"/>
  <c r="Y5" i="11" l="1"/>
  <c r="Z5" i="11" l="1"/>
  <c r="T41" i="11" l="1"/>
  <c r="U41" i="11"/>
  <c r="V41" i="11"/>
  <c r="W41" i="11"/>
  <c r="X41" i="11"/>
  <c r="Y41" i="11"/>
  <c r="Z41" i="11"/>
  <c r="AA41" i="11"/>
  <c r="AB41" i="11"/>
  <c r="AC41" i="11"/>
  <c r="AD41" i="11"/>
  <c r="T40" i="11"/>
  <c r="U40" i="11"/>
  <c r="V40" i="11"/>
  <c r="W40" i="11"/>
  <c r="X40" i="11"/>
  <c r="Y40" i="11"/>
  <c r="Z40" i="11"/>
  <c r="AA40" i="11"/>
  <c r="AB40" i="11"/>
  <c r="AB49" i="11" s="1"/>
  <c r="AC40" i="11"/>
  <c r="AC49" i="11" s="1"/>
  <c r="AE50" i="10"/>
  <c r="AE38" i="10"/>
  <c r="AF24" i="10"/>
  <c r="AE18" i="10"/>
  <c r="X49" i="11" l="1"/>
  <c r="X45" i="11"/>
  <c r="V49" i="11"/>
  <c r="V45" i="11"/>
  <c r="W49" i="11"/>
  <c r="W45" i="11"/>
  <c r="T49" i="11"/>
  <c r="T45" i="11"/>
  <c r="U49" i="11"/>
  <c r="U45" i="11"/>
  <c r="Z49" i="11"/>
  <c r="Z45" i="11"/>
  <c r="AA49" i="11"/>
  <c r="AA45" i="11"/>
  <c r="Y49" i="11"/>
  <c r="Y45" i="11"/>
  <c r="AE24" i="10"/>
  <c r="AE12" i="10"/>
  <c r="AE26" i="10"/>
  <c r="AE17" i="10"/>
  <c r="AE16" i="10"/>
  <c r="AE15" i="10"/>
  <c r="AE13" i="10" l="1"/>
  <c r="AE10" i="10"/>
  <c r="AE11" i="10"/>
  <c r="AE35" i="10" l="1"/>
  <c r="AC40" i="13" l="1"/>
  <c r="AE78" i="3"/>
  <c r="AE74" i="3"/>
  <c r="AE63" i="3"/>
  <c r="AE62" i="3"/>
  <c r="AE61" i="3"/>
  <c r="AE60" i="3"/>
  <c r="AE50" i="3"/>
  <c r="AE47" i="3"/>
  <c r="AE46" i="3"/>
  <c r="AK32" i="3"/>
  <c r="AK116" i="2" s="1"/>
  <c r="AI32" i="3"/>
  <c r="AH32" i="3"/>
  <c r="AG32" i="3"/>
  <c r="AF32" i="3"/>
  <c r="AI26" i="3"/>
  <c r="AH26" i="3"/>
  <c r="AG26" i="3"/>
  <c r="AE285" i="2"/>
  <c r="AE283" i="2"/>
  <c r="AE260" i="2"/>
  <c r="AE273" i="2" s="1"/>
  <c r="AE224" i="2"/>
  <c r="AE236" i="2" s="1"/>
  <c r="AE190" i="2"/>
  <c r="AE180" i="2"/>
  <c r="AE179" i="2"/>
  <c r="AE178" i="2"/>
  <c r="AE177" i="2"/>
  <c r="AE176" i="2"/>
  <c r="AE175" i="2"/>
  <c r="AE174" i="2"/>
  <c r="AL173" i="2"/>
  <c r="AK173" i="2"/>
  <c r="AJ173" i="2"/>
  <c r="AI173" i="2"/>
  <c r="AH173" i="2"/>
  <c r="AG173" i="2"/>
  <c r="AF173" i="2"/>
  <c r="AE172" i="2"/>
  <c r="AE171" i="2"/>
  <c r="AE170" i="2"/>
  <c r="AE169" i="2"/>
  <c r="AE168" i="2"/>
  <c r="AE167" i="2"/>
  <c r="AE166" i="2"/>
  <c r="AE165" i="2"/>
  <c r="AL164" i="2"/>
  <c r="AK164" i="2"/>
  <c r="AJ164" i="2"/>
  <c r="AI164" i="2"/>
  <c r="AH164" i="2"/>
  <c r="AG164" i="2"/>
  <c r="AF164" i="2"/>
  <c r="AE154" i="2"/>
  <c r="AE153" i="2"/>
  <c r="AE152" i="2"/>
  <c r="AE151" i="2"/>
  <c r="AE150" i="2"/>
  <c r="AE149" i="2"/>
  <c r="AL148" i="2"/>
  <c r="AK148" i="2"/>
  <c r="AJ148" i="2"/>
  <c r="AI148" i="2"/>
  <c r="AH148" i="2"/>
  <c r="AG148" i="2"/>
  <c r="AF148" i="2"/>
  <c r="AE114" i="2"/>
  <c r="AE113" i="2"/>
  <c r="AE112" i="2"/>
  <c r="AE110" i="2"/>
  <c r="AE107" i="2"/>
  <c r="AE93" i="2"/>
  <c r="AE92" i="2"/>
  <c r="AE91" i="2"/>
  <c r="AE90" i="2"/>
  <c r="AE89" i="2"/>
  <c r="AE87" i="2"/>
  <c r="AE86" i="2"/>
  <c r="AE85" i="2"/>
  <c r="AE83" i="2"/>
  <c r="AE82" i="2"/>
  <c r="AE81" i="2"/>
  <c r="AE80" i="2"/>
  <c r="AE79" i="2"/>
  <c r="AE77" i="2"/>
  <c r="AE76" i="2"/>
  <c r="AE75" i="2"/>
  <c r="AE74" i="2"/>
  <c r="AE73" i="2"/>
  <c r="AE72" i="2"/>
  <c r="AE71" i="2"/>
  <c r="AE70" i="2"/>
  <c r="AE69" i="2"/>
  <c r="AE67" i="2"/>
  <c r="AE66" i="2"/>
  <c r="AE65" i="2"/>
  <c r="AE64" i="2"/>
  <c r="AE63" i="2"/>
  <c r="AE62" i="2"/>
  <c r="AE60" i="2"/>
  <c r="AE59" i="2"/>
  <c r="AE58" i="2"/>
  <c r="AE57" i="2"/>
  <c r="AE56" i="2"/>
  <c r="AE54" i="2"/>
  <c r="AE53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49" i="2"/>
  <c r="AE46" i="2"/>
  <c r="AE44" i="2"/>
  <c r="AE36" i="2"/>
  <c r="AE35" i="2"/>
  <c r="AE34" i="2"/>
  <c r="AE33" i="2"/>
  <c r="AE32" i="2"/>
  <c r="AE31" i="2"/>
  <c r="AE30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H31" i="3" l="1"/>
  <c r="AH116" i="2"/>
  <c r="AI31" i="3"/>
  <c r="AI116" i="2"/>
  <c r="AG31" i="3"/>
  <c r="AG116" i="2"/>
  <c r="AF31" i="3"/>
  <c r="AF116" i="2"/>
  <c r="AE32" i="3"/>
  <c r="AE29" i="2"/>
  <c r="AE52" i="2"/>
  <c r="AE148" i="2"/>
  <c r="AE200" i="2"/>
  <c r="AE108" i="2"/>
  <c r="AE111" i="2"/>
  <c r="AE164" i="2"/>
  <c r="AE173" i="2"/>
  <c r="AE259" i="2"/>
  <c r="AE213" i="2" l="1"/>
  <c r="AI125" i="2"/>
  <c r="AI106" i="2" s="1"/>
  <c r="AH125" i="2"/>
  <c r="AH106" i="2" s="1"/>
  <c r="AG125" i="2"/>
  <c r="AG106" i="2" s="1"/>
  <c r="AF125" i="2"/>
  <c r="AF106" i="2" l="1"/>
  <c r="AE14" i="10"/>
  <c r="Y33" i="5" l="1"/>
  <c r="AA25" i="5"/>
  <c r="AM109" i="9" s="1"/>
  <c r="AM108" i="9" s="1"/>
  <c r="AE182" i="2" l="1"/>
  <c r="AE187" i="2"/>
  <c r="AE185" i="2"/>
  <c r="AE188" i="2"/>
  <c r="AE186" i="2"/>
  <c r="AE189" i="2"/>
  <c r="AC116" i="2" l="1"/>
  <c r="AB32" i="3"/>
  <c r="AN92" i="9" s="1"/>
  <c r="AN90" i="9" s="1"/>
  <c r="AN88" i="9" s="1"/>
  <c r="AN95" i="9" s="1"/>
  <c r="AN19" i="9" l="1"/>
  <c r="AC125" i="2"/>
  <c r="AO92" i="9"/>
  <c r="Z114" i="2" l="1"/>
  <c r="Z113" i="2"/>
  <c r="Z112" i="2"/>
  <c r="Z111" i="2"/>
  <c r="Z110" i="2"/>
  <c r="Z108" i="2"/>
  <c r="Z107" i="2"/>
  <c r="X40" i="2"/>
  <c r="Y40" i="2"/>
  <c r="Z40" i="2"/>
  <c r="Z116" i="2" l="1"/>
  <c r="Z32" i="3"/>
  <c r="AL92" i="9" l="1"/>
  <c r="Z125" i="2"/>
  <c r="Z106" i="2" s="1"/>
  <c r="AE7" i="5"/>
  <c r="AE30" i="5"/>
  <c r="AG20" i="5"/>
  <c r="AH20" i="5" s="1"/>
  <c r="AI20" i="5" s="1"/>
  <c r="AE19" i="5"/>
  <c r="AG18" i="5"/>
  <c r="AE15" i="5"/>
  <c r="AE14" i="5"/>
  <c r="AE13" i="5"/>
  <c r="AE12" i="5"/>
  <c r="AE9" i="5"/>
  <c r="AE8" i="5"/>
  <c r="AH18" i="5" l="1"/>
  <c r="AH21" i="5" s="1"/>
  <c r="AG21" i="5"/>
  <c r="AE10" i="5"/>
  <c r="AJ20" i="5"/>
  <c r="AK20" i="5" s="1"/>
  <c r="AL20" i="5" s="1"/>
  <c r="AM20" i="5" s="1"/>
  <c r="AN20" i="5" s="1"/>
  <c r="AO20" i="5" s="1"/>
  <c r="AP20" i="5" s="1"/>
  <c r="AQ20" i="5" s="1"/>
  <c r="AE28" i="5"/>
  <c r="AE29" i="5"/>
  <c r="AI18" i="5" l="1"/>
  <c r="AI21" i="5" s="1"/>
  <c r="AE20" i="5"/>
  <c r="AJ18" i="5"/>
  <c r="AJ21" i="5" s="1"/>
  <c r="AE6" i="5"/>
  <c r="AK18" i="5" l="1"/>
  <c r="AK21" i="5" s="1"/>
  <c r="AL18" i="5" l="1"/>
  <c r="AL21" i="5" s="1"/>
  <c r="AM18" i="5" l="1"/>
  <c r="AM21" i="5" s="1"/>
  <c r="AE183" i="2" l="1"/>
  <c r="AN18" i="5"/>
  <c r="AO18" i="5" l="1"/>
  <c r="AN21" i="5"/>
  <c r="AE181" i="2"/>
  <c r="Z23" i="5"/>
  <c r="AA6" i="5"/>
  <c r="AA22" i="3" s="1"/>
  <c r="AP18" i="5" l="1"/>
  <c r="AO21" i="5"/>
  <c r="AA24" i="5"/>
  <c r="AB47" i="4"/>
  <c r="AQ18" i="5" l="1"/>
  <c r="AP21" i="5"/>
  <c r="Z59" i="3"/>
  <c r="Z54" i="3"/>
  <c r="Z53" i="3"/>
  <c r="Z278" i="2"/>
  <c r="Z277" i="2"/>
  <c r="Z276" i="2"/>
  <c r="Z275" i="2"/>
  <c r="Z274" i="2"/>
  <c r="Z270" i="2"/>
  <c r="Z269" i="2"/>
  <c r="Z241" i="2"/>
  <c r="Z240" i="2"/>
  <c r="Z239" i="2"/>
  <c r="Z238" i="2"/>
  <c r="Z237" i="2"/>
  <c r="Z234" i="2"/>
  <c r="Z233" i="2"/>
  <c r="AQ21" i="5" l="1"/>
  <c r="AE18" i="5"/>
  <c r="Z218" i="2"/>
  <c r="Z217" i="2"/>
  <c r="Z216" i="2"/>
  <c r="Z215" i="2"/>
  <c r="Z214" i="2"/>
  <c r="Z211" i="2"/>
  <c r="Z210" i="2"/>
  <c r="Z51" i="3" l="1"/>
  <c r="Z230" i="2"/>
  <c r="Z266" i="2"/>
  <c r="Z255" i="2" s="1"/>
  <c r="Z148" i="2"/>
  <c r="Z164" i="2"/>
  <c r="Z173" i="2"/>
  <c r="Z190" i="2"/>
  <c r="Z36" i="10" l="1"/>
  <c r="AA27" i="4" l="1"/>
  <c r="Z299" i="2" l="1"/>
  <c r="Y116" i="2" l="1"/>
  <c r="Y32" i="3"/>
  <c r="Y114" i="2"/>
  <c r="Y113" i="2"/>
  <c r="Y112" i="2"/>
  <c r="Y111" i="2"/>
  <c r="Y110" i="2"/>
  <c r="Y108" i="2"/>
  <c r="Y107" i="2"/>
  <c r="Y125" i="2" l="1"/>
  <c r="AK92" i="9"/>
  <c r="Y23" i="5"/>
  <c r="Y59" i="3"/>
  <c r="Y54" i="3"/>
  <c r="Y53" i="3"/>
  <c r="Y51" i="3"/>
  <c r="Y278" i="2"/>
  <c r="Y277" i="2"/>
  <c r="Y276" i="2"/>
  <c r="Y275" i="2"/>
  <c r="Y274" i="2"/>
  <c r="Y270" i="2"/>
  <c r="Y269" i="2"/>
  <c r="Y266" i="2"/>
  <c r="Y255" i="2" s="1"/>
  <c r="Y241" i="2"/>
  <c r="Y240" i="2"/>
  <c r="Y239" i="2"/>
  <c r="Y238" i="2"/>
  <c r="Y237" i="2"/>
  <c r="Y234" i="2"/>
  <c r="Y233" i="2"/>
  <c r="Y230" i="2"/>
  <c r="Y218" i="2"/>
  <c r="Y217" i="2"/>
  <c r="Y216" i="2"/>
  <c r="Y215" i="2"/>
  <c r="Y214" i="2"/>
  <c r="Y211" i="2"/>
  <c r="Y210" i="2"/>
  <c r="Y190" i="2"/>
  <c r="AA39" i="4" l="1"/>
  <c r="Y36" i="10" l="1"/>
  <c r="Z27" i="4"/>
  <c r="Z25" i="4"/>
  <c r="Y299" i="2" l="1"/>
  <c r="X116" i="2" l="1"/>
  <c r="X32" i="3"/>
  <c r="X114" i="2"/>
  <c r="X113" i="2"/>
  <c r="X112" i="2"/>
  <c r="X111" i="2"/>
  <c r="X110" i="2"/>
  <c r="X108" i="2"/>
  <c r="X107" i="2"/>
  <c r="X125" i="2" l="1"/>
  <c r="AJ92" i="9"/>
  <c r="X23" i="5"/>
  <c r="X59" i="3" l="1"/>
  <c r="X54" i="3"/>
  <c r="X53" i="3"/>
  <c r="X51" i="3"/>
  <c r="X278" i="2"/>
  <c r="X277" i="2"/>
  <c r="X276" i="2"/>
  <c r="X275" i="2"/>
  <c r="X274" i="2"/>
  <c r="X270" i="2"/>
  <c r="X269" i="2"/>
  <c r="X266" i="2"/>
  <c r="X255" i="2" s="1"/>
  <c r="X241" i="2"/>
  <c r="X240" i="2"/>
  <c r="X239" i="2"/>
  <c r="X238" i="2"/>
  <c r="X237" i="2"/>
  <c r="X234" i="2"/>
  <c r="X233" i="2"/>
  <c r="X230" i="2"/>
  <c r="X218" i="2"/>
  <c r="X217" i="2"/>
  <c r="X216" i="2"/>
  <c r="X215" i="2"/>
  <c r="X214" i="2"/>
  <c r="X211" i="2"/>
  <c r="X210" i="2"/>
  <c r="X190" i="2"/>
  <c r="Y19" i="10" l="1"/>
  <c r="Y6" i="10" s="1"/>
  <c r="AK115" i="9" s="1"/>
  <c r="Z6" i="5"/>
  <c r="Z22" i="3" s="1"/>
  <c r="Y8" i="5"/>
  <c r="Y7" i="5"/>
  <c r="Z39" i="4"/>
  <c r="Z19" i="10"/>
  <c r="Z6" i="10" s="1"/>
  <c r="AL115" i="9" s="1"/>
  <c r="AC13" i="4"/>
  <c r="AC10" i="4"/>
  <c r="Z9" i="4"/>
  <c r="Z7" i="4" s="1"/>
  <c r="Z26" i="4" s="1"/>
  <c r="Y7" i="3"/>
  <c r="Y6" i="5" l="1"/>
  <c r="Y22" i="3" s="1"/>
  <c r="AA9" i="4"/>
  <c r="AA7" i="4" s="1"/>
  <c r="AA26" i="4" s="1"/>
  <c r="AA47" i="4"/>
  <c r="Z24" i="5"/>
  <c r="Y24" i="5"/>
  <c r="Z47" i="4"/>
  <c r="Z5" i="4"/>
  <c r="AD13" i="4"/>
  <c r="AE13" i="4" s="1"/>
  <c r="Z68" i="3"/>
  <c r="Y79" i="3"/>
  <c r="Y73" i="3"/>
  <c r="AG7" i="4"/>
  <c r="AC12" i="4"/>
  <c r="AA25" i="4"/>
  <c r="Z7" i="3"/>
  <c r="Z40" i="4"/>
  <c r="Z38" i="4" s="1"/>
  <c r="AG26" i="4" l="1"/>
  <c r="Z42" i="4"/>
  <c r="Z43" i="4"/>
  <c r="Z44" i="4" s="1"/>
  <c r="AA5" i="4"/>
  <c r="Z27" i="10" s="1"/>
  <c r="AB9" i="4"/>
  <c r="Z35" i="4"/>
  <c r="Z24" i="4"/>
  <c r="AD12" i="4"/>
  <c r="AC25" i="4"/>
  <c r="Y49" i="10"/>
  <c r="Y33" i="10"/>
  <c r="Y47" i="10"/>
  <c r="Y45" i="10"/>
  <c r="Y31" i="10"/>
  <c r="Y27" i="10"/>
  <c r="Y37" i="10"/>
  <c r="AA68" i="3"/>
  <c r="Z79" i="3"/>
  <c r="Z73" i="3"/>
  <c r="AE9" i="10"/>
  <c r="AE21" i="10"/>
  <c r="AE25" i="10"/>
  <c r="Y106" i="2"/>
  <c r="AA19" i="10"/>
  <c r="AA6" i="10" s="1"/>
  <c r="AM115" i="9" s="1"/>
  <c r="AA40" i="4"/>
  <c r="AA38" i="4" s="1"/>
  <c r="AA43" i="4" s="1"/>
  <c r="AA7" i="3"/>
  <c r="AA19" i="2"/>
  <c r="Z49" i="10" l="1"/>
  <c r="Z47" i="10"/>
  <c r="Z37" i="10"/>
  <c r="Z45" i="10"/>
  <c r="Z33" i="10"/>
  <c r="Z31" i="10"/>
  <c r="AB7" i="4"/>
  <c r="AC9" i="4"/>
  <c r="AD9" i="4" s="1"/>
  <c r="AE9" i="4" s="1"/>
  <c r="AE12" i="4"/>
  <c r="AD25" i="4"/>
  <c r="AB68" i="3"/>
  <c r="AA79" i="3"/>
  <c r="AA73" i="3"/>
  <c r="AA52" i="3"/>
  <c r="AB35" i="4"/>
  <c r="AA24" i="4"/>
  <c r="AA35" i="4"/>
  <c r="AA44" i="4"/>
  <c r="AA42" i="4"/>
  <c r="AB6" i="10"/>
  <c r="AN115" i="9" s="1"/>
  <c r="AN114" i="9" s="1"/>
  <c r="AB7" i="3"/>
  <c r="AB40" i="4"/>
  <c r="AB26" i="4" l="1"/>
  <c r="AB5" i="4"/>
  <c r="AC68" i="3"/>
  <c r="AB79" i="3"/>
  <c r="AB73" i="3"/>
  <c r="AB52" i="3"/>
  <c r="AC19" i="10"/>
  <c r="AC6" i="10" s="1"/>
  <c r="AO115" i="9" s="1"/>
  <c r="AC40" i="4"/>
  <c r="AC7" i="3"/>
  <c r="AD68" i="3" s="1"/>
  <c r="AA49" i="10" l="1"/>
  <c r="AA31" i="10"/>
  <c r="AA47" i="10"/>
  <c r="AA37" i="10"/>
  <c r="AA33" i="10"/>
  <c r="AA45" i="10"/>
  <c r="AA42" i="10"/>
  <c r="AB24" i="4"/>
  <c r="AA27" i="10"/>
  <c r="AE25" i="4"/>
  <c r="AC73" i="3"/>
  <c r="AC79" i="3"/>
  <c r="AD6" i="10"/>
  <c r="AP115" i="9" s="1"/>
  <c r="AD7" i="3"/>
  <c r="AF68" i="3" s="1"/>
  <c r="AD40" i="4"/>
  <c r="X7" i="3"/>
  <c r="Y68" i="3" s="1"/>
  <c r="AJ113" i="9"/>
  <c r="AJ112" i="9"/>
  <c r="X36" i="10"/>
  <c r="X19" i="10"/>
  <c r="X6" i="10" s="1"/>
  <c r="AJ115" i="9" s="1"/>
  <c r="X33" i="5"/>
  <c r="Y40" i="4"/>
  <c r="Y39" i="4"/>
  <c r="Y27" i="4"/>
  <c r="Y25" i="4"/>
  <c r="Y35" i="4"/>
  <c r="AJ111" i="9" l="1"/>
  <c r="Y38" i="4"/>
  <c r="Y43" i="4" s="1"/>
  <c r="AD52" i="3"/>
  <c r="AD73" i="3"/>
  <c r="AD79" i="3"/>
  <c r="AG5" i="4"/>
  <c r="Y7" i="4"/>
  <c r="X79" i="3"/>
  <c r="X73" i="3"/>
  <c r="AF47" i="10" l="1"/>
  <c r="AF31" i="10"/>
  <c r="AF45" i="10"/>
  <c r="AF33" i="10"/>
  <c r="AF49" i="10"/>
  <c r="AF42" i="10"/>
  <c r="Y5" i="4"/>
  <c r="Y44" i="4" s="1"/>
  <c r="Y26" i="4"/>
  <c r="Y42" i="4"/>
  <c r="AF6" i="10"/>
  <c r="AG40" i="4"/>
  <c r="X299" i="2"/>
  <c r="X106" i="2"/>
  <c r="X49" i="10" l="1"/>
  <c r="X33" i="10"/>
  <c r="X47" i="10"/>
  <c r="X27" i="10"/>
  <c r="X45" i="10"/>
  <c r="X31" i="10"/>
  <c r="X37" i="10"/>
  <c r="Y24" i="4"/>
  <c r="X6" i="5"/>
  <c r="X22" i="3" s="1"/>
  <c r="BF42" i="9" l="1"/>
  <c r="BF118" i="9" s="1"/>
  <c r="Y47" i="4"/>
  <c r="X24" i="5"/>
  <c r="V116" i="2"/>
  <c r="W116" i="2"/>
  <c r="W32" i="3"/>
  <c r="W114" i="2"/>
  <c r="W113" i="2"/>
  <c r="W112" i="2"/>
  <c r="W111" i="2"/>
  <c r="W110" i="2"/>
  <c r="W108" i="2"/>
  <c r="W107" i="2"/>
  <c r="W125" i="2" l="1"/>
  <c r="AI92" i="9"/>
  <c r="BG42" i="9"/>
  <c r="BG118" i="9" s="1"/>
  <c r="T23" i="5"/>
  <c r="U23" i="5"/>
  <c r="V23" i="5"/>
  <c r="W23" i="5"/>
  <c r="BH42" i="9" l="1"/>
  <c r="BH118" i="9" s="1"/>
  <c r="W36" i="10"/>
  <c r="W33" i="5"/>
  <c r="BI42" i="9" l="1"/>
  <c r="BI118" i="9" s="1"/>
  <c r="BF46" i="9"/>
  <c r="BF122" i="9" s="1"/>
  <c r="X27" i="4"/>
  <c r="W27" i="4"/>
  <c r="V27" i="4"/>
  <c r="U27" i="4"/>
  <c r="X25" i="4"/>
  <c r="W59" i="3"/>
  <c r="W54" i="3"/>
  <c r="W53" i="3"/>
  <c r="W51" i="3"/>
  <c r="W299" i="2"/>
  <c r="W278" i="2"/>
  <c r="W277" i="2"/>
  <c r="W276" i="2"/>
  <c r="W275" i="2"/>
  <c r="W274" i="2"/>
  <c r="W270" i="2"/>
  <c r="W269" i="2"/>
  <c r="W266" i="2"/>
  <c r="W255" i="2" s="1"/>
  <c r="W241" i="2"/>
  <c r="W240" i="2"/>
  <c r="W239" i="2"/>
  <c r="W238" i="2"/>
  <c r="W237" i="2"/>
  <c r="W234" i="2"/>
  <c r="W233" i="2"/>
  <c r="W230" i="2"/>
  <c r="W218" i="2"/>
  <c r="W217" i="2"/>
  <c r="W216" i="2"/>
  <c r="W215" i="2"/>
  <c r="W214" i="2"/>
  <c r="W211" i="2"/>
  <c r="W210" i="2"/>
  <c r="W190" i="2"/>
  <c r="W40" i="2"/>
  <c r="BJ42" i="9" l="1"/>
  <c r="BJ118" i="9" s="1"/>
  <c r="BF49" i="9"/>
  <c r="BF125" i="9" s="1"/>
  <c r="BF43" i="9"/>
  <c r="BF119" i="9" s="1"/>
  <c r="BG46" i="9"/>
  <c r="BG122" i="9" s="1"/>
  <c r="W106" i="2"/>
  <c r="W7" i="3"/>
  <c r="BG43" i="9" l="1"/>
  <c r="BG119" i="9" s="1"/>
  <c r="BG49" i="9"/>
  <c r="BG125" i="9" s="1"/>
  <c r="BH46" i="9"/>
  <c r="BH122" i="9" s="1"/>
  <c r="BK42" i="9"/>
  <c r="BK118" i="9" s="1"/>
  <c r="X68" i="3"/>
  <c r="W79" i="3"/>
  <c r="W73" i="3"/>
  <c r="W19" i="10"/>
  <c r="W6" i="10" s="1"/>
  <c r="AI115" i="9" s="1"/>
  <c r="W6" i="5"/>
  <c r="W22" i="3" s="1"/>
  <c r="BH43" i="9" l="1"/>
  <c r="BH119" i="9" s="1"/>
  <c r="BH49" i="9"/>
  <c r="BH125" i="9" s="1"/>
  <c r="BL42" i="9"/>
  <c r="BL118" i="9" s="1"/>
  <c r="BI46" i="9"/>
  <c r="BI122" i="9" s="1"/>
  <c r="X47" i="4"/>
  <c r="W24" i="5"/>
  <c r="X40" i="4"/>
  <c r="X39" i="4"/>
  <c r="X7" i="4"/>
  <c r="BI49" i="9" l="1"/>
  <c r="BI125" i="9" s="1"/>
  <c r="BJ46" i="9"/>
  <c r="BJ122" i="9" s="1"/>
  <c r="BI43" i="9"/>
  <c r="BI119" i="9" s="1"/>
  <c r="X35" i="4"/>
  <c r="X5" i="4"/>
  <c r="X24" i="4" s="1"/>
  <c r="X26" i="4"/>
  <c r="X38" i="4"/>
  <c r="W282" i="2"/>
  <c r="X43" i="4" l="1"/>
  <c r="X44" i="4" s="1"/>
  <c r="AI105" i="9"/>
  <c r="BJ43" i="9"/>
  <c r="BJ119" i="9" s="1"/>
  <c r="BJ49" i="9"/>
  <c r="BJ125" i="9" s="1"/>
  <c r="BK46" i="9"/>
  <c r="BK122" i="9" s="1"/>
  <c r="W27" i="10"/>
  <c r="W47" i="10"/>
  <c r="W31" i="10"/>
  <c r="W33" i="10"/>
  <c r="W45" i="10"/>
  <c r="W49" i="10"/>
  <c r="W37" i="10"/>
  <c r="X42" i="4"/>
  <c r="AI29" i="9" l="1"/>
  <c r="BK49" i="9"/>
  <c r="BK125" i="9" s="1"/>
  <c r="BK43" i="9"/>
  <c r="BK119" i="9" s="1"/>
  <c r="AE6" i="10"/>
  <c r="AE7" i="10" s="1"/>
  <c r="AE19" i="10"/>
  <c r="V59" i="3"/>
  <c r="V54" i="3"/>
  <c r="V53" i="3"/>
  <c r="V51" i="3"/>
  <c r="BL43" i="9" l="1"/>
  <c r="BL119" i="9" s="1"/>
  <c r="BL49" i="9"/>
  <c r="BL125" i="9" s="1"/>
  <c r="V278" i="2"/>
  <c r="V277" i="2"/>
  <c r="V276" i="2"/>
  <c r="V275" i="2"/>
  <c r="V274" i="2"/>
  <c r="V270" i="2"/>
  <c r="V269" i="2"/>
  <c r="V266" i="2"/>
  <c r="V255" i="2" s="1"/>
  <c r="V241" i="2" l="1"/>
  <c r="V240" i="2"/>
  <c r="V239" i="2"/>
  <c r="V238" i="2"/>
  <c r="V237" i="2"/>
  <c r="V234" i="2"/>
  <c r="V233" i="2"/>
  <c r="V230" i="2"/>
  <c r="V218" i="2"/>
  <c r="V217" i="2"/>
  <c r="V216" i="2"/>
  <c r="V215" i="2"/>
  <c r="V214" i="2"/>
  <c r="V211" i="2"/>
  <c r="V210" i="2"/>
  <c r="V190" i="2"/>
  <c r="V114" i="2"/>
  <c r="V113" i="2"/>
  <c r="V112" i="2"/>
  <c r="V111" i="2"/>
  <c r="V110" i="2"/>
  <c r="V108" i="2"/>
  <c r="V107" i="2"/>
  <c r="W19" i="2" l="1"/>
  <c r="AI37" i="9" l="1"/>
  <c r="AJ37" i="9"/>
  <c r="AK37" i="9"/>
  <c r="AL37" i="9"/>
  <c r="AM37" i="9"/>
  <c r="AN37" i="9"/>
  <c r="AO37" i="9"/>
  <c r="AP37" i="9"/>
  <c r="AH37" i="9"/>
  <c r="AE37" i="9"/>
  <c r="V125" i="2" l="1"/>
  <c r="V32" i="3"/>
  <c r="AH92" i="9" s="1"/>
  <c r="V36" i="10" l="1"/>
  <c r="V33" i="5"/>
  <c r="W25" i="4" l="1"/>
  <c r="W7" i="4" l="1"/>
  <c r="W26" i="4" s="1"/>
  <c r="V299" i="2" l="1"/>
  <c r="T117" i="2" l="1"/>
  <c r="T116" i="2"/>
  <c r="V24" i="10" l="1"/>
  <c r="V19" i="10"/>
  <c r="V6" i="5"/>
  <c r="V22" i="3" s="1"/>
  <c r="W40" i="4"/>
  <c r="W39" i="4"/>
  <c r="W5" i="4"/>
  <c r="W47" i="4" l="1"/>
  <c r="V24" i="5"/>
  <c r="V45" i="10"/>
  <c r="V33" i="10"/>
  <c r="V31" i="10"/>
  <c r="V49" i="10"/>
  <c r="V47" i="10"/>
  <c r="V27" i="10"/>
  <c r="V37" i="10"/>
  <c r="V6" i="10"/>
  <c r="AH115" i="9" s="1"/>
  <c r="W38" i="4"/>
  <c r="W43" i="4" s="1"/>
  <c r="V7" i="3"/>
  <c r="W35" i="4" l="1"/>
  <c r="W24" i="4"/>
  <c r="W68" i="3"/>
  <c r="V79" i="3"/>
  <c r="V73" i="3"/>
  <c r="W44" i="4"/>
  <c r="W42" i="4"/>
  <c r="AG112" i="9" l="1"/>
  <c r="U36" i="10"/>
  <c r="U19" i="10"/>
  <c r="T19" i="10"/>
  <c r="U33" i="5"/>
  <c r="U25" i="4"/>
  <c r="V35" i="4"/>
  <c r="V40" i="4"/>
  <c r="V39" i="4"/>
  <c r="AG113" i="9" l="1"/>
  <c r="AG111" i="9" s="1"/>
  <c r="U299" i="2"/>
  <c r="U59" i="3"/>
  <c r="U54" i="3"/>
  <c r="U53" i="3"/>
  <c r="U51" i="3"/>
  <c r="U32" i="3"/>
  <c r="AG92" i="9" s="1"/>
  <c r="AG37" i="9" l="1"/>
  <c r="U278" i="2"/>
  <c r="U277" i="2"/>
  <c r="U276" i="2"/>
  <c r="U275" i="2"/>
  <c r="U274" i="2"/>
  <c r="U270" i="2"/>
  <c r="U269" i="2"/>
  <c r="U266" i="2"/>
  <c r="U255" i="2" s="1"/>
  <c r="U241" i="2"/>
  <c r="U240" i="2"/>
  <c r="U239" i="2"/>
  <c r="U238" i="2"/>
  <c r="U237" i="2"/>
  <c r="U234" i="2"/>
  <c r="U233" i="2"/>
  <c r="U230" i="2"/>
  <c r="U218" i="2"/>
  <c r="U217" i="2"/>
  <c r="U216" i="2"/>
  <c r="U215" i="2"/>
  <c r="U214" i="2"/>
  <c r="U211" i="2"/>
  <c r="U210" i="2"/>
  <c r="U190" i="2"/>
  <c r="U125" i="2"/>
  <c r="U108" i="2" l="1"/>
  <c r="U114" i="2" l="1"/>
  <c r="T114" i="2"/>
  <c r="U113" i="2"/>
  <c r="T113" i="2"/>
  <c r="U112" i="2"/>
  <c r="T112" i="2"/>
  <c r="U111" i="2"/>
  <c r="T111" i="2"/>
  <c r="U110" i="2"/>
  <c r="T110" i="2"/>
  <c r="T108" i="2"/>
  <c r="U107" i="2"/>
  <c r="T107" i="2"/>
  <c r="AG16" i="9" l="1"/>
  <c r="AH16" i="9"/>
  <c r="AI16" i="9"/>
  <c r="AJ16" i="9"/>
  <c r="AK16" i="9"/>
  <c r="AL16" i="9"/>
  <c r="T125" i="2" l="1"/>
  <c r="T32" i="3" l="1"/>
  <c r="AF92" i="9" l="1"/>
  <c r="AF16" i="9" l="1"/>
  <c r="T59" i="3" l="1"/>
  <c r="T54" i="3"/>
  <c r="T53" i="3"/>
  <c r="T51" i="3"/>
  <c r="T278" i="2" l="1"/>
  <c r="T277" i="2"/>
  <c r="T276" i="2"/>
  <c r="T275" i="2"/>
  <c r="T274" i="2"/>
  <c r="T270" i="2"/>
  <c r="T269" i="2"/>
  <c r="T266" i="2"/>
  <c r="T255" i="2" s="1"/>
  <c r="T241" i="2"/>
  <c r="T240" i="2"/>
  <c r="T239" i="2"/>
  <c r="T238" i="2"/>
  <c r="T237" i="2"/>
  <c r="T234" i="2"/>
  <c r="T233" i="2"/>
  <c r="T230" i="2"/>
  <c r="T218" i="2"/>
  <c r="T217" i="2"/>
  <c r="T216" i="2"/>
  <c r="T215" i="2"/>
  <c r="T214" i="2"/>
  <c r="T211" i="2"/>
  <c r="T210" i="2"/>
  <c r="T190" i="2"/>
  <c r="U6" i="10" l="1"/>
  <c r="AG115" i="9" s="1"/>
  <c r="U6" i="5"/>
  <c r="U22" i="3" s="1"/>
  <c r="V7" i="4"/>
  <c r="V26" i="4" s="1"/>
  <c r="V47" i="4" l="1"/>
  <c r="U24" i="5"/>
  <c r="V6" i="4"/>
  <c r="V25" i="4" s="1"/>
  <c r="V38" i="4"/>
  <c r="V43" i="4" s="1"/>
  <c r="U7" i="3"/>
  <c r="V5" i="4" l="1"/>
  <c r="V68" i="3"/>
  <c r="U79" i="3"/>
  <c r="U73" i="3"/>
  <c r="U47" i="10"/>
  <c r="U33" i="10"/>
  <c r="U31" i="10"/>
  <c r="U49" i="10"/>
  <c r="U45" i="10"/>
  <c r="U27" i="10"/>
  <c r="U37" i="10"/>
  <c r="V44" i="4"/>
  <c r="V42" i="4"/>
  <c r="T36" i="10"/>
  <c r="AC24" i="10"/>
  <c r="AA24" i="10"/>
  <c r="Z24" i="10"/>
  <c r="Y24" i="10"/>
  <c r="X24" i="10"/>
  <c r="W24" i="10"/>
  <c r="U24" i="10"/>
  <c r="T24" i="10"/>
  <c r="T23" i="10"/>
  <c r="T6" i="10"/>
  <c r="AF115" i="9" s="1"/>
  <c r="T25" i="5"/>
  <c r="AF109" i="9" s="1"/>
  <c r="AF108" i="9" s="1"/>
  <c r="T33" i="5"/>
  <c r="E35" i="4"/>
  <c r="T299" i="2"/>
  <c r="T20" i="10" l="1"/>
  <c r="AF116" i="9" s="1"/>
  <c r="AF114" i="9" s="1"/>
  <c r="S59" i="3" l="1"/>
  <c r="S53" i="3"/>
  <c r="S54" i="3"/>
  <c r="S234" i="2"/>
  <c r="S211" i="2"/>
  <c r="T7" i="3"/>
  <c r="U68" i="3" s="1"/>
  <c r="T32" i="11"/>
  <c r="T25" i="11"/>
  <c r="T11" i="11"/>
  <c r="T6" i="5"/>
  <c r="T22" i="3" s="1"/>
  <c r="AF113" i="9" l="1"/>
  <c r="AF37" i="9" s="1"/>
  <c r="T79" i="3"/>
  <c r="T73" i="3"/>
  <c r="T24" i="5"/>
  <c r="U47" i="4"/>
  <c r="T25" i="4"/>
  <c r="U40" i="4"/>
  <c r="U39" i="4"/>
  <c r="U7" i="4"/>
  <c r="U5" i="4" l="1"/>
  <c r="U26" i="4"/>
  <c r="U38" i="4"/>
  <c r="U43" i="4" s="1"/>
  <c r="T33" i="10" l="1"/>
  <c r="T31" i="10"/>
  <c r="T49" i="10"/>
  <c r="T27" i="10"/>
  <c r="T47" i="10"/>
  <c r="T45" i="10"/>
  <c r="T37" i="10"/>
  <c r="U42" i="4"/>
  <c r="U44" i="4"/>
  <c r="S41" i="10" l="1"/>
  <c r="S36" i="10"/>
  <c r="S33" i="5" l="1"/>
  <c r="S21" i="5"/>
  <c r="S23" i="5"/>
  <c r="S51" i="3" l="1"/>
  <c r="S108" i="2" l="1"/>
  <c r="S110" i="2"/>
  <c r="S111" i="2"/>
  <c r="S112" i="2"/>
  <c r="S113" i="2"/>
  <c r="S114" i="2"/>
  <c r="S107" i="2"/>
  <c r="S125" i="2"/>
  <c r="AM16" i="9" l="1"/>
  <c r="S190" i="2"/>
  <c r="S299" i="2"/>
  <c r="S282" i="2" l="1"/>
  <c r="AE105" i="9" s="1"/>
  <c r="S278" i="2"/>
  <c r="S277" i="2"/>
  <c r="S276" i="2"/>
  <c r="S275" i="2"/>
  <c r="S274" i="2"/>
  <c r="S270" i="2"/>
  <c r="S269" i="2"/>
  <c r="S241" i="2" l="1"/>
  <c r="S240" i="2"/>
  <c r="S239" i="2"/>
  <c r="S238" i="2"/>
  <c r="S237" i="2"/>
  <c r="S233" i="2"/>
  <c r="S230" i="2"/>
  <c r="S218" i="2"/>
  <c r="S217" i="2"/>
  <c r="S216" i="2"/>
  <c r="S215" i="2"/>
  <c r="S214" i="2"/>
  <c r="S210" i="2"/>
  <c r="AA251" i="2" l="1"/>
  <c r="AF34" i="4"/>
  <c r="AF27" i="4" l="1"/>
  <c r="AE39" i="11"/>
  <c r="AE34" i="11"/>
  <c r="AE28" i="11"/>
  <c r="AE27" i="11"/>
  <c r="AE21" i="11"/>
  <c r="AE20" i="11"/>
  <c r="AE48" i="11" s="1"/>
  <c r="AE7" i="11"/>
  <c r="AE6" i="11"/>
  <c r="AF10" i="4" l="1"/>
  <c r="AF9" i="4"/>
  <c r="AF18" i="4"/>
  <c r="AE35" i="11"/>
  <c r="AE14" i="11"/>
  <c r="AE41" i="11" l="1"/>
  <c r="AF41" i="4" l="1"/>
  <c r="AF47" i="4" l="1"/>
  <c r="AE13" i="11" l="1"/>
  <c r="AE47" i="11" l="1"/>
  <c r="AE54" i="11"/>
  <c r="AF6" i="4"/>
  <c r="AF11" i="4"/>
  <c r="AE40" i="11"/>
  <c r="AF14" i="4" l="1"/>
  <c r="AF33" i="4"/>
  <c r="AE32" i="11"/>
  <c r="AF8" i="4" l="1"/>
  <c r="AF7" i="4" l="1"/>
  <c r="AF5" i="4" l="1"/>
  <c r="R230" i="2" l="1"/>
  <c r="Q59" i="3" l="1"/>
  <c r="Q54" i="3"/>
  <c r="Q53" i="3"/>
  <c r="Q51" i="3"/>
  <c r="R21" i="2" l="1"/>
  <c r="R20" i="2"/>
  <c r="R18" i="2"/>
  <c r="R17" i="2"/>
  <c r="R16" i="2"/>
  <c r="R15" i="2"/>
  <c r="R14" i="2"/>
  <c r="R10" i="2"/>
  <c r="R9" i="2"/>
  <c r="R112" i="9" l="1"/>
  <c r="R36" i="9" s="1"/>
  <c r="AF24" i="2" l="1"/>
  <c r="AF19" i="2"/>
  <c r="AF297" i="2" l="1"/>
  <c r="AG24" i="2"/>
  <c r="AF282" i="2"/>
  <c r="AG282" i="2"/>
  <c r="AH24" i="2" l="1"/>
  <c r="AI24" i="2" l="1"/>
  <c r="AJ24" i="2" l="1"/>
  <c r="O16" i="2"/>
  <c r="O286" i="2" s="1"/>
  <c r="P16" i="2"/>
  <c r="P286" i="2" s="1"/>
  <c r="AK24" i="2" l="1"/>
  <c r="AL24" i="2" l="1"/>
  <c r="L29" i="10"/>
  <c r="M29" i="10"/>
  <c r="L27" i="10"/>
  <c r="M27" i="10"/>
  <c r="Q40" i="10"/>
  <c r="M37" i="10"/>
  <c r="Q36" i="10"/>
  <c r="M33" i="10"/>
  <c r="M31" i="10"/>
  <c r="P19" i="10"/>
  <c r="Q19" i="10"/>
  <c r="Q6" i="10" s="1"/>
  <c r="Q33" i="5"/>
  <c r="Q25" i="5"/>
  <c r="P33" i="5"/>
  <c r="P25" i="5"/>
  <c r="P23" i="5"/>
  <c r="Q23" i="5" s="1"/>
  <c r="P6" i="5"/>
  <c r="P22" i="3" s="1"/>
  <c r="P5" i="5"/>
  <c r="Q5" i="5" s="1"/>
  <c r="R47" i="4"/>
  <c r="S34" i="4"/>
  <c r="R35" i="4"/>
  <c r="Q35" i="4"/>
  <c r="Q25" i="4"/>
  <c r="T23" i="4"/>
  <c r="T20" i="4"/>
  <c r="T19" i="4"/>
  <c r="R13" i="4"/>
  <c r="R12" i="4"/>
  <c r="R25" i="4" s="1"/>
  <c r="R7" i="4"/>
  <c r="P40" i="13"/>
  <c r="N40" i="13"/>
  <c r="O40" i="13" s="1"/>
  <c r="P26" i="13"/>
  <c r="P25" i="13"/>
  <c r="P23" i="13"/>
  <c r="O22" i="13"/>
  <c r="O37" i="13" s="1"/>
  <c r="P16" i="13"/>
  <c r="P15" i="13"/>
  <c r="P14" i="13"/>
  <c r="P13" i="13"/>
  <c r="P12" i="13"/>
  <c r="P11" i="13"/>
  <c r="P10" i="13"/>
  <c r="P7" i="13"/>
  <c r="R63" i="3"/>
  <c r="R62" i="3"/>
  <c r="R61" i="3"/>
  <c r="R60" i="3"/>
  <c r="P59" i="3"/>
  <c r="P54" i="3"/>
  <c r="P53" i="3"/>
  <c r="R51" i="3"/>
  <c r="P51" i="3"/>
  <c r="R50" i="3"/>
  <c r="R47" i="3"/>
  <c r="R46" i="3"/>
  <c r="R41" i="3"/>
  <c r="Q41" i="3"/>
  <c r="Q32" i="3" s="1"/>
  <c r="R40" i="3"/>
  <c r="R39" i="3"/>
  <c r="R38" i="3"/>
  <c r="R37" i="3"/>
  <c r="R36" i="3"/>
  <c r="R34" i="3"/>
  <c r="R33" i="3"/>
  <c r="S32" i="3"/>
  <c r="R20" i="3"/>
  <c r="R19" i="3"/>
  <c r="R18" i="3"/>
  <c r="R17" i="3"/>
  <c r="R15" i="3"/>
  <c r="R14" i="3"/>
  <c r="R13" i="3"/>
  <c r="R12" i="3"/>
  <c r="R11" i="3"/>
  <c r="Q7" i="3"/>
  <c r="P7" i="3"/>
  <c r="Q68" i="3" s="1"/>
  <c r="R285" i="2"/>
  <c r="R283" i="2"/>
  <c r="S260" i="2"/>
  <c r="S259" i="2"/>
  <c r="R224" i="2"/>
  <c r="R236" i="2" s="1"/>
  <c r="R180" i="2"/>
  <c r="R179" i="2"/>
  <c r="R178" i="2"/>
  <c r="R177" i="2"/>
  <c r="R176" i="2"/>
  <c r="R175" i="2"/>
  <c r="R174" i="2"/>
  <c r="AD173" i="2"/>
  <c r="AC173" i="2"/>
  <c r="AB173" i="2"/>
  <c r="AA173" i="2"/>
  <c r="Y173" i="2"/>
  <c r="X173" i="2"/>
  <c r="W173" i="2"/>
  <c r="V173" i="2"/>
  <c r="U173" i="2"/>
  <c r="T173" i="2"/>
  <c r="S173" i="2"/>
  <c r="R172" i="2"/>
  <c r="R171" i="2"/>
  <c r="R170" i="2"/>
  <c r="R169" i="2"/>
  <c r="R168" i="2"/>
  <c r="R167" i="2"/>
  <c r="R166" i="2"/>
  <c r="R165" i="2"/>
  <c r="AD164" i="2"/>
  <c r="AC164" i="2"/>
  <c r="AB164" i="2"/>
  <c r="AA164" i="2"/>
  <c r="Y164" i="2"/>
  <c r="X164" i="2"/>
  <c r="W164" i="2"/>
  <c r="V164" i="2"/>
  <c r="U164" i="2"/>
  <c r="T164" i="2"/>
  <c r="S164" i="2"/>
  <c r="R154" i="2"/>
  <c r="R153" i="2"/>
  <c r="R152" i="2"/>
  <c r="R151" i="2"/>
  <c r="R150" i="2"/>
  <c r="R149" i="2"/>
  <c r="AD148" i="2"/>
  <c r="AC148" i="2"/>
  <c r="AB148" i="2"/>
  <c r="AA148" i="2"/>
  <c r="Y148" i="2"/>
  <c r="X148" i="2"/>
  <c r="W148" i="2"/>
  <c r="V148" i="2"/>
  <c r="U148" i="2"/>
  <c r="T148" i="2"/>
  <c r="S148" i="2"/>
  <c r="R124" i="2"/>
  <c r="R123" i="2"/>
  <c r="R122" i="2"/>
  <c r="R121" i="2"/>
  <c r="R120" i="2"/>
  <c r="R118" i="2"/>
  <c r="R117" i="2"/>
  <c r="R114" i="2"/>
  <c r="R113" i="2"/>
  <c r="R112" i="2"/>
  <c r="R111" i="2"/>
  <c r="R110" i="2"/>
  <c r="R108" i="2"/>
  <c r="R107" i="2"/>
  <c r="R93" i="2"/>
  <c r="R92" i="2"/>
  <c r="R91" i="2"/>
  <c r="R90" i="2"/>
  <c r="R89" i="2"/>
  <c r="R87" i="2"/>
  <c r="R86" i="2"/>
  <c r="R85" i="2"/>
  <c r="R83" i="2"/>
  <c r="R82" i="2"/>
  <c r="R81" i="2"/>
  <c r="R80" i="2"/>
  <c r="R79" i="2"/>
  <c r="R77" i="2"/>
  <c r="R76" i="2"/>
  <c r="R75" i="2"/>
  <c r="R74" i="2"/>
  <c r="R73" i="2"/>
  <c r="R72" i="2"/>
  <c r="R71" i="2"/>
  <c r="R70" i="2"/>
  <c r="R69" i="2"/>
  <c r="R67" i="2"/>
  <c r="R66" i="2"/>
  <c r="R65" i="2"/>
  <c r="R64" i="2"/>
  <c r="R63" i="2"/>
  <c r="R62" i="2"/>
  <c r="R60" i="2"/>
  <c r="R59" i="2"/>
  <c r="R58" i="2"/>
  <c r="R57" i="2"/>
  <c r="R56" i="2"/>
  <c r="R54" i="2"/>
  <c r="R53" i="2"/>
  <c r="AD52" i="2"/>
  <c r="AC52" i="2"/>
  <c r="AB52" i="2"/>
  <c r="AA52" i="2"/>
  <c r="Z52" i="2"/>
  <c r="Y52" i="2"/>
  <c r="X52" i="2"/>
  <c r="W52" i="2"/>
  <c r="V52" i="2"/>
  <c r="U52" i="2"/>
  <c r="T52" i="2"/>
  <c r="S52" i="2"/>
  <c r="R49" i="2"/>
  <c r="R46" i="2"/>
  <c r="R44" i="2"/>
  <c r="V40" i="2"/>
  <c r="U40" i="2"/>
  <c r="T40" i="2"/>
  <c r="S40" i="2"/>
  <c r="S19" i="2"/>
  <c r="T19" i="2"/>
  <c r="U19" i="2"/>
  <c r="V19" i="2"/>
  <c r="X19" i="2"/>
  <c r="Y19" i="2"/>
  <c r="Z19" i="2"/>
  <c r="AB19" i="2"/>
  <c r="AC19" i="2"/>
  <c r="AD19" i="2"/>
  <c r="R12" i="2"/>
  <c r="S29" i="2"/>
  <c r="T29" i="2"/>
  <c r="U29" i="2"/>
  <c r="V29" i="2"/>
  <c r="W29" i="2"/>
  <c r="X29" i="2"/>
  <c r="Y29" i="2"/>
  <c r="Z29" i="2"/>
  <c r="AA29" i="2"/>
  <c r="AB29" i="2"/>
  <c r="AC29" i="2"/>
  <c r="AD29" i="2"/>
  <c r="R30" i="2"/>
  <c r="R31" i="2"/>
  <c r="R32" i="2"/>
  <c r="R33" i="2"/>
  <c r="R34" i="2"/>
  <c r="R35" i="2"/>
  <c r="R36" i="2"/>
  <c r="Q19" i="2"/>
  <c r="Q47" i="4" l="1"/>
  <c r="AE92" i="9"/>
  <c r="Q23" i="3"/>
  <c r="Q30" i="3"/>
  <c r="Q52" i="3"/>
  <c r="S68" i="3"/>
  <c r="AM24" i="2"/>
  <c r="S266" i="2"/>
  <c r="S255" i="2" s="1"/>
  <c r="V106" i="2"/>
  <c r="U106" i="2"/>
  <c r="T106" i="2"/>
  <c r="R32" i="3"/>
  <c r="AE11" i="11"/>
  <c r="R74" i="3"/>
  <c r="S6" i="5"/>
  <c r="S22" i="3" s="1"/>
  <c r="R22" i="3" s="1"/>
  <c r="R26" i="4"/>
  <c r="S41" i="4"/>
  <c r="P73" i="3"/>
  <c r="Q73" i="3"/>
  <c r="P52" i="3"/>
  <c r="R52" i="2"/>
  <c r="S106" i="2"/>
  <c r="R5" i="4"/>
  <c r="Q49" i="10" s="1"/>
  <c r="R19" i="2"/>
  <c r="S7" i="3"/>
  <c r="R5" i="5"/>
  <c r="T24" i="2"/>
  <c r="R8" i="5"/>
  <c r="S10" i="4"/>
  <c r="S12" i="4"/>
  <c r="S13" i="4"/>
  <c r="S20" i="4"/>
  <c r="R9" i="3"/>
  <c r="R16" i="3"/>
  <c r="R8" i="3"/>
  <c r="R173" i="2"/>
  <c r="R148" i="2"/>
  <c r="R187" i="2"/>
  <c r="R200" i="2"/>
  <c r="R213" i="2" s="1"/>
  <c r="R186" i="2"/>
  <c r="R164" i="2"/>
  <c r="R185" i="2"/>
  <c r="R189" i="2"/>
  <c r="R294" i="2"/>
  <c r="R29" i="2"/>
  <c r="AE16" i="9" l="1"/>
  <c r="S24" i="5"/>
  <c r="T47" i="4"/>
  <c r="Q37" i="10"/>
  <c r="T68" i="3"/>
  <c r="AN24" i="2"/>
  <c r="S79" i="3"/>
  <c r="S73" i="3"/>
  <c r="S24" i="2"/>
  <c r="T7" i="4"/>
  <c r="T26" i="4" s="1"/>
  <c r="S25" i="2"/>
  <c r="R9" i="5"/>
  <c r="Q45" i="10"/>
  <c r="Q31" i="10"/>
  <c r="Q27" i="10"/>
  <c r="Q47" i="10"/>
  <c r="Q33" i="10"/>
  <c r="Q42" i="10"/>
  <c r="R188" i="2"/>
  <c r="R43" i="3"/>
  <c r="R53" i="3" s="1"/>
  <c r="R7" i="3"/>
  <c r="P20" i="13"/>
  <c r="T52" i="3"/>
  <c r="V24" i="2"/>
  <c r="R10" i="5"/>
  <c r="S23" i="4"/>
  <c r="P44" i="13"/>
  <c r="U52" i="3"/>
  <c r="S52" i="3"/>
  <c r="AF93" i="9" l="1"/>
  <c r="AF90" i="9" s="1"/>
  <c r="AF88" i="9" s="1"/>
  <c r="AF95" i="9" s="1"/>
  <c r="AF19" i="9" s="1"/>
  <c r="AF7" i="3"/>
  <c r="AG68" i="3" s="1"/>
  <c r="AO24" i="2"/>
  <c r="V52" i="3"/>
  <c r="T5" i="4"/>
  <c r="W24" i="2"/>
  <c r="U24" i="2"/>
  <c r="S19" i="4"/>
  <c r="P22" i="13"/>
  <c r="W52" i="3"/>
  <c r="AG93" i="9" l="1"/>
  <c r="AG90" i="9" s="1"/>
  <c r="AG88" i="9" s="1"/>
  <c r="AG95" i="9" s="1"/>
  <c r="AG19" i="9" s="1"/>
  <c r="AH93" i="9"/>
  <c r="AH90" i="9" s="1"/>
  <c r="AH88" i="9" s="1"/>
  <c r="AH95" i="9" s="1"/>
  <c r="AH19" i="9" s="1"/>
  <c r="AF17" i="9"/>
  <c r="AF52" i="3"/>
  <c r="AF79" i="3"/>
  <c r="AG7" i="3"/>
  <c r="AP24" i="2"/>
  <c r="S49" i="10"/>
  <c r="S47" i="10"/>
  <c r="S45" i="10"/>
  <c r="S42" i="10"/>
  <c r="S37" i="10"/>
  <c r="S33" i="10"/>
  <c r="S31" i="10"/>
  <c r="S27" i="10"/>
  <c r="AH17" i="9" l="1"/>
  <c r="AI93" i="9"/>
  <c r="AI90" i="9" s="1"/>
  <c r="AI88" i="9" s="1"/>
  <c r="AI95" i="9" s="1"/>
  <c r="AI19" i="9" s="1"/>
  <c r="AG17" i="9"/>
  <c r="AH68" i="3"/>
  <c r="AG52" i="3"/>
  <c r="AG79" i="3"/>
  <c r="AQ24" i="2"/>
  <c r="AG27" i="3"/>
  <c r="AG28" i="3" s="1"/>
  <c r="AH7" i="3"/>
  <c r="AE263" i="2"/>
  <c r="AE276" i="2" s="1"/>
  <c r="AE264" i="2"/>
  <c r="AE277" i="2" s="1"/>
  <c r="AE262" i="2"/>
  <c r="AE275" i="2" s="1"/>
  <c r="AE261" i="2"/>
  <c r="AE274" i="2" s="1"/>
  <c r="Y24" i="2"/>
  <c r="X24" i="2"/>
  <c r="X52" i="3"/>
  <c r="Y52" i="3"/>
  <c r="AE24" i="2" l="1"/>
  <c r="AJ93" i="9"/>
  <c r="AJ90" i="9" s="1"/>
  <c r="AJ88" i="9" s="1"/>
  <c r="AJ95" i="9" s="1"/>
  <c r="AJ19" i="9" s="1"/>
  <c r="AI17" i="9"/>
  <c r="AH79" i="3"/>
  <c r="AI68" i="3"/>
  <c r="AH52" i="3"/>
  <c r="AH73" i="3"/>
  <c r="AH27" i="3"/>
  <c r="AH28" i="3" s="1"/>
  <c r="AI7" i="3"/>
  <c r="AJ68" i="3" s="1"/>
  <c r="Z52" i="3"/>
  <c r="AK93" i="9" l="1"/>
  <c r="AK90" i="9" s="1"/>
  <c r="AK88" i="9" s="1"/>
  <c r="AK95" i="9" s="1"/>
  <c r="AK19" i="9" s="1"/>
  <c r="AJ17" i="9"/>
  <c r="AI52" i="3"/>
  <c r="AI79" i="3"/>
  <c r="AI73" i="3"/>
  <c r="AI27" i="3"/>
  <c r="AI28" i="3" s="1"/>
  <c r="AJ28" i="3" s="1"/>
  <c r="AJ7" i="3"/>
  <c r="AA244" i="2"/>
  <c r="AA24" i="2"/>
  <c r="Z24" i="2"/>
  <c r="R264" i="2"/>
  <c r="R277" i="2" s="1"/>
  <c r="AA243" i="2"/>
  <c r="AL93" i="9" l="1"/>
  <c r="AL90" i="9" s="1"/>
  <c r="AL88" i="9" s="1"/>
  <c r="AL95" i="9" s="1"/>
  <c r="AL19" i="9" s="1"/>
  <c r="AK17" i="9"/>
  <c r="AJ52" i="3"/>
  <c r="AK68" i="3"/>
  <c r="AJ79" i="3"/>
  <c r="AJ73" i="3"/>
  <c r="AK28" i="3"/>
  <c r="AL28" i="3" s="1"/>
  <c r="AJ27" i="3"/>
  <c r="AJ26" i="3" s="1"/>
  <c r="AK7" i="3"/>
  <c r="AL68" i="3" s="1"/>
  <c r="R262" i="2"/>
  <c r="R275" i="2" s="1"/>
  <c r="AB24" i="2"/>
  <c r="AA250" i="2"/>
  <c r="R259" i="2"/>
  <c r="AA248" i="2"/>
  <c r="AM28" i="3" l="1"/>
  <c r="AN28" i="3" s="1"/>
  <c r="AO28" i="3" s="1"/>
  <c r="AP28" i="3" s="1"/>
  <c r="AQ28" i="3" s="1"/>
  <c r="AM93" i="9"/>
  <c r="AM90" i="9" s="1"/>
  <c r="AM88" i="9" s="1"/>
  <c r="AM95" i="9" s="1"/>
  <c r="AM19" i="9" s="1"/>
  <c r="AL17" i="9"/>
  <c r="AK52" i="3"/>
  <c r="AK73" i="3"/>
  <c r="AK79" i="3"/>
  <c r="AJ25" i="3"/>
  <c r="AJ24" i="3"/>
  <c r="AK27" i="3" s="1"/>
  <c r="AK26" i="3" s="1"/>
  <c r="AK24" i="3" s="1"/>
  <c r="AA247" i="2"/>
  <c r="AC24" i="2"/>
  <c r="AN17" i="9"/>
  <c r="AC52" i="3"/>
  <c r="R44" i="3"/>
  <c r="R54" i="3" s="1"/>
  <c r="R261" i="2"/>
  <c r="R274" i="2" s="1"/>
  <c r="AL27" i="3" l="1"/>
  <c r="AL26" i="3" s="1"/>
  <c r="AL24" i="3" s="1"/>
  <c r="AM27" i="3" s="1"/>
  <c r="AM26" i="3" s="1"/>
  <c r="AM24" i="3" s="1"/>
  <c r="AN27" i="3" s="1"/>
  <c r="AN26" i="3" s="1"/>
  <c r="AN24" i="3" s="1"/>
  <c r="AO27" i="3" s="1"/>
  <c r="AO26" i="3" s="1"/>
  <c r="AO24" i="3" s="1"/>
  <c r="AP27" i="3" s="1"/>
  <c r="AP26" i="3" s="1"/>
  <c r="AP24" i="3" s="1"/>
  <c r="AM17" i="9"/>
  <c r="AJ31" i="3"/>
  <c r="AK25" i="3"/>
  <c r="R7" i="5"/>
  <c r="S36" i="4"/>
  <c r="S9" i="4"/>
  <c r="R42" i="3"/>
  <c r="R52" i="3" s="1"/>
  <c r="R78" i="3"/>
  <c r="R79" i="3" s="1"/>
  <c r="R48" i="3"/>
  <c r="R59" i="3" s="1"/>
  <c r="R257" i="2"/>
  <c r="R270" i="2" s="1"/>
  <c r="R256" i="2"/>
  <c r="R205" i="2"/>
  <c r="R218" i="2" s="1"/>
  <c r="R198" i="2"/>
  <c r="R211" i="2" s="1"/>
  <c r="R269" i="2" l="1"/>
  <c r="AL25" i="3"/>
  <c r="AL31" i="3" s="1"/>
  <c r="AQ27" i="3"/>
  <c r="AQ26" i="3" s="1"/>
  <c r="AQ24" i="3" s="1"/>
  <c r="AO93" i="9"/>
  <c r="AO90" i="9" s="1"/>
  <c r="AO88" i="9" s="1"/>
  <c r="AO95" i="9" s="1"/>
  <c r="AO19" i="9" s="1"/>
  <c r="AK31" i="3"/>
  <c r="R260" i="2"/>
  <c r="R273" i="2" s="1"/>
  <c r="AD24" i="2"/>
  <c r="R6" i="5"/>
  <c r="AP17" i="9"/>
  <c r="R266" i="2"/>
  <c r="R197" i="2"/>
  <c r="R210" i="2" s="1"/>
  <c r="AM25" i="3" l="1"/>
  <c r="AM31" i="3"/>
  <c r="AN25" i="3"/>
  <c r="R24" i="2"/>
  <c r="AO17" i="9"/>
  <c r="R202" i="2"/>
  <c r="R215" i="2" s="1"/>
  <c r="R204" i="2"/>
  <c r="R217" i="2" s="1"/>
  <c r="R183" i="2"/>
  <c r="R263" i="2"/>
  <c r="R276" i="2" s="1"/>
  <c r="S6" i="4"/>
  <c r="R201" i="2"/>
  <c r="R214" i="2" s="1"/>
  <c r="R182" i="2"/>
  <c r="R265" i="2"/>
  <c r="R278" i="2" s="1"/>
  <c r="R255" i="2" l="1"/>
  <c r="AN31" i="3"/>
  <c r="AO25" i="3"/>
  <c r="AF8" i="2"/>
  <c r="AF232" i="2" s="1"/>
  <c r="AF268" i="2" l="1"/>
  <c r="AG52" i="4"/>
  <c r="AG51" i="4"/>
  <c r="AP25" i="3"/>
  <c r="AO31" i="3"/>
  <c r="AG303" i="2"/>
  <c r="AF267" i="2"/>
  <c r="AF207" i="2"/>
  <c r="AF231" i="2"/>
  <c r="AF208" i="2"/>
  <c r="AF293" i="2"/>
  <c r="AF292" i="2"/>
  <c r="AF308" i="2"/>
  <c r="AG8" i="2"/>
  <c r="AG268" i="2" l="1"/>
  <c r="AG232" i="2"/>
  <c r="AH52" i="4"/>
  <c r="AH51" i="4"/>
  <c r="AQ25" i="3"/>
  <c r="AQ31" i="3" s="1"/>
  <c r="AP31" i="3"/>
  <c r="AG308" i="2"/>
  <c r="AH303" i="2"/>
  <c r="AG293" i="2"/>
  <c r="AG267" i="2"/>
  <c r="AG231" i="2"/>
  <c r="AG207" i="2"/>
  <c r="AG292" i="2"/>
  <c r="AG208" i="2"/>
  <c r="AE7" i="3"/>
  <c r="AF40" i="4"/>
  <c r="AH8" i="2"/>
  <c r="AH232" i="2" s="1"/>
  <c r="U107" i="9"/>
  <c r="U31" i="9" s="1"/>
  <c r="U110" i="9"/>
  <c r="U34" i="9" s="1"/>
  <c r="U112" i="9"/>
  <c r="U36" i="9" s="1"/>
  <c r="U113" i="9"/>
  <c r="U37" i="9" s="1"/>
  <c r="AH268" i="2" l="1"/>
  <c r="AI52" i="4"/>
  <c r="AI51" i="4"/>
  <c r="AH308" i="2"/>
  <c r="AT40" i="4"/>
  <c r="AS82" i="3"/>
  <c r="AH267" i="2"/>
  <c r="AH292" i="2"/>
  <c r="AH231" i="2"/>
  <c r="AH207" i="2"/>
  <c r="AH293" i="2"/>
  <c r="AH208" i="2"/>
  <c r="AH29" i="10"/>
  <c r="AI303" i="2"/>
  <c r="AE79" i="3"/>
  <c r="AE48" i="10"/>
  <c r="AE49" i="10"/>
  <c r="AS26" i="3"/>
  <c r="AI8" i="2"/>
  <c r="AI232" i="2" s="1"/>
  <c r="U111" i="9"/>
  <c r="U35" i="9" s="1"/>
  <c r="AI268" i="2" l="1"/>
  <c r="AJ52" i="4"/>
  <c r="AJ51" i="4"/>
  <c r="AI308" i="2"/>
  <c r="AI231" i="2"/>
  <c r="AI29" i="10"/>
  <c r="AI267" i="2"/>
  <c r="AI208" i="2"/>
  <c r="AI292" i="2"/>
  <c r="AJ303" i="2"/>
  <c r="AI293" i="2"/>
  <c r="AE31" i="3"/>
  <c r="AJ8" i="2"/>
  <c r="AJ232" i="2" s="1"/>
  <c r="AJ268" i="2" l="1"/>
  <c r="AK52" i="4"/>
  <c r="AK51" i="4"/>
  <c r="AJ308" i="2"/>
  <c r="AJ29" i="10"/>
  <c r="AJ267" i="2"/>
  <c r="AJ208" i="2"/>
  <c r="AJ293" i="2"/>
  <c r="AJ292" i="2"/>
  <c r="AK303" i="2"/>
  <c r="AK8" i="2"/>
  <c r="AK232" i="2" s="1"/>
  <c r="I25" i="4"/>
  <c r="J25" i="4"/>
  <c r="K25" i="4"/>
  <c r="L25" i="4"/>
  <c r="M25" i="4"/>
  <c r="N25" i="4"/>
  <c r="O25" i="4"/>
  <c r="P25" i="4"/>
  <c r="M26" i="4"/>
  <c r="N26" i="4"/>
  <c r="M27" i="4"/>
  <c r="N27" i="4"/>
  <c r="O27" i="4"/>
  <c r="P27" i="4"/>
  <c r="AK268" i="2" l="1"/>
  <c r="AL52" i="4"/>
  <c r="AL51" i="4"/>
  <c r="AK308" i="2"/>
  <c r="AL303" i="2"/>
  <c r="AK29" i="10"/>
  <c r="AK267" i="2"/>
  <c r="AK208" i="2"/>
  <c r="AK293" i="2"/>
  <c r="AK292" i="2"/>
  <c r="AL8" i="2"/>
  <c r="AL232" i="2" s="1"/>
  <c r="O33" i="5"/>
  <c r="N33" i="5"/>
  <c r="N24" i="5"/>
  <c r="O24" i="5"/>
  <c r="M47" i="4"/>
  <c r="N47" i="4"/>
  <c r="O47" i="4"/>
  <c r="P47" i="4"/>
  <c r="T22" i="4"/>
  <c r="O9" i="4"/>
  <c r="P9" i="4" s="1"/>
  <c r="O59" i="3"/>
  <c r="N59" i="3"/>
  <c r="N53" i="3"/>
  <c r="O53" i="3"/>
  <c r="N54" i="3"/>
  <c r="O54" i="3"/>
  <c r="AL268" i="2" l="1"/>
  <c r="AM52" i="4"/>
  <c r="AF52" i="4" s="1"/>
  <c r="AM51" i="4"/>
  <c r="AF51" i="4" s="1"/>
  <c r="AL308" i="2"/>
  <c r="AL293" i="2"/>
  <c r="AL292" i="2"/>
  <c r="AL267" i="2"/>
  <c r="AL29" i="10"/>
  <c r="AL208" i="2"/>
  <c r="AM303" i="2"/>
  <c r="O7" i="4"/>
  <c r="O26" i="4" s="1"/>
  <c r="P7" i="4"/>
  <c r="P26" i="4" s="1"/>
  <c r="Q9" i="4"/>
  <c r="Q7" i="4" s="1"/>
  <c r="Q11" i="4"/>
  <c r="Q27" i="4" s="1"/>
  <c r="S22" i="4"/>
  <c r="AM29" i="10" l="1"/>
  <c r="AM293" i="2"/>
  <c r="AM292" i="2"/>
  <c r="T21" i="4"/>
  <c r="R11" i="4"/>
  <c r="R27" i="4" s="1"/>
  <c r="Q5" i="4"/>
  <c r="Q26" i="4"/>
  <c r="P49" i="10" l="1"/>
  <c r="P37" i="10"/>
  <c r="P33" i="10"/>
  <c r="P45" i="10"/>
  <c r="P42" i="10"/>
  <c r="P47" i="10"/>
  <c r="P31" i="10"/>
  <c r="P27" i="10"/>
  <c r="S21" i="4" l="1"/>
  <c r="AE18" i="9"/>
  <c r="AF18" i="9" l="1"/>
  <c r="AT39" i="4" l="1"/>
  <c r="AH18" i="9"/>
  <c r="AT289" i="2" l="1"/>
  <c r="BF30" i="9" s="1"/>
  <c r="BF106" i="9" s="1"/>
  <c r="AS289" i="2"/>
  <c r="AT38" i="4"/>
  <c r="AT43" i="4" s="1"/>
  <c r="AT44" i="4" s="1"/>
  <c r="AI18" i="9"/>
  <c r="BE30" i="9" l="1"/>
  <c r="BE106" i="9" s="1"/>
  <c r="AU289" i="2"/>
  <c r="BG30" i="9" s="1"/>
  <c r="BG106" i="9" s="1"/>
  <c r="AE66" i="3"/>
  <c r="AE68" i="3" s="1"/>
  <c r="AJ18" i="9"/>
  <c r="AV289" i="2" l="1"/>
  <c r="BH30" i="9" s="1"/>
  <c r="BH106" i="9" s="1"/>
  <c r="AA242" i="2"/>
  <c r="AA249" i="2"/>
  <c r="AW289" i="2" l="1"/>
  <c r="BI30" i="9" l="1"/>
  <c r="BI106" i="9" s="1"/>
  <c r="AX289" i="2"/>
  <c r="BJ30" i="9" s="1"/>
  <c r="BJ106" i="9" s="1"/>
  <c r="AC242" i="2"/>
  <c r="AY289" i="2" l="1"/>
  <c r="BK30" i="9" s="1"/>
  <c r="BK106" i="9" s="1"/>
  <c r="R203" i="2"/>
  <c r="R216" i="2" s="1"/>
  <c r="M35" i="4" l="1"/>
  <c r="N35" i="4"/>
  <c r="AF112" i="9" l="1"/>
  <c r="AF111" i="9" s="1"/>
  <c r="AH112" i="9"/>
  <c r="AH111" i="9" s="1"/>
  <c r="AI112" i="9"/>
  <c r="AI111" i="9" s="1"/>
  <c r="AK112" i="9"/>
  <c r="AK111" i="9" s="1"/>
  <c r="AL112" i="9"/>
  <c r="AL111" i="9" s="1"/>
  <c r="AN112" i="9"/>
  <c r="AN111" i="9" s="1"/>
  <c r="AO112" i="9"/>
  <c r="AO111" i="9" s="1"/>
  <c r="AE112" i="9"/>
  <c r="AE111" i="9" s="1"/>
  <c r="L24" i="2" l="1"/>
  <c r="M24" i="2"/>
  <c r="O24" i="2"/>
  <c r="P24" i="2"/>
  <c r="Q24" i="2"/>
  <c r="Y89" i="9" l="1"/>
  <c r="Y13" i="9" s="1"/>
  <c r="Y91" i="9"/>
  <c r="Y15" i="9" s="1"/>
  <c r="Y92" i="9"/>
  <c r="Y16" i="9" s="1"/>
  <c r="Y93" i="9"/>
  <c r="Y17" i="9" s="1"/>
  <c r="Y94" i="9"/>
  <c r="Y98" i="9"/>
  <c r="Y99" i="9"/>
  <c r="Y23" i="9" s="1"/>
  <c r="Y101" i="9"/>
  <c r="Y25" i="9" s="1"/>
  <c r="Z101" i="9"/>
  <c r="Z25" i="9" s="1"/>
  <c r="AA101" i="9"/>
  <c r="AA25" i="9" s="1"/>
  <c r="AB101" i="9"/>
  <c r="AB25" i="9" s="1"/>
  <c r="AC101" i="9"/>
  <c r="AC25" i="9" s="1"/>
  <c r="Y102" i="9"/>
  <c r="Y26" i="9" s="1"/>
  <c r="Y103" i="9"/>
  <c r="Y27" i="9" s="1"/>
  <c r="Y105" i="9"/>
  <c r="Y29" i="9" s="1"/>
  <c r="Y106" i="9"/>
  <c r="Y30" i="9" s="1"/>
  <c r="Y107" i="9"/>
  <c r="Y31" i="9" s="1"/>
  <c r="Y109" i="9"/>
  <c r="Y33" i="9" s="1"/>
  <c r="Y110" i="9"/>
  <c r="Y34" i="9" s="1"/>
  <c r="Y112" i="9"/>
  <c r="Y36" i="9" s="1"/>
  <c r="Y113" i="9"/>
  <c r="Y37" i="9" s="1"/>
  <c r="Y115" i="9"/>
  <c r="Y39" i="9" s="1"/>
  <c r="Y117" i="9"/>
  <c r="Y41" i="9" s="1"/>
  <c r="Y118" i="9"/>
  <c r="Y42" i="9" s="1"/>
  <c r="Y119" i="9"/>
  <c r="Y43" i="9" s="1"/>
  <c r="Y120" i="9"/>
  <c r="Y44" i="9" s="1"/>
  <c r="Y121" i="9"/>
  <c r="Z121" i="9"/>
  <c r="AA121" i="9"/>
  <c r="AB121" i="9"/>
  <c r="Y122" i="9"/>
  <c r="Y46" i="9" s="1"/>
  <c r="Y123" i="9"/>
  <c r="Y47" i="9" s="1"/>
  <c r="Y124" i="9"/>
  <c r="Y48" i="9" s="1"/>
  <c r="Y125" i="9"/>
  <c r="Y49" i="9" s="1"/>
  <c r="Y126" i="9"/>
  <c r="Y50" i="9" s="1"/>
  <c r="Y127" i="9"/>
  <c r="Y51" i="9" s="1"/>
  <c r="Z127" i="9"/>
  <c r="Z51" i="9" s="1"/>
  <c r="AA127" i="9"/>
  <c r="AA51" i="9" s="1"/>
  <c r="AB127" i="9"/>
  <c r="AB51" i="9" s="1"/>
  <c r="AC127" i="9"/>
  <c r="AC51" i="9" s="1"/>
  <c r="M24" i="5"/>
  <c r="L24" i="5"/>
  <c r="Y18" i="9" l="1"/>
  <c r="Y85" i="9"/>
  <c r="AB45" i="9"/>
  <c r="Y22" i="9"/>
  <c r="AA45" i="9"/>
  <c r="Z45" i="9"/>
  <c r="Y45" i="9"/>
  <c r="Y108" i="9"/>
  <c r="Y32" i="9" s="1"/>
  <c r="Y111" i="9"/>
  <c r="Y35" i="9" s="1"/>
  <c r="Y97" i="9"/>
  <c r="Y21" i="9" s="1"/>
  <c r="Y104" i="9"/>
  <c r="Y28" i="9" s="1"/>
  <c r="Y90" i="9"/>
  <c r="Y14" i="9" s="1"/>
  <c r="Y88" i="9" l="1"/>
  <c r="Y12" i="9" s="1"/>
  <c r="Y95" i="9" l="1"/>
  <c r="Y19" i="9" s="1"/>
  <c r="L49" i="10" l="1"/>
  <c r="M49" i="10"/>
  <c r="L47" i="10"/>
  <c r="M47" i="10"/>
  <c r="L45" i="10"/>
  <c r="M45" i="10"/>
  <c r="Z123" i="9"/>
  <c r="L42" i="10"/>
  <c r="M42" i="10"/>
  <c r="L37" i="10"/>
  <c r="L33" i="10"/>
  <c r="L31" i="10"/>
  <c r="L23" i="10"/>
  <c r="M23" i="10"/>
  <c r="L24" i="10"/>
  <c r="M24" i="10"/>
  <c r="P24" i="10"/>
  <c r="Q24" i="10"/>
  <c r="N19" i="5"/>
  <c r="N18" i="5"/>
  <c r="O18" i="5" s="1"/>
  <c r="Z47" i="9" l="1"/>
  <c r="L20" i="10"/>
  <c r="Z113" i="9"/>
  <c r="Z37" i="9" s="1"/>
  <c r="AC121" i="9"/>
  <c r="P18" i="5"/>
  <c r="O19" i="5"/>
  <c r="P19" i="5" s="1"/>
  <c r="Q19" i="5" s="1"/>
  <c r="M20" i="10"/>
  <c r="Y116" i="9" s="1"/>
  <c r="Y40" i="9" s="1"/>
  <c r="AA110" i="9"/>
  <c r="AA34" i="9" s="1"/>
  <c r="AC45" i="9" l="1"/>
  <c r="P21" i="5"/>
  <c r="Q21" i="5" s="1"/>
  <c r="Y114" i="9"/>
  <c r="Y38" i="9" s="1"/>
  <c r="N24" i="2"/>
  <c r="AA109" i="9"/>
  <c r="AA33" i="9" s="1"/>
  <c r="N25" i="2"/>
  <c r="Q18" i="5"/>
  <c r="O6" i="10"/>
  <c r="AA115" i="9" s="1"/>
  <c r="AA39" i="9" s="1"/>
  <c r="Z102" i="9"/>
  <c r="Z26" i="9" s="1"/>
  <c r="AA126" i="9"/>
  <c r="AA50" i="9" s="1"/>
  <c r="O25" i="2"/>
  <c r="AA98" i="9"/>
  <c r="AA123" i="9"/>
  <c r="AA22" i="9" l="1"/>
  <c r="AA47" i="9"/>
  <c r="AA108" i="9"/>
  <c r="AA32" i="9" s="1"/>
  <c r="Y96" i="9"/>
  <c r="Y20" i="9" s="1"/>
  <c r="Z110" i="9"/>
  <c r="Z34" i="9" s="1"/>
  <c r="Z109" i="9"/>
  <c r="Z33" i="9" s="1"/>
  <c r="AA99" i="9"/>
  <c r="AA23" i="9" s="1"/>
  <c r="AA118" i="9"/>
  <c r="AA42" i="9" s="1"/>
  <c r="AB98" i="9"/>
  <c r="AA122" i="9"/>
  <c r="AA46" i="9" s="1"/>
  <c r="P5" i="4"/>
  <c r="AA102" i="9"/>
  <c r="AA26" i="9" s="1"/>
  <c r="AA120" i="9"/>
  <c r="AA44" i="9" s="1"/>
  <c r="AA124" i="9"/>
  <c r="AA48" i="9" s="1"/>
  <c r="P25" i="2"/>
  <c r="AA125" i="9"/>
  <c r="AA49" i="9" s="1"/>
  <c r="AA119" i="9"/>
  <c r="AA43" i="9" s="1"/>
  <c r="AB115" i="9"/>
  <c r="AB39" i="9" s="1"/>
  <c r="AB123" i="9"/>
  <c r="AB110" i="9"/>
  <c r="AB34" i="9" s="1"/>
  <c r="AB109" i="9"/>
  <c r="AB33" i="9" s="1"/>
  <c r="O5" i="4"/>
  <c r="Z126" i="9"/>
  <c r="Z50" i="9" s="1"/>
  <c r="Z125" i="9"/>
  <c r="Z49" i="9" s="1"/>
  <c r="Z122" i="9"/>
  <c r="Z46" i="9" s="1"/>
  <c r="Z124" i="9"/>
  <c r="Z48" i="9" s="1"/>
  <c r="Z120" i="9"/>
  <c r="Z44" i="9" s="1"/>
  <c r="Z119" i="9"/>
  <c r="Z43" i="9" s="1"/>
  <c r="Z118" i="9"/>
  <c r="Z42" i="9" s="1"/>
  <c r="P35" i="4"/>
  <c r="L40" i="13"/>
  <c r="M40" i="13" s="1"/>
  <c r="AB22" i="9" l="1"/>
  <c r="AB47" i="9"/>
  <c r="S25" i="5"/>
  <c r="AE109" i="9" s="1"/>
  <c r="AE108" i="9" s="1"/>
  <c r="O49" i="10"/>
  <c r="O45" i="10"/>
  <c r="O33" i="10"/>
  <c r="O37" i="10"/>
  <c r="O27" i="10"/>
  <c r="O47" i="10"/>
  <c r="O42" i="10"/>
  <c r="O31" i="10"/>
  <c r="N37" i="10"/>
  <c r="N27" i="10"/>
  <c r="N47" i="10"/>
  <c r="N42" i="10"/>
  <c r="N31" i="10"/>
  <c r="N49" i="10"/>
  <c r="N45" i="10"/>
  <c r="N33" i="10"/>
  <c r="Z108" i="9"/>
  <c r="Z32" i="9" s="1"/>
  <c r="Y128" i="9"/>
  <c r="Y52" i="9" s="1"/>
  <c r="AB108" i="9"/>
  <c r="AB32" i="9" s="1"/>
  <c r="AB125" i="9"/>
  <c r="AB49" i="9" s="1"/>
  <c r="AB126" i="9"/>
  <c r="AB50" i="9" s="1"/>
  <c r="AB118" i="9"/>
  <c r="AB42" i="9" s="1"/>
  <c r="AB119" i="9"/>
  <c r="AB43" i="9" s="1"/>
  <c r="AB99" i="9"/>
  <c r="AB23" i="9" s="1"/>
  <c r="AC118" i="9"/>
  <c r="AC42" i="9" s="1"/>
  <c r="Q25" i="2"/>
  <c r="AB120" i="9"/>
  <c r="AB44" i="9" s="1"/>
  <c r="AB102" i="9"/>
  <c r="AB26" i="9" s="1"/>
  <c r="AC102" i="9"/>
  <c r="AC26" i="9" s="1"/>
  <c r="AB122" i="9"/>
  <c r="AB46" i="9" s="1"/>
  <c r="Z93" i="9"/>
  <c r="Z17" i="9" s="1"/>
  <c r="AC123" i="9"/>
  <c r="AC47" i="9" l="1"/>
  <c r="Y79" i="9"/>
  <c r="Y75" i="9"/>
  <c r="Y77" i="9" s="1"/>
  <c r="AC119" i="9"/>
  <c r="AC43" i="9" s="1"/>
  <c r="AC122" i="9"/>
  <c r="AC46" i="9" s="1"/>
  <c r="AC125" i="9"/>
  <c r="AC49" i="9" s="1"/>
  <c r="AC126" i="9"/>
  <c r="AC50" i="9" s="1"/>
  <c r="AC120" i="9"/>
  <c r="AC44" i="9" s="1"/>
  <c r="F36" i="4"/>
  <c r="AB93" i="9"/>
  <c r="AB17" i="9" s="1"/>
  <c r="AA93" i="9"/>
  <c r="AA17" i="9" s="1"/>
  <c r="AC110" i="9"/>
  <c r="AC34" i="9" s="1"/>
  <c r="AC109" i="9"/>
  <c r="AC33" i="9" s="1"/>
  <c r="AC108" i="9" l="1"/>
  <c r="AC32" i="9" s="1"/>
  <c r="AC93" i="9" l="1"/>
  <c r="AC17" i="9" s="1"/>
  <c r="M73" i="3" l="1"/>
  <c r="L73" i="3"/>
  <c r="M82" i="3"/>
  <c r="L82" i="3"/>
  <c r="K82" i="3"/>
  <c r="J82" i="3"/>
  <c r="I82" i="3"/>
  <c r="H82" i="3"/>
  <c r="G82" i="3"/>
  <c r="F82" i="3"/>
  <c r="M68" i="3"/>
  <c r="M83" i="3" l="1"/>
  <c r="Q8" i="2"/>
  <c r="P8" i="2"/>
  <c r="P268" i="2" s="1"/>
  <c r="O8" i="2"/>
  <c r="O268" i="2" s="1"/>
  <c r="N8" i="2"/>
  <c r="L25" i="2"/>
  <c r="M25" i="2"/>
  <c r="N29" i="10" l="1"/>
  <c r="N268" i="2"/>
  <c r="S303" i="2"/>
  <c r="Q268" i="2"/>
  <c r="Q29" i="10"/>
  <c r="O29" i="10"/>
  <c r="P29" i="10"/>
  <c r="AA117" i="9"/>
  <c r="AA41" i="9" s="1"/>
  <c r="Z117" i="9"/>
  <c r="Z41" i="9" s="1"/>
  <c r="S297" i="2" l="1"/>
  <c r="T297" i="2" l="1"/>
  <c r="Z107" i="9"/>
  <c r="Z31" i="9" s="1"/>
  <c r="U297" i="2" l="1"/>
  <c r="AA107" i="9"/>
  <c r="AA31" i="9" s="1"/>
  <c r="V297" i="2" l="1"/>
  <c r="AC107" i="9"/>
  <c r="AC31" i="9" s="1"/>
  <c r="AB107" i="9"/>
  <c r="AB31" i="9" s="1"/>
  <c r="W297" i="2" l="1"/>
  <c r="X297" i="2" l="1"/>
  <c r="Y297" i="2" l="1"/>
  <c r="Z297" i="2" l="1"/>
  <c r="AA297" i="2" l="1"/>
  <c r="AC297" i="2" l="1"/>
  <c r="R298" i="2" l="1"/>
  <c r="R299" i="2" s="1"/>
  <c r="R297" i="2"/>
  <c r="K25" i="2"/>
  <c r="J25" i="2"/>
  <c r="I25" i="2"/>
  <c r="H25" i="2"/>
  <c r="G25" i="2"/>
  <c r="F25" i="2"/>
  <c r="G7" i="4" l="1"/>
  <c r="J7" i="4"/>
  <c r="J26" i="4" s="1"/>
  <c r="L7" i="4"/>
  <c r="L26" i="4" s="1"/>
  <c r="H9" i="4"/>
  <c r="H7" i="4" s="1"/>
  <c r="I10" i="4"/>
  <c r="I7" i="4" s="1"/>
  <c r="I26" i="4" s="1"/>
  <c r="K10" i="4"/>
  <c r="K7" i="4" s="1"/>
  <c r="K26" i="4" s="1"/>
  <c r="AF25" i="9" l="1"/>
  <c r="AG25" i="9"/>
  <c r="AH25" i="9"/>
  <c r="AI25" i="9"/>
  <c r="AJ25" i="9"/>
  <c r="AK25" i="9"/>
  <c r="AL25" i="9"/>
  <c r="AM25" i="9"/>
  <c r="AN25" i="9"/>
  <c r="AO25" i="9"/>
  <c r="AP25" i="9"/>
  <c r="AF44" i="9"/>
  <c r="AG44" i="9"/>
  <c r="AH44" i="9"/>
  <c r="AI44" i="9"/>
  <c r="AJ44" i="9"/>
  <c r="AF51" i="9"/>
  <c r="AG51" i="9"/>
  <c r="AH51" i="9"/>
  <c r="AI51" i="9"/>
  <c r="AJ51" i="9"/>
  <c r="AK51" i="9"/>
  <c r="AL51" i="9"/>
  <c r="AM51" i="9"/>
  <c r="AN51" i="9"/>
  <c r="AO51" i="9"/>
  <c r="AP51" i="9"/>
  <c r="AE51" i="9"/>
  <c r="AE47" i="9"/>
  <c r="AE45" i="9"/>
  <c r="AE26" i="9"/>
  <c r="AE25" i="9"/>
  <c r="S41" i="11"/>
  <c r="S40" i="11"/>
  <c r="R39" i="11"/>
  <c r="R35" i="11"/>
  <c r="R34" i="11"/>
  <c r="R28" i="11"/>
  <c r="R27" i="11"/>
  <c r="R21" i="11"/>
  <c r="R20" i="11"/>
  <c r="R48" i="11" s="1"/>
  <c r="R14" i="11"/>
  <c r="R13" i="11"/>
  <c r="R7" i="11"/>
  <c r="R6" i="11"/>
  <c r="R47" i="11" l="1"/>
  <c r="R54" i="11"/>
  <c r="S49" i="11"/>
  <c r="S45" i="11"/>
  <c r="R45" i="11" s="1"/>
  <c r="AF47" i="9"/>
  <c r="AF45" i="9"/>
  <c r="R41" i="11"/>
  <c r="R40" i="11"/>
  <c r="AG47" i="9" l="1"/>
  <c r="AG45" i="9"/>
  <c r="AH47" i="9" l="1"/>
  <c r="AH45" i="9"/>
  <c r="AI47" i="9" l="1"/>
  <c r="AI45" i="9"/>
  <c r="AJ47" i="9" l="1"/>
  <c r="AJ45" i="9"/>
  <c r="AK47" i="9" l="1"/>
  <c r="AK45" i="9"/>
  <c r="AL47" i="9" l="1"/>
  <c r="AL45" i="9"/>
  <c r="R50" i="10"/>
  <c r="AM47" i="9" l="1"/>
  <c r="AM45" i="9"/>
  <c r="R18" i="10"/>
  <c r="R12" i="10"/>
  <c r="R17" i="10"/>
  <c r="R25" i="10" l="1"/>
  <c r="R11" i="10"/>
  <c r="R16" i="10"/>
  <c r="AN47" i="9"/>
  <c r="AN45" i="9"/>
  <c r="R13" i="10"/>
  <c r="R10" i="10"/>
  <c r="R15" i="10"/>
  <c r="R14" i="10"/>
  <c r="AO47" i="9" l="1"/>
  <c r="R38" i="10"/>
  <c r="AO45" i="9"/>
  <c r="R30" i="5"/>
  <c r="T20" i="5"/>
  <c r="U20" i="5" s="1"/>
  <c r="R19" i="5"/>
  <c r="T18" i="5"/>
  <c r="T21" i="5" s="1"/>
  <c r="R15" i="5"/>
  <c r="R14" i="5"/>
  <c r="T25" i="2" l="1"/>
  <c r="AP47" i="9"/>
  <c r="R43" i="10"/>
  <c r="AP45" i="9"/>
  <c r="AF26" i="9"/>
  <c r="R26" i="10"/>
  <c r="R21" i="10"/>
  <c r="V20" i="5"/>
  <c r="W20" i="5" s="1"/>
  <c r="X20" i="5" s="1"/>
  <c r="Y20" i="5" s="1"/>
  <c r="Z20" i="5" s="1"/>
  <c r="AA20" i="5" s="1"/>
  <c r="AB20" i="5" s="1"/>
  <c r="AC20" i="5" s="1"/>
  <c r="AD20" i="5" s="1"/>
  <c r="U18" i="5"/>
  <c r="U25" i="5" l="1"/>
  <c r="AG109" i="9" s="1"/>
  <c r="AG108" i="9" s="1"/>
  <c r="U21" i="5"/>
  <c r="U25" i="2"/>
  <c r="AG26" i="9"/>
  <c r="R35" i="10"/>
  <c r="V18" i="5"/>
  <c r="V21" i="5" s="1"/>
  <c r="R23" i="5"/>
  <c r="R20" i="5"/>
  <c r="V25" i="5" l="1"/>
  <c r="AH109" i="9" s="1"/>
  <c r="AH108" i="9" s="1"/>
  <c r="V25" i="2"/>
  <c r="AF33" i="9"/>
  <c r="AH26" i="9"/>
  <c r="W18" i="5"/>
  <c r="W25" i="5" l="1"/>
  <c r="AI109" i="9" s="1"/>
  <c r="AI108" i="9" s="1"/>
  <c r="W21" i="5"/>
  <c r="W25" i="2"/>
  <c r="AI26" i="9"/>
  <c r="X18" i="5"/>
  <c r="X25" i="5" l="1"/>
  <c r="AJ109" i="9" s="1"/>
  <c r="AJ108" i="9" s="1"/>
  <c r="X21" i="5"/>
  <c r="X25" i="2"/>
  <c r="AJ26" i="9"/>
  <c r="AG33" i="9"/>
  <c r="R9" i="10"/>
  <c r="Y18" i="5"/>
  <c r="Y25" i="5" l="1"/>
  <c r="AK109" i="9" s="1"/>
  <c r="AK108" i="9" s="1"/>
  <c r="Y21" i="5"/>
  <c r="Y25" i="2"/>
  <c r="AK26" i="9"/>
  <c r="AH33" i="9"/>
  <c r="Z18" i="5"/>
  <c r="Z25" i="5" l="1"/>
  <c r="AL109" i="9" s="1"/>
  <c r="AL108" i="9" s="1"/>
  <c r="Z21" i="5"/>
  <c r="Z25" i="2"/>
  <c r="AL26" i="9"/>
  <c r="AI33" i="9"/>
  <c r="AA18" i="5"/>
  <c r="AA21" i="5" s="1"/>
  <c r="AA25" i="2" l="1"/>
  <c r="AM26" i="9"/>
  <c r="AJ33" i="9"/>
  <c r="AB18" i="5"/>
  <c r="AB21" i="5" s="1"/>
  <c r="AN26" i="9" l="1"/>
  <c r="AK33" i="9"/>
  <c r="AC18" i="5"/>
  <c r="AC21" i="5" s="1"/>
  <c r="AO26" i="9" l="1"/>
  <c r="AD18" i="5"/>
  <c r="AD21" i="5" s="1"/>
  <c r="R21" i="5" s="1"/>
  <c r="AP26" i="9" l="1"/>
  <c r="AM33" i="9"/>
  <c r="R26" i="5"/>
  <c r="R18" i="5"/>
  <c r="R31" i="5" l="1"/>
  <c r="S31" i="3" l="1"/>
  <c r="V26" i="3"/>
  <c r="U26" i="3"/>
  <c r="T26" i="3"/>
  <c r="T31" i="3" l="1"/>
  <c r="U31" i="3"/>
  <c r="V31" i="3" l="1"/>
  <c r="AE31" i="5" l="1"/>
  <c r="AE31" i="9" l="1"/>
  <c r="AF31" i="9"/>
  <c r="AG31" i="9" l="1"/>
  <c r="AH31" i="9" l="1"/>
  <c r="AI31" i="9" l="1"/>
  <c r="AJ31" i="9" l="1"/>
  <c r="AK31" i="9" l="1"/>
  <c r="AL31" i="9" l="1"/>
  <c r="X127" i="9"/>
  <c r="X51" i="9" s="1"/>
  <c r="X101" i="9"/>
  <c r="X25" i="9" s="1"/>
  <c r="V113" i="9"/>
  <c r="V37" i="9" s="1"/>
  <c r="W113" i="9" l="1"/>
  <c r="W37" i="9" s="1"/>
  <c r="AN31" i="9"/>
  <c r="AM31" i="9"/>
  <c r="X113" i="9"/>
  <c r="X37" i="9" s="1"/>
  <c r="X112" i="9"/>
  <c r="X36" i="9" s="1"/>
  <c r="K40" i="10"/>
  <c r="K36" i="10"/>
  <c r="K23" i="5"/>
  <c r="AP31" i="9" l="1"/>
  <c r="AO31" i="9"/>
  <c r="X111" i="9"/>
  <c r="X35" i="9" s="1"/>
  <c r="K33" i="5"/>
  <c r="K59" i="3"/>
  <c r="K54" i="3"/>
  <c r="K53" i="3"/>
  <c r="K51" i="3"/>
  <c r="Z98" i="9" l="1"/>
  <c r="Z22" i="9" l="1"/>
  <c r="E18" i="10"/>
  <c r="J23" i="5" l="1"/>
  <c r="J33" i="5"/>
  <c r="J59" i="3"/>
  <c r="J56" i="3"/>
  <c r="J54" i="3"/>
  <c r="J53" i="3"/>
  <c r="J51" i="3"/>
  <c r="J41" i="3" l="1"/>
  <c r="W127" i="9" l="1"/>
  <c r="W51" i="9" s="1"/>
  <c r="W112" i="9"/>
  <c r="W36" i="9" s="1"/>
  <c r="W107" i="9"/>
  <c r="W31" i="9" s="1"/>
  <c r="W101" i="9"/>
  <c r="W25" i="9" s="1"/>
  <c r="J40" i="10"/>
  <c r="J36" i="10"/>
  <c r="W111" i="9" l="1"/>
  <c r="W35" i="9" s="1"/>
  <c r="K39" i="4"/>
  <c r="J40" i="4"/>
  <c r="J39" i="4"/>
  <c r="G5" i="5" l="1"/>
  <c r="I26" i="3" l="1"/>
  <c r="I23" i="5" l="1"/>
  <c r="H23" i="5"/>
  <c r="G23" i="5"/>
  <c r="I59" i="3"/>
  <c r="I56" i="3"/>
  <c r="I54" i="3"/>
  <c r="I53" i="3"/>
  <c r="I51" i="3"/>
  <c r="I41" i="3" l="1"/>
  <c r="V112" i="9" l="1"/>
  <c r="V36" i="9" s="1"/>
  <c r="V127" i="9"/>
  <c r="V51" i="9" s="1"/>
  <c r="V123" i="9"/>
  <c r="V47" i="9" s="1"/>
  <c r="V121" i="9"/>
  <c r="V107" i="9"/>
  <c r="V31" i="9" s="1"/>
  <c r="V102" i="9"/>
  <c r="V26" i="9" s="1"/>
  <c r="V101" i="9"/>
  <c r="V25" i="9" s="1"/>
  <c r="V45" i="9" l="1"/>
  <c r="V111" i="9"/>
  <c r="V35" i="9" s="1"/>
  <c r="I40" i="10"/>
  <c r="H40" i="10"/>
  <c r="I36" i="10"/>
  <c r="I24" i="10"/>
  <c r="I23" i="10"/>
  <c r="H24" i="10"/>
  <c r="H23" i="10"/>
  <c r="F24" i="10"/>
  <c r="F23" i="10"/>
  <c r="I33" i="5"/>
  <c r="I20" i="10" l="1"/>
  <c r="U116" i="9" s="1"/>
  <c r="U40" i="9" s="1"/>
  <c r="H20" i="10"/>
  <c r="F20" i="10"/>
  <c r="J38" i="4" l="1"/>
  <c r="J43" i="4" s="1"/>
  <c r="H26" i="3" l="1"/>
  <c r="G26" i="3"/>
  <c r="F26" i="3"/>
  <c r="H59" i="3"/>
  <c r="H56" i="3"/>
  <c r="H54" i="3"/>
  <c r="H53" i="3"/>
  <c r="H51" i="3"/>
  <c r="H41" i="3" l="1"/>
  <c r="T113" i="9" l="1"/>
  <c r="T37" i="9" s="1"/>
  <c r="T112" i="9"/>
  <c r="T36" i="9" s="1"/>
  <c r="U127" i="9"/>
  <c r="U51" i="9" s="1"/>
  <c r="U123" i="9"/>
  <c r="U47" i="9" s="1"/>
  <c r="U121" i="9"/>
  <c r="U102" i="9"/>
  <c r="U26" i="9" s="1"/>
  <c r="U101" i="9"/>
  <c r="U25" i="9" s="1"/>
  <c r="U45" i="9" l="1"/>
  <c r="H36" i="10" l="1"/>
  <c r="H33" i="5" l="1"/>
  <c r="AC98" i="9" l="1"/>
  <c r="T127" i="9"/>
  <c r="T51" i="9" s="1"/>
  <c r="T123" i="9"/>
  <c r="T47" i="9" s="1"/>
  <c r="T121" i="9"/>
  <c r="T117" i="9"/>
  <c r="T41" i="9" s="1"/>
  <c r="T107" i="9"/>
  <c r="T31" i="9" s="1"/>
  <c r="T105" i="9"/>
  <c r="T29" i="9" s="1"/>
  <c r="T102" i="9"/>
  <c r="T26" i="9" s="1"/>
  <c r="T101" i="9"/>
  <c r="T25" i="9" s="1"/>
  <c r="T94" i="9"/>
  <c r="T89" i="9"/>
  <c r="T13" i="9" s="1"/>
  <c r="T18" i="9" l="1"/>
  <c r="T85" i="9"/>
  <c r="T45" i="9"/>
  <c r="AC22" i="9"/>
  <c r="G59" i="3"/>
  <c r="G56" i="3"/>
  <c r="G54" i="3"/>
  <c r="G53" i="3"/>
  <c r="G51" i="3"/>
  <c r="G41" i="3" l="1"/>
  <c r="G40" i="10" l="1"/>
  <c r="G36" i="10" l="1"/>
  <c r="G33" i="5" l="1"/>
  <c r="H40" i="4"/>
  <c r="H39" i="4"/>
  <c r="H25" i="4"/>
  <c r="F25" i="5" l="1"/>
  <c r="F19" i="10" l="1"/>
  <c r="R113" i="9"/>
  <c r="R37" i="9" s="1"/>
  <c r="R91" i="9" l="1"/>
  <c r="R15" i="9" s="1"/>
  <c r="R92" i="9"/>
  <c r="R16" i="9" s="1"/>
  <c r="F40" i="10" l="1"/>
  <c r="F33" i="5"/>
  <c r="F23" i="5"/>
  <c r="F21" i="5"/>
  <c r="F59" i="3"/>
  <c r="F56" i="3"/>
  <c r="F54" i="3"/>
  <c r="F53" i="3"/>
  <c r="F51" i="3"/>
  <c r="AE34" i="9" l="1"/>
  <c r="F41" i="3"/>
  <c r="F29" i="2" l="1"/>
  <c r="F8" i="2"/>
  <c r="F268" i="2" s="1"/>
  <c r="AG34" i="9" l="1"/>
  <c r="F29" i="10"/>
  <c r="F19" i="2"/>
  <c r="AG32" i="9" l="1"/>
  <c r="G25" i="4"/>
  <c r="AI34" i="9" l="1"/>
  <c r="T282" i="2"/>
  <c r="AF105" i="9" s="1"/>
  <c r="Z89" i="9"/>
  <c r="Z13" i="9" s="1"/>
  <c r="AI32" i="9" l="1"/>
  <c r="U282" i="2"/>
  <c r="AG105" i="9" s="1"/>
  <c r="Z94" i="9"/>
  <c r="Z18" i="9" l="1"/>
  <c r="Z85" i="9"/>
  <c r="AK34" i="9"/>
  <c r="AA89" i="9"/>
  <c r="AA13" i="9" s="1"/>
  <c r="AA94" i="9"/>
  <c r="AA18" i="9" l="1"/>
  <c r="AA85" i="9"/>
  <c r="AK32" i="9"/>
  <c r="V282" i="2"/>
  <c r="AH105" i="9" s="1"/>
  <c r="AB89" i="9"/>
  <c r="AB13" i="9" s="1"/>
  <c r="AB94" i="9"/>
  <c r="AE29" i="9"/>
  <c r="AC89" i="9"/>
  <c r="AC13" i="9" s="1"/>
  <c r="AB18" i="9" l="1"/>
  <c r="AB85" i="9"/>
  <c r="X282" i="2"/>
  <c r="AJ105" i="9" s="1"/>
  <c r="AC94" i="9"/>
  <c r="AF29" i="9"/>
  <c r="S127" i="9"/>
  <c r="S51" i="9" s="1"/>
  <c r="R127" i="9"/>
  <c r="R51" i="9" s="1"/>
  <c r="R123" i="9"/>
  <c r="R47" i="9" s="1"/>
  <c r="R121" i="9"/>
  <c r="R107" i="9"/>
  <c r="R31" i="9" s="1"/>
  <c r="S101" i="9"/>
  <c r="S25" i="9" s="1"/>
  <c r="R101" i="9"/>
  <c r="R25" i="9" s="1"/>
  <c r="AC18" i="9" l="1"/>
  <c r="AC85" i="9"/>
  <c r="R45" i="9"/>
  <c r="Y282" i="2"/>
  <c r="AK105" i="9" s="1"/>
  <c r="AG29" i="9"/>
  <c r="Q101" i="9"/>
  <c r="E39" i="11"/>
  <c r="E35" i="11"/>
  <c r="E28" i="11"/>
  <c r="E7" i="11"/>
  <c r="S123" i="9"/>
  <c r="S47" i="9" s="1"/>
  <c r="W123" i="9"/>
  <c r="W47" i="9" s="1"/>
  <c r="S121" i="9"/>
  <c r="W121" i="9"/>
  <c r="E50" i="10"/>
  <c r="C6" i="13"/>
  <c r="C26" i="13"/>
  <c r="C20" i="13"/>
  <c r="C16" i="13"/>
  <c r="C15" i="13"/>
  <c r="C14" i="13"/>
  <c r="C13" i="13"/>
  <c r="C12" i="13"/>
  <c r="C11" i="13"/>
  <c r="C10" i="13"/>
  <c r="C7" i="13"/>
  <c r="E63" i="3"/>
  <c r="E62" i="3"/>
  <c r="E61" i="3"/>
  <c r="E60" i="3"/>
  <c r="E51" i="3"/>
  <c r="E50" i="3"/>
  <c r="E20" i="3"/>
  <c r="E19" i="3"/>
  <c r="E18" i="3"/>
  <c r="E17" i="3"/>
  <c r="E16" i="3"/>
  <c r="E15" i="3"/>
  <c r="E14" i="3"/>
  <c r="E13" i="3"/>
  <c r="E12" i="3"/>
  <c r="E11" i="3"/>
  <c r="E9" i="3"/>
  <c r="E8" i="3"/>
  <c r="O7" i="3"/>
  <c r="P68" i="3" s="1"/>
  <c r="N7" i="3"/>
  <c r="K7" i="3"/>
  <c r="L68" i="3" s="1"/>
  <c r="L83" i="3" s="1"/>
  <c r="J7" i="3"/>
  <c r="I7" i="3"/>
  <c r="H7" i="3"/>
  <c r="G7" i="3"/>
  <c r="H68" i="3" s="1"/>
  <c r="F7" i="3"/>
  <c r="K8" i="2"/>
  <c r="S107" i="9"/>
  <c r="S31" i="9" s="1"/>
  <c r="E285" i="2"/>
  <c r="E283" i="2"/>
  <c r="E230" i="2"/>
  <c r="E180" i="2"/>
  <c r="E179" i="2"/>
  <c r="E178" i="2"/>
  <c r="E177" i="2"/>
  <c r="E176" i="2"/>
  <c r="E175" i="2"/>
  <c r="E174" i="2"/>
  <c r="E172" i="2"/>
  <c r="E171" i="2"/>
  <c r="E170" i="2"/>
  <c r="E169" i="2"/>
  <c r="E168" i="2"/>
  <c r="E167" i="2"/>
  <c r="E166" i="2"/>
  <c r="E165" i="2"/>
  <c r="E154" i="2"/>
  <c r="E153" i="2"/>
  <c r="E152" i="2"/>
  <c r="E151" i="2"/>
  <c r="E150" i="2"/>
  <c r="E149" i="2"/>
  <c r="E93" i="2"/>
  <c r="E92" i="2"/>
  <c r="E91" i="2"/>
  <c r="E90" i="2"/>
  <c r="E89" i="2"/>
  <c r="E87" i="2"/>
  <c r="E86" i="2"/>
  <c r="E74" i="2"/>
  <c r="E64" i="2"/>
  <c r="E63" i="2"/>
  <c r="E62" i="2"/>
  <c r="E21" i="2"/>
  <c r="E20" i="2"/>
  <c r="K19" i="2"/>
  <c r="J19" i="2"/>
  <c r="I19" i="2"/>
  <c r="H19" i="2"/>
  <c r="G19" i="2"/>
  <c r="E18" i="2"/>
  <c r="E17" i="2"/>
  <c r="E16" i="2"/>
  <c r="E15" i="2"/>
  <c r="E14" i="2"/>
  <c r="E13" i="2"/>
  <c r="E12" i="2"/>
  <c r="E9" i="2"/>
  <c r="H8" i="2"/>
  <c r="H268" i="2" s="1"/>
  <c r="G8" i="2"/>
  <c r="G268" i="2" s="1"/>
  <c r="F34" i="4"/>
  <c r="E30" i="5"/>
  <c r="G20" i="5"/>
  <c r="H20" i="5" s="1"/>
  <c r="I20" i="5" s="1"/>
  <c r="J20" i="5" s="1"/>
  <c r="K20" i="5" s="1"/>
  <c r="E19" i="5"/>
  <c r="G18" i="5"/>
  <c r="G21" i="5" s="1"/>
  <c r="E15" i="5"/>
  <c r="E14" i="5"/>
  <c r="E10" i="5"/>
  <c r="E9" i="5"/>
  <c r="E8" i="5"/>
  <c r="E7" i="5"/>
  <c r="K6" i="5"/>
  <c r="K22" i="3" s="1"/>
  <c r="J6" i="5"/>
  <c r="J22" i="3" s="1"/>
  <c r="I6" i="5"/>
  <c r="I22" i="3" s="1"/>
  <c r="H6" i="5"/>
  <c r="H22" i="3" s="1"/>
  <c r="G6" i="5"/>
  <c r="G22" i="3" s="1"/>
  <c r="F6" i="5"/>
  <c r="K29" i="10" l="1"/>
  <c r="K268" i="2"/>
  <c r="Q25" i="9"/>
  <c r="W45" i="9"/>
  <c r="S45" i="9"/>
  <c r="Z282" i="2"/>
  <c r="AL105" i="9" s="1"/>
  <c r="G29" i="10"/>
  <c r="AH29" i="9"/>
  <c r="H29" i="10"/>
  <c r="X121" i="9"/>
  <c r="X123" i="9"/>
  <c r="X47" i="9" s="1"/>
  <c r="I24" i="5"/>
  <c r="J47" i="4"/>
  <c r="J24" i="2"/>
  <c r="J24" i="5"/>
  <c r="K47" i="4"/>
  <c r="K24" i="5"/>
  <c r="L47" i="4"/>
  <c r="G24" i="5"/>
  <c r="G24" i="2"/>
  <c r="H24" i="5"/>
  <c r="I47" i="4"/>
  <c r="F24" i="5"/>
  <c r="F22" i="3"/>
  <c r="F24" i="2"/>
  <c r="G47" i="4"/>
  <c r="H27" i="3"/>
  <c r="H28" i="3" s="1"/>
  <c r="I68" i="3"/>
  <c r="H52" i="3"/>
  <c r="H73" i="3"/>
  <c r="H79" i="3"/>
  <c r="J68" i="3"/>
  <c r="I27" i="3"/>
  <c r="I28" i="3" s="1"/>
  <c r="I52" i="3"/>
  <c r="I79" i="3"/>
  <c r="I73" i="3"/>
  <c r="K68" i="3"/>
  <c r="J52" i="3"/>
  <c r="J73" i="3"/>
  <c r="J79" i="3"/>
  <c r="K52" i="3"/>
  <c r="K79" i="3"/>
  <c r="K73" i="3"/>
  <c r="K24" i="2"/>
  <c r="I24" i="2"/>
  <c r="G79" i="3"/>
  <c r="G52" i="3"/>
  <c r="G73" i="3"/>
  <c r="G27" i="3"/>
  <c r="G28" i="3" s="1"/>
  <c r="G68" i="3"/>
  <c r="F27" i="3"/>
  <c r="F28" i="3" s="1"/>
  <c r="F73" i="3"/>
  <c r="F79" i="3"/>
  <c r="F52" i="3"/>
  <c r="H24" i="2"/>
  <c r="E173" i="2"/>
  <c r="E19" i="2"/>
  <c r="E164" i="2"/>
  <c r="E85" i="2"/>
  <c r="E7" i="3"/>
  <c r="E14" i="11"/>
  <c r="E20" i="11"/>
  <c r="E43" i="10"/>
  <c r="E10" i="10"/>
  <c r="E13" i="10"/>
  <c r="E15" i="10"/>
  <c r="E17" i="10"/>
  <c r="R93" i="9"/>
  <c r="R17" i="9" s="1"/>
  <c r="E34" i="3"/>
  <c r="E39" i="3"/>
  <c r="E40" i="3"/>
  <c r="G24" i="10"/>
  <c r="E47" i="3"/>
  <c r="E10" i="2"/>
  <c r="J8" i="2"/>
  <c r="J268" i="2" s="1"/>
  <c r="I8" i="2"/>
  <c r="I268" i="2" s="1"/>
  <c r="E80" i="2"/>
  <c r="E148" i="2"/>
  <c r="E187" i="2"/>
  <c r="G38" i="4"/>
  <c r="G43" i="4" s="1"/>
  <c r="F10" i="4"/>
  <c r="R98" i="9"/>
  <c r="F23" i="4"/>
  <c r="R109" i="9"/>
  <c r="R33" i="9" s="1"/>
  <c r="E6" i="5"/>
  <c r="E22" i="3" s="1"/>
  <c r="H18" i="5"/>
  <c r="H21" i="5" s="1"/>
  <c r="E24" i="2" l="1"/>
  <c r="R22" i="9"/>
  <c r="X45" i="9"/>
  <c r="P24" i="5"/>
  <c r="Q24" i="5" s="1"/>
  <c r="Q22" i="5" s="1"/>
  <c r="AA282" i="2"/>
  <c r="AM105" i="9" s="1"/>
  <c r="H83" i="3"/>
  <c r="K83" i="3"/>
  <c r="I83" i="3"/>
  <c r="G83" i="3"/>
  <c r="J83" i="3"/>
  <c r="J29" i="10"/>
  <c r="I29" i="10"/>
  <c r="J28" i="3"/>
  <c r="K28" i="3" s="1"/>
  <c r="N28" i="3" s="1"/>
  <c r="O28" i="3" s="1"/>
  <c r="P28" i="3" s="1"/>
  <c r="Q28" i="3" s="1"/>
  <c r="C25" i="13"/>
  <c r="E36" i="3"/>
  <c r="G42" i="4"/>
  <c r="E82" i="2"/>
  <c r="R105" i="9"/>
  <c r="R29" i="9" s="1"/>
  <c r="S93" i="9"/>
  <c r="S17" i="9" s="1"/>
  <c r="G26" i="4"/>
  <c r="R103" i="9"/>
  <c r="R27" i="9" s="1"/>
  <c r="E13" i="11"/>
  <c r="E8" i="2"/>
  <c r="E37" i="3"/>
  <c r="R118" i="9"/>
  <c r="R42" i="9" s="1"/>
  <c r="R125" i="9"/>
  <c r="R49" i="9" s="1"/>
  <c r="E27" i="11"/>
  <c r="E48" i="11" s="1"/>
  <c r="E34" i="11"/>
  <c r="E12" i="10"/>
  <c r="E16" i="10"/>
  <c r="E11" i="10"/>
  <c r="E14" i="10"/>
  <c r="E25" i="10"/>
  <c r="E26" i="10"/>
  <c r="C40" i="13"/>
  <c r="C23" i="13"/>
  <c r="G22" i="13"/>
  <c r="G37" i="13" s="1"/>
  <c r="T93" i="9"/>
  <c r="T17" i="9" s="1"/>
  <c r="E74" i="3"/>
  <c r="E38" i="3"/>
  <c r="E186" i="2"/>
  <c r="E189" i="2"/>
  <c r="I39" i="4"/>
  <c r="E188" i="2"/>
  <c r="E79" i="2"/>
  <c r="E81" i="2"/>
  <c r="E77" i="2"/>
  <c r="E185" i="2"/>
  <c r="E83" i="2"/>
  <c r="E76" i="2"/>
  <c r="E49" i="2"/>
  <c r="E75" i="2"/>
  <c r="R99" i="9"/>
  <c r="R23" i="9" s="1"/>
  <c r="G5" i="4"/>
  <c r="F20" i="4"/>
  <c r="F9" i="4"/>
  <c r="F12" i="4"/>
  <c r="I18" i="5"/>
  <c r="I21" i="5" s="1"/>
  <c r="R110" i="9"/>
  <c r="R34" i="9" s="1"/>
  <c r="E29" i="5"/>
  <c r="AC117" i="9" l="1"/>
  <c r="AC41" i="9" s="1"/>
  <c r="AB117" i="9"/>
  <c r="AB41" i="9" s="1"/>
  <c r="AJ29" i="9"/>
  <c r="F13" i="4"/>
  <c r="C44" i="13"/>
  <c r="F49" i="10"/>
  <c r="G44" i="4"/>
  <c r="F47" i="10"/>
  <c r="F45" i="10"/>
  <c r="F31" i="10"/>
  <c r="F42" i="10"/>
  <c r="F27" i="10"/>
  <c r="F37" i="10"/>
  <c r="F33" i="10"/>
  <c r="S113" i="9"/>
  <c r="S37" i="9" s="1"/>
  <c r="R117" i="9"/>
  <c r="R41" i="9" s="1"/>
  <c r="R111" i="9"/>
  <c r="R35" i="9" s="1"/>
  <c r="R108" i="9"/>
  <c r="R32" i="9" s="1"/>
  <c r="R126" i="9"/>
  <c r="R50" i="9" s="1"/>
  <c r="R122" i="9"/>
  <c r="R46" i="9" s="1"/>
  <c r="G24" i="4"/>
  <c r="R124" i="9"/>
  <c r="R48" i="9" s="1"/>
  <c r="R119" i="9"/>
  <c r="R43" i="9" s="1"/>
  <c r="U93" i="9"/>
  <c r="U17" i="9" s="1"/>
  <c r="F31" i="3"/>
  <c r="J18" i="5"/>
  <c r="J21" i="5" s="1"/>
  <c r="AC282" i="2" l="1"/>
  <c r="AO105" i="9" s="1"/>
  <c r="AK29" i="9"/>
  <c r="R106" i="9"/>
  <c r="R30" i="9" s="1"/>
  <c r="V93" i="9"/>
  <c r="V17" i="9" s="1"/>
  <c r="J24" i="10"/>
  <c r="G31" i="3"/>
  <c r="E28" i="5"/>
  <c r="K18" i="5"/>
  <c r="AD282" i="2" l="1"/>
  <c r="AP105" i="9" s="1"/>
  <c r="P23" i="10"/>
  <c r="R104" i="9"/>
  <c r="R28" i="9" s="1"/>
  <c r="W93" i="9"/>
  <c r="W17" i="9" s="1"/>
  <c r="K24" i="10"/>
  <c r="H31" i="3"/>
  <c r="X107" i="9"/>
  <c r="X31" i="9" s="1"/>
  <c r="K13" i="5"/>
  <c r="R284" i="2" l="1"/>
  <c r="R286" i="2" s="1"/>
  <c r="R282" i="2"/>
  <c r="Q23" i="10"/>
  <c r="E290" i="2"/>
  <c r="E292" i="2" s="1"/>
  <c r="E291" i="2"/>
  <c r="E293" i="2" s="1"/>
  <c r="X93" i="9"/>
  <c r="X17" i="9" s="1"/>
  <c r="I31" i="3"/>
  <c r="K12" i="5"/>
  <c r="J27" i="3" l="1"/>
  <c r="J26" i="3" s="1"/>
  <c r="J25" i="3" s="1"/>
  <c r="G29" i="2"/>
  <c r="E6" i="11" l="1"/>
  <c r="J24" i="3"/>
  <c r="E72" i="3"/>
  <c r="J31" i="3"/>
  <c r="E47" i="11" l="1"/>
  <c r="E54" i="11"/>
  <c r="E73" i="3"/>
  <c r="E40" i="11"/>
  <c r="K27" i="3"/>
  <c r="K26" i="3" s="1"/>
  <c r="K25" i="3" s="1"/>
  <c r="E259" i="2"/>
  <c r="E21" i="11" l="1"/>
  <c r="K24" i="3"/>
  <c r="H29" i="2"/>
  <c r="E182" i="2"/>
  <c r="E41" i="11" l="1"/>
  <c r="E78" i="3"/>
  <c r="E294" i="2"/>
  <c r="E9" i="10"/>
  <c r="E35" i="10"/>
  <c r="Q93" i="9"/>
  <c r="C22" i="13"/>
  <c r="C37" i="13" s="1"/>
  <c r="E298" i="2"/>
  <c r="F6" i="4"/>
  <c r="E18" i="5"/>
  <c r="Q17" i="9" l="1"/>
  <c r="E79" i="3"/>
  <c r="E24" i="10"/>
  <c r="N27" i="3"/>
  <c r="N26" i="3" s="1"/>
  <c r="E33" i="3"/>
  <c r="E297" i="2"/>
  <c r="E299" i="2" s="1"/>
  <c r="E183" i="2"/>
  <c r="F41" i="4"/>
  <c r="R72" i="3" l="1"/>
  <c r="R73" i="3" s="1"/>
  <c r="N25" i="3"/>
  <c r="N24" i="3"/>
  <c r="I29" i="2"/>
  <c r="AE25" i="11" l="1"/>
  <c r="R12" i="5"/>
  <c r="R13" i="5"/>
  <c r="O27" i="3"/>
  <c r="O26" i="3" s="1"/>
  <c r="O25" i="3" s="1"/>
  <c r="O24" i="3" l="1"/>
  <c r="P27" i="3" s="1"/>
  <c r="P26" i="3" s="1"/>
  <c r="P24" i="3" s="1"/>
  <c r="Q27" i="3" l="1"/>
  <c r="Q26" i="3" s="1"/>
  <c r="Q24" i="3" s="1"/>
  <c r="S27" i="3" s="1"/>
  <c r="S28" i="3" s="1"/>
  <c r="P25" i="3"/>
  <c r="J29" i="2"/>
  <c r="G35" i="4"/>
  <c r="S102" i="9"/>
  <c r="S26" i="9" s="1"/>
  <c r="Q25" i="3" l="1"/>
  <c r="S26" i="3" s="1"/>
  <c r="Z112" i="9"/>
  <c r="Z36" i="9" s="1"/>
  <c r="Z111" i="9" l="1"/>
  <c r="Z35" i="9" s="1"/>
  <c r="S5" i="11"/>
  <c r="N33" i="2"/>
  <c r="N32" i="2"/>
  <c r="AA112" i="9" l="1"/>
  <c r="AA36" i="9" s="1"/>
  <c r="O32" i="2"/>
  <c r="N35" i="2"/>
  <c r="N36" i="2"/>
  <c r="K29" i="2"/>
  <c r="O33" i="2"/>
  <c r="P32" i="2" l="1"/>
  <c r="P33" i="2"/>
  <c r="O35" i="2"/>
  <c r="W102" i="9"/>
  <c r="W26" i="9" s="1"/>
  <c r="AB112" i="9" l="1"/>
  <c r="AB36" i="9" s="1"/>
  <c r="O36" i="2"/>
  <c r="N34" i="2"/>
  <c r="X102" i="9"/>
  <c r="X26" i="9" s="1"/>
  <c r="P36" i="2" l="1"/>
  <c r="E69" i="2"/>
  <c r="E70" i="2"/>
  <c r="P35" i="2"/>
  <c r="O34" i="2" l="1"/>
  <c r="E44" i="2"/>
  <c r="E56" i="2"/>
  <c r="Q32" i="2"/>
  <c r="E73" i="2"/>
  <c r="E57" i="2"/>
  <c r="Q33" i="2"/>
  <c r="R32" i="11" l="1"/>
  <c r="E72" i="2"/>
  <c r="E32" i="2"/>
  <c r="E33" i="2"/>
  <c r="E60" i="2"/>
  <c r="Q36" i="2"/>
  <c r="N30" i="2"/>
  <c r="AC112" i="9" l="1"/>
  <c r="AC36" i="9" s="1"/>
  <c r="Q39" i="4"/>
  <c r="E36" i="2"/>
  <c r="P34" i="2"/>
  <c r="E59" i="2"/>
  <c r="Q35" i="2"/>
  <c r="R39" i="4" l="1"/>
  <c r="F39" i="4" s="1"/>
  <c r="AE36" i="9"/>
  <c r="E35" i="2"/>
  <c r="E302" i="2" l="1"/>
  <c r="E303" i="2" s="1"/>
  <c r="AF36" i="9"/>
  <c r="E71" i="2"/>
  <c r="N31" i="2"/>
  <c r="O30" i="2"/>
  <c r="AG36" i="9" l="1"/>
  <c r="N29" i="2"/>
  <c r="E58" i="2"/>
  <c r="Q34" i="2"/>
  <c r="AH36" i="9" l="1"/>
  <c r="E34" i="2"/>
  <c r="E46" i="2"/>
  <c r="R11" i="11" l="1"/>
  <c r="AI36" i="9"/>
  <c r="O31" i="2"/>
  <c r="P30" i="2"/>
  <c r="AJ36" i="9" l="1"/>
  <c r="O29" i="2"/>
  <c r="AK36" i="9" l="1"/>
  <c r="E66" i="2"/>
  <c r="AL36" i="9" l="1"/>
  <c r="P31" i="2"/>
  <c r="E53" i="2"/>
  <c r="Q30" i="2"/>
  <c r="P29" i="2" l="1"/>
  <c r="E30" i="2"/>
  <c r="E67" i="2" l="1"/>
  <c r="E65" i="2"/>
  <c r="E54" i="2" l="1"/>
  <c r="E52" i="2" s="1"/>
  <c r="Q31" i="2"/>
  <c r="E31" i="2" l="1"/>
  <c r="Q29" i="2"/>
  <c r="E29" i="2" s="1"/>
  <c r="V98" i="9" l="1"/>
  <c r="V22" i="9" l="1"/>
  <c r="X98" i="9"/>
  <c r="X22" i="9" l="1"/>
  <c r="U98" i="9" l="1"/>
  <c r="U22" i="9" l="1"/>
  <c r="T98" i="9" l="1"/>
  <c r="T22" i="9" l="1"/>
  <c r="E40" i="10" l="1"/>
  <c r="S98" i="9" l="1"/>
  <c r="S22" i="9" l="1"/>
  <c r="F19" i="4" l="1"/>
  <c r="F22" i="4" l="1"/>
  <c r="G11" i="4"/>
  <c r="G27" i="4" l="1"/>
  <c r="H11" i="4"/>
  <c r="H27" i="4" s="1"/>
  <c r="I11" i="4" l="1"/>
  <c r="I27" i="4" s="1"/>
  <c r="J11" i="4" l="1"/>
  <c r="J27" i="4" s="1"/>
  <c r="K11" i="4" l="1"/>
  <c r="K27" i="4" s="1"/>
  <c r="F21" i="4" l="1"/>
  <c r="L11" i="4"/>
  <c r="F11" i="4" s="1"/>
  <c r="T11" i="4" l="1"/>
  <c r="T27" i="4" s="1"/>
  <c r="L27" i="4"/>
  <c r="AF39" i="9" l="1"/>
  <c r="AH39" i="9" l="1"/>
  <c r="AG39" i="9" l="1"/>
  <c r="AK39" i="9" l="1"/>
  <c r="AI39" i="9"/>
  <c r="AL39" i="9" l="1"/>
  <c r="AN39" i="9" l="1"/>
  <c r="S11" i="4" l="1"/>
  <c r="S33" i="4"/>
  <c r="AO39" i="9"/>
  <c r="S159" i="2" l="1"/>
  <c r="S161" i="2"/>
  <c r="S163" i="2"/>
  <c r="S157" i="2"/>
  <c r="S158" i="2"/>
  <c r="T157" i="2" l="1"/>
  <c r="U157" i="2" s="1"/>
  <c r="V157" i="2" s="1"/>
  <c r="W157" i="2" s="1"/>
  <c r="X157" i="2" s="1"/>
  <c r="Y157" i="2" s="1"/>
  <c r="T163" i="2"/>
  <c r="U163" i="2" s="1"/>
  <c r="V163" i="2" s="1"/>
  <c r="W163" i="2" s="1"/>
  <c r="X163" i="2" s="1"/>
  <c r="Y163" i="2" s="1"/>
  <c r="T161" i="2"/>
  <c r="U161" i="2" s="1"/>
  <c r="V161" i="2" s="1"/>
  <c r="W161" i="2" s="1"/>
  <c r="X161" i="2" s="1"/>
  <c r="Y161" i="2" s="1"/>
  <c r="T159" i="2"/>
  <c r="U159" i="2" s="1"/>
  <c r="V159" i="2" s="1"/>
  <c r="W159" i="2" s="1"/>
  <c r="X159" i="2" s="1"/>
  <c r="Y159" i="2" s="1"/>
  <c r="T158" i="2"/>
  <c r="U158" i="2" s="1"/>
  <c r="V158" i="2" s="1"/>
  <c r="W158" i="2" s="1"/>
  <c r="X158" i="2" s="1"/>
  <c r="Y158" i="2" s="1"/>
  <c r="E159" i="2"/>
  <c r="E157" i="2"/>
  <c r="S162" i="2"/>
  <c r="E163" i="2"/>
  <c r="E161" i="2"/>
  <c r="E158" i="2"/>
  <c r="E38" i="10"/>
  <c r="Z159" i="2" l="1"/>
  <c r="AA159" i="2" s="1"/>
  <c r="Z161" i="2"/>
  <c r="AA161" i="2" s="1"/>
  <c r="Z163" i="2"/>
  <c r="Z158" i="2"/>
  <c r="AA158" i="2" s="1"/>
  <c r="AB158" i="2" s="1"/>
  <c r="AC158" i="2" s="1"/>
  <c r="AD158" i="2" s="1"/>
  <c r="AF158" i="2" s="1"/>
  <c r="Z157" i="2"/>
  <c r="AA157" i="2" s="1"/>
  <c r="T162" i="2"/>
  <c r="U162" i="2" s="1"/>
  <c r="V162" i="2" s="1"/>
  <c r="W162" i="2" s="1"/>
  <c r="X162" i="2" s="1"/>
  <c r="Y162" i="2" s="1"/>
  <c r="E162" i="2"/>
  <c r="AG158" i="2" l="1"/>
  <c r="AH158" i="2" s="1"/>
  <c r="AI158" i="2" s="1"/>
  <c r="AJ158" i="2" s="1"/>
  <c r="AK158" i="2" s="1"/>
  <c r="AL158" i="2" s="1"/>
  <c r="AB157" i="2"/>
  <c r="AC157" i="2" s="1"/>
  <c r="AD157" i="2" s="1"/>
  <c r="AF157" i="2" s="1"/>
  <c r="AB161" i="2"/>
  <c r="AC161" i="2" s="1"/>
  <c r="AD161" i="2" s="1"/>
  <c r="AF161" i="2" s="1"/>
  <c r="AB159" i="2"/>
  <c r="AC159" i="2" s="1"/>
  <c r="AD159" i="2" s="1"/>
  <c r="Z162" i="2"/>
  <c r="AA162" i="2" s="1"/>
  <c r="AB162" i="2" s="1"/>
  <c r="AC162" i="2" s="1"/>
  <c r="AD162" i="2" s="1"/>
  <c r="AF162" i="2" s="1"/>
  <c r="AA163" i="2"/>
  <c r="AB163" i="2" s="1"/>
  <c r="AC163" i="2" s="1"/>
  <c r="AD163" i="2" s="1"/>
  <c r="R158" i="2"/>
  <c r="S160" i="2"/>
  <c r="AM158" i="2" l="1"/>
  <c r="AN158" i="2" s="1"/>
  <c r="AO158" i="2" s="1"/>
  <c r="AP158" i="2" s="1"/>
  <c r="AQ158" i="2" s="1"/>
  <c r="AS158" i="2" s="1"/>
  <c r="AT158" i="2" s="1"/>
  <c r="AU158" i="2" s="1"/>
  <c r="AV158" i="2" s="1"/>
  <c r="AW158" i="2" s="1"/>
  <c r="AX158" i="2" s="1"/>
  <c r="AY158" i="2" s="1"/>
  <c r="AZ158" i="2" s="1"/>
  <c r="BA158" i="2" s="1"/>
  <c r="BB158" i="2" s="1"/>
  <c r="BC158" i="2" s="1"/>
  <c r="BD158" i="2" s="1"/>
  <c r="BF158" i="2" s="1"/>
  <c r="AG161" i="2"/>
  <c r="AH161" i="2" s="1"/>
  <c r="AI161" i="2" s="1"/>
  <c r="AJ161" i="2" s="1"/>
  <c r="AK161" i="2" s="1"/>
  <c r="AL161" i="2" s="1"/>
  <c r="R163" i="2"/>
  <c r="AF163" i="2"/>
  <c r="AG157" i="2"/>
  <c r="AH157" i="2" s="1"/>
  <c r="AI157" i="2" s="1"/>
  <c r="AJ157" i="2" s="1"/>
  <c r="AK157" i="2" s="1"/>
  <c r="AL157" i="2" s="1"/>
  <c r="R159" i="2"/>
  <c r="AF159" i="2"/>
  <c r="R161" i="2"/>
  <c r="AG162" i="2"/>
  <c r="AH162" i="2" s="1"/>
  <c r="AI162" i="2" s="1"/>
  <c r="AJ162" i="2" s="1"/>
  <c r="AK162" i="2" s="1"/>
  <c r="AL162" i="2" s="1"/>
  <c r="R157" i="2"/>
  <c r="R162" i="2"/>
  <c r="T160" i="2"/>
  <c r="U160" i="2" s="1"/>
  <c r="V160" i="2" s="1"/>
  <c r="W160" i="2" s="1"/>
  <c r="X160" i="2" s="1"/>
  <c r="Y160" i="2" s="1"/>
  <c r="E160" i="2"/>
  <c r="AE158" i="2" l="1"/>
  <c r="BG158" i="2"/>
  <c r="BH158" i="2" s="1"/>
  <c r="BI158" i="2" s="1"/>
  <c r="BJ158" i="2" s="1"/>
  <c r="BK158" i="2" s="1"/>
  <c r="BL158" i="2" s="1"/>
  <c r="BM158" i="2" s="1"/>
  <c r="BN158" i="2" s="1"/>
  <c r="BO158" i="2" s="1"/>
  <c r="BP158" i="2" s="1"/>
  <c r="BQ158" i="2" s="1"/>
  <c r="BS158" i="2" s="1"/>
  <c r="AM157" i="2"/>
  <c r="AN157" i="2" s="1"/>
  <c r="AO157" i="2" s="1"/>
  <c r="AP157" i="2" s="1"/>
  <c r="AQ157" i="2" s="1"/>
  <c r="AS157" i="2" s="1"/>
  <c r="AT157" i="2" s="1"/>
  <c r="AU157" i="2" s="1"/>
  <c r="AV157" i="2" s="1"/>
  <c r="AW157" i="2" s="1"/>
  <c r="AX157" i="2" s="1"/>
  <c r="AY157" i="2" s="1"/>
  <c r="AZ157" i="2" s="1"/>
  <c r="BA157" i="2" s="1"/>
  <c r="BB157" i="2" s="1"/>
  <c r="BC157" i="2" s="1"/>
  <c r="BD157" i="2" s="1"/>
  <c r="BF157" i="2" s="1"/>
  <c r="AM162" i="2"/>
  <c r="AN162" i="2" s="1"/>
  <c r="AO162" i="2" s="1"/>
  <c r="AP162" i="2" s="1"/>
  <c r="AQ162" i="2" s="1"/>
  <c r="AS162" i="2" s="1"/>
  <c r="AT162" i="2" s="1"/>
  <c r="AU162" i="2" s="1"/>
  <c r="AV162" i="2" s="1"/>
  <c r="AW162" i="2" s="1"/>
  <c r="AX162" i="2" s="1"/>
  <c r="AY162" i="2" s="1"/>
  <c r="AZ162" i="2" s="1"/>
  <c r="BA162" i="2" s="1"/>
  <c r="BB162" i="2" s="1"/>
  <c r="BC162" i="2" s="1"/>
  <c r="BD162" i="2" s="1"/>
  <c r="BF162" i="2" s="1"/>
  <c r="AM161" i="2"/>
  <c r="AN161" i="2" s="1"/>
  <c r="AO161" i="2" s="1"/>
  <c r="AP161" i="2" s="1"/>
  <c r="AQ161" i="2" s="1"/>
  <c r="AS161" i="2" s="1"/>
  <c r="AT161" i="2" s="1"/>
  <c r="AU161" i="2" s="1"/>
  <c r="AV161" i="2" s="1"/>
  <c r="AW161" i="2" s="1"/>
  <c r="AX161" i="2" s="1"/>
  <c r="AY161" i="2" s="1"/>
  <c r="AZ161" i="2" s="1"/>
  <c r="BA161" i="2" s="1"/>
  <c r="BB161" i="2" s="1"/>
  <c r="BC161" i="2" s="1"/>
  <c r="BD161" i="2" s="1"/>
  <c r="BF161" i="2" s="1"/>
  <c r="AR158" i="2"/>
  <c r="AG159" i="2"/>
  <c r="AH159" i="2" s="1"/>
  <c r="AI159" i="2" s="1"/>
  <c r="AJ159" i="2" s="1"/>
  <c r="AK159" i="2" s="1"/>
  <c r="AL159" i="2" s="1"/>
  <c r="AG163" i="2"/>
  <c r="AH163" i="2" s="1"/>
  <c r="AI163" i="2" s="1"/>
  <c r="AJ163" i="2" s="1"/>
  <c r="AK163" i="2" s="1"/>
  <c r="AL163" i="2" s="1"/>
  <c r="Z160" i="2"/>
  <c r="AA160" i="2" s="1"/>
  <c r="AE162" i="2" l="1"/>
  <c r="BT158" i="2"/>
  <c r="BU158" i="2" s="1"/>
  <c r="BV158" i="2" s="1"/>
  <c r="BW158" i="2" s="1"/>
  <c r="BX158" i="2" s="1"/>
  <c r="BY158" i="2" s="1"/>
  <c r="BZ158" i="2" s="1"/>
  <c r="CA158" i="2" s="1"/>
  <c r="CB158" i="2" s="1"/>
  <c r="CC158" i="2" s="1"/>
  <c r="CD158" i="2" s="1"/>
  <c r="CF158" i="2" s="1"/>
  <c r="BE158" i="2"/>
  <c r="BG162" i="2"/>
  <c r="BH162" i="2" s="1"/>
  <c r="BI162" i="2" s="1"/>
  <c r="BJ162" i="2" s="1"/>
  <c r="BK162" i="2" s="1"/>
  <c r="BL162" i="2" s="1"/>
  <c r="BM162" i="2" s="1"/>
  <c r="BN162" i="2" s="1"/>
  <c r="BO162" i="2" s="1"/>
  <c r="BP162" i="2" s="1"/>
  <c r="BQ162" i="2" s="1"/>
  <c r="BS162" i="2" s="1"/>
  <c r="BG157" i="2"/>
  <c r="BH157" i="2" s="1"/>
  <c r="BI157" i="2" s="1"/>
  <c r="BJ157" i="2" s="1"/>
  <c r="BK157" i="2" s="1"/>
  <c r="BL157" i="2" s="1"/>
  <c r="BM157" i="2" s="1"/>
  <c r="BN157" i="2" s="1"/>
  <c r="BO157" i="2" s="1"/>
  <c r="BP157" i="2" s="1"/>
  <c r="BQ157" i="2" s="1"/>
  <c r="BS157" i="2" s="1"/>
  <c r="BG161" i="2"/>
  <c r="BH161" i="2" s="1"/>
  <c r="BI161" i="2" s="1"/>
  <c r="BJ161" i="2" s="1"/>
  <c r="BK161" i="2" s="1"/>
  <c r="BL161" i="2" s="1"/>
  <c r="BM161" i="2" s="1"/>
  <c r="BN161" i="2" s="1"/>
  <c r="BO161" i="2" s="1"/>
  <c r="BP161" i="2" s="1"/>
  <c r="BQ161" i="2" s="1"/>
  <c r="BS161" i="2" s="1"/>
  <c r="BT161" i="2" s="1"/>
  <c r="AE157" i="2"/>
  <c r="AM163" i="2"/>
  <c r="AN163" i="2" s="1"/>
  <c r="AO163" i="2" s="1"/>
  <c r="AP163" i="2" s="1"/>
  <c r="AQ163" i="2" s="1"/>
  <c r="AS163" i="2" s="1"/>
  <c r="AT163" i="2" s="1"/>
  <c r="AU163" i="2" s="1"/>
  <c r="AV163" i="2" s="1"/>
  <c r="AW163" i="2" s="1"/>
  <c r="AX163" i="2" s="1"/>
  <c r="AY163" i="2" s="1"/>
  <c r="AZ163" i="2" s="1"/>
  <c r="BA163" i="2" s="1"/>
  <c r="BB163" i="2" s="1"/>
  <c r="BC163" i="2" s="1"/>
  <c r="BD163" i="2" s="1"/>
  <c r="BF163" i="2" s="1"/>
  <c r="AE161" i="2"/>
  <c r="AM159" i="2"/>
  <c r="AN159" i="2" s="1"/>
  <c r="AO159" i="2" s="1"/>
  <c r="AP159" i="2" s="1"/>
  <c r="AQ159" i="2" s="1"/>
  <c r="AS159" i="2" s="1"/>
  <c r="AT159" i="2" s="1"/>
  <c r="AU159" i="2" s="1"/>
  <c r="AV159" i="2" s="1"/>
  <c r="AW159" i="2" s="1"/>
  <c r="AX159" i="2" s="1"/>
  <c r="AY159" i="2" s="1"/>
  <c r="AZ159" i="2" s="1"/>
  <c r="BA159" i="2" s="1"/>
  <c r="BB159" i="2" s="1"/>
  <c r="BC159" i="2" s="1"/>
  <c r="BD159" i="2" s="1"/>
  <c r="BF159" i="2" s="1"/>
  <c r="AR161" i="2"/>
  <c r="AR162" i="2"/>
  <c r="AR157" i="2"/>
  <c r="AB160" i="2"/>
  <c r="AC160" i="2" s="1"/>
  <c r="AD160" i="2" s="1"/>
  <c r="AF160" i="2" s="1"/>
  <c r="F12" i="5"/>
  <c r="CG158" i="2" l="1"/>
  <c r="CH158" i="2" s="1"/>
  <c r="CI158" i="2" s="1"/>
  <c r="CJ158" i="2" s="1"/>
  <c r="CK158" i="2" s="1"/>
  <c r="CL158" i="2" s="1"/>
  <c r="CM158" i="2" s="1"/>
  <c r="CN158" i="2" s="1"/>
  <c r="CO158" i="2" s="1"/>
  <c r="CP158" i="2" s="1"/>
  <c r="CQ158" i="2" s="1"/>
  <c r="BR158" i="2"/>
  <c r="BT162" i="2"/>
  <c r="BU162" i="2" s="1"/>
  <c r="BV162" i="2" s="1"/>
  <c r="BW162" i="2" s="1"/>
  <c r="BX162" i="2" s="1"/>
  <c r="BY162" i="2" s="1"/>
  <c r="BZ162" i="2" s="1"/>
  <c r="CA162" i="2" s="1"/>
  <c r="CB162" i="2" s="1"/>
  <c r="CC162" i="2" s="1"/>
  <c r="CD162" i="2" s="1"/>
  <c r="CF162" i="2" s="1"/>
  <c r="BU161" i="2"/>
  <c r="BV161" i="2" s="1"/>
  <c r="BW161" i="2" s="1"/>
  <c r="BX161" i="2" s="1"/>
  <c r="BY161" i="2" s="1"/>
  <c r="BZ161" i="2" s="1"/>
  <c r="CA161" i="2" s="1"/>
  <c r="CB161" i="2" s="1"/>
  <c r="CC161" i="2" s="1"/>
  <c r="CD161" i="2" s="1"/>
  <c r="CF161" i="2" s="1"/>
  <c r="BT157" i="2"/>
  <c r="BU157" i="2" s="1"/>
  <c r="BV157" i="2" s="1"/>
  <c r="BW157" i="2" s="1"/>
  <c r="BX157" i="2" s="1"/>
  <c r="BY157" i="2" s="1"/>
  <c r="BZ157" i="2" s="1"/>
  <c r="CA157" i="2" s="1"/>
  <c r="CB157" i="2" s="1"/>
  <c r="CC157" i="2" s="1"/>
  <c r="CD157" i="2" s="1"/>
  <c r="CF157" i="2" s="1"/>
  <c r="AE163" i="2"/>
  <c r="BE161" i="2"/>
  <c r="BE157" i="2"/>
  <c r="BG163" i="2"/>
  <c r="BH163" i="2" s="1"/>
  <c r="BI163" i="2" s="1"/>
  <c r="BJ163" i="2" s="1"/>
  <c r="BK163" i="2" s="1"/>
  <c r="BL163" i="2" s="1"/>
  <c r="BM163" i="2" s="1"/>
  <c r="BN163" i="2" s="1"/>
  <c r="BO163" i="2" s="1"/>
  <c r="BP163" i="2" s="1"/>
  <c r="BQ163" i="2" s="1"/>
  <c r="BS163" i="2" s="1"/>
  <c r="BE162" i="2"/>
  <c r="BG159" i="2"/>
  <c r="BH159" i="2" s="1"/>
  <c r="BI159" i="2" s="1"/>
  <c r="BJ159" i="2" s="1"/>
  <c r="BK159" i="2" s="1"/>
  <c r="BL159" i="2" s="1"/>
  <c r="BM159" i="2" s="1"/>
  <c r="BN159" i="2" s="1"/>
  <c r="BO159" i="2" s="1"/>
  <c r="BP159" i="2" s="1"/>
  <c r="BQ159" i="2" s="1"/>
  <c r="BS159" i="2" s="1"/>
  <c r="AE159" i="2"/>
  <c r="AR163" i="2"/>
  <c r="AR159" i="2"/>
  <c r="R160" i="2"/>
  <c r="AG160" i="2"/>
  <c r="AH160" i="2" s="1"/>
  <c r="AI160" i="2" s="1"/>
  <c r="AJ160" i="2" s="1"/>
  <c r="AK160" i="2" s="1"/>
  <c r="AL160" i="2" s="1"/>
  <c r="G12" i="5"/>
  <c r="CG157" i="2" l="1"/>
  <c r="CH157" i="2" s="1"/>
  <c r="CI157" i="2" s="1"/>
  <c r="CJ157" i="2" s="1"/>
  <c r="CK157" i="2" s="1"/>
  <c r="CL157" i="2" s="1"/>
  <c r="CM157" i="2" s="1"/>
  <c r="CN157" i="2" s="1"/>
  <c r="CO157" i="2" s="1"/>
  <c r="CP157" i="2" s="1"/>
  <c r="CQ157" i="2" s="1"/>
  <c r="CG161" i="2"/>
  <c r="CH161" i="2" s="1"/>
  <c r="CI161" i="2" s="1"/>
  <c r="CJ161" i="2" s="1"/>
  <c r="CK161" i="2" s="1"/>
  <c r="CL161" i="2" s="1"/>
  <c r="CM161" i="2" s="1"/>
  <c r="CN161" i="2" s="1"/>
  <c r="CO161" i="2" s="1"/>
  <c r="CP161" i="2" s="1"/>
  <c r="CQ161" i="2" s="1"/>
  <c r="CE158" i="2"/>
  <c r="CG162" i="2"/>
  <c r="CH162" i="2" s="1"/>
  <c r="CI162" i="2" s="1"/>
  <c r="CJ162" i="2" s="1"/>
  <c r="CK162" i="2" s="1"/>
  <c r="CL162" i="2" s="1"/>
  <c r="CM162" i="2" s="1"/>
  <c r="CN162" i="2" s="1"/>
  <c r="CO162" i="2" s="1"/>
  <c r="CP162" i="2" s="1"/>
  <c r="CQ162" i="2" s="1"/>
  <c r="BR157" i="2"/>
  <c r="BT159" i="2"/>
  <c r="BU159" i="2" s="1"/>
  <c r="BV159" i="2" s="1"/>
  <c r="BW159" i="2" s="1"/>
  <c r="BX159" i="2" s="1"/>
  <c r="BY159" i="2" s="1"/>
  <c r="BZ159" i="2" s="1"/>
  <c r="CA159" i="2" s="1"/>
  <c r="CB159" i="2" s="1"/>
  <c r="CC159" i="2" s="1"/>
  <c r="CD159" i="2" s="1"/>
  <c r="CF159" i="2" s="1"/>
  <c r="BT163" i="2"/>
  <c r="BU163" i="2" s="1"/>
  <c r="BV163" i="2" s="1"/>
  <c r="BW163" i="2" s="1"/>
  <c r="BX163" i="2" s="1"/>
  <c r="BY163" i="2" s="1"/>
  <c r="BZ163" i="2" s="1"/>
  <c r="CA163" i="2" s="1"/>
  <c r="CB163" i="2" s="1"/>
  <c r="CC163" i="2" s="1"/>
  <c r="CD163" i="2" s="1"/>
  <c r="CF163" i="2" s="1"/>
  <c r="BR161" i="2"/>
  <c r="BR162" i="2"/>
  <c r="BE159" i="2"/>
  <c r="BE163" i="2"/>
  <c r="AM160" i="2"/>
  <c r="AN160" i="2" s="1"/>
  <c r="AO160" i="2" s="1"/>
  <c r="AP160" i="2" s="1"/>
  <c r="AQ160" i="2" s="1"/>
  <c r="AS160" i="2" s="1"/>
  <c r="AT160" i="2" s="1"/>
  <c r="AU160" i="2" s="1"/>
  <c r="AV160" i="2" s="1"/>
  <c r="AW160" i="2" s="1"/>
  <c r="AX160" i="2" s="1"/>
  <c r="AY160" i="2" s="1"/>
  <c r="AZ160" i="2" s="1"/>
  <c r="BA160" i="2" s="1"/>
  <c r="BB160" i="2" s="1"/>
  <c r="BC160" i="2" s="1"/>
  <c r="BD160" i="2" s="1"/>
  <c r="H12" i="5"/>
  <c r="I12" i="5"/>
  <c r="CE157" i="2" l="1"/>
  <c r="CG159" i="2"/>
  <c r="CH159" i="2" s="1"/>
  <c r="CI159" i="2" s="1"/>
  <c r="CJ159" i="2" s="1"/>
  <c r="CK159" i="2" s="1"/>
  <c r="CL159" i="2" s="1"/>
  <c r="CM159" i="2" s="1"/>
  <c r="CN159" i="2" s="1"/>
  <c r="CO159" i="2" s="1"/>
  <c r="CP159" i="2" s="1"/>
  <c r="CQ159" i="2" s="1"/>
  <c r="CG163" i="2"/>
  <c r="CH163" i="2" s="1"/>
  <c r="CI163" i="2" s="1"/>
  <c r="CJ163" i="2" s="1"/>
  <c r="CK163" i="2" s="1"/>
  <c r="CL163" i="2" s="1"/>
  <c r="CM163" i="2" s="1"/>
  <c r="CN163" i="2" s="1"/>
  <c r="CO163" i="2" s="1"/>
  <c r="CP163" i="2" s="1"/>
  <c r="CQ163" i="2" s="1"/>
  <c r="CE162" i="2"/>
  <c r="CE161" i="2"/>
  <c r="BR159" i="2"/>
  <c r="BR163" i="2"/>
  <c r="AE160" i="2"/>
  <c r="AR160" i="2"/>
  <c r="BF160" i="2"/>
  <c r="E12" i="5"/>
  <c r="E13" i="5"/>
  <c r="CE159" i="2" l="1"/>
  <c r="CE163" i="2"/>
  <c r="BG160" i="2"/>
  <c r="BH160" i="2" s="1"/>
  <c r="BI160" i="2" s="1"/>
  <c r="BJ160" i="2" s="1"/>
  <c r="BK160" i="2" s="1"/>
  <c r="BL160" i="2" s="1"/>
  <c r="BM160" i="2" s="1"/>
  <c r="BN160" i="2" s="1"/>
  <c r="BO160" i="2" s="1"/>
  <c r="BP160" i="2" s="1"/>
  <c r="BQ160" i="2" s="1"/>
  <c r="BS160" i="2" s="1"/>
  <c r="S156" i="2"/>
  <c r="BT160" i="2" l="1"/>
  <c r="BU160" i="2" s="1"/>
  <c r="BV160" i="2" s="1"/>
  <c r="BW160" i="2" s="1"/>
  <c r="BX160" i="2" s="1"/>
  <c r="BY160" i="2" s="1"/>
  <c r="BZ160" i="2" s="1"/>
  <c r="CA160" i="2" s="1"/>
  <c r="CB160" i="2" s="1"/>
  <c r="CC160" i="2" s="1"/>
  <c r="CD160" i="2" s="1"/>
  <c r="CF160" i="2" s="1"/>
  <c r="BE160" i="2"/>
  <c r="T156" i="2"/>
  <c r="S155" i="2"/>
  <c r="E156" i="2"/>
  <c r="E155" i="2" s="1"/>
  <c r="CG160" i="2" l="1"/>
  <c r="CH160" i="2" s="1"/>
  <c r="CI160" i="2" s="1"/>
  <c r="CJ160" i="2" s="1"/>
  <c r="CK160" i="2" s="1"/>
  <c r="CL160" i="2" s="1"/>
  <c r="CM160" i="2" s="1"/>
  <c r="CN160" i="2" s="1"/>
  <c r="CO160" i="2" s="1"/>
  <c r="CP160" i="2" s="1"/>
  <c r="CQ160" i="2" s="1"/>
  <c r="BR160" i="2"/>
  <c r="U156" i="2"/>
  <c r="T155" i="2"/>
  <c r="CE160" i="2" l="1"/>
  <c r="V156" i="2"/>
  <c r="U155" i="2"/>
  <c r="V155" i="2" l="1"/>
  <c r="W156" i="2"/>
  <c r="W155" i="2" l="1"/>
  <c r="X156" i="2"/>
  <c r="X155" i="2" l="1"/>
  <c r="Y156" i="2"/>
  <c r="Z156" i="2" s="1"/>
  <c r="Z155" i="2" s="1"/>
  <c r="Y155" i="2" l="1"/>
  <c r="AA156" i="2" l="1"/>
  <c r="AA155" i="2" l="1"/>
  <c r="AB156" i="2"/>
  <c r="AC156" i="2" l="1"/>
  <c r="AB155" i="2"/>
  <c r="AD156" i="2" l="1"/>
  <c r="AF156" i="2" s="1"/>
  <c r="AC155" i="2"/>
  <c r="AF155" i="2" l="1"/>
  <c r="AG156" i="2"/>
  <c r="AD155" i="2"/>
  <c r="R156" i="2"/>
  <c r="R155" i="2" s="1"/>
  <c r="AH156" i="2" l="1"/>
  <c r="AG155" i="2"/>
  <c r="AI156" i="2" l="1"/>
  <c r="AH155" i="2"/>
  <c r="AI155" i="2" l="1"/>
  <c r="AJ156" i="2"/>
  <c r="AJ155" i="2" l="1"/>
  <c r="AK156" i="2"/>
  <c r="AK155" i="2" l="1"/>
  <c r="AL156" i="2"/>
  <c r="AM156" i="2" s="1"/>
  <c r="AN156" i="2" l="1"/>
  <c r="AM155" i="2"/>
  <c r="AL155" i="2"/>
  <c r="AN155" i="2" l="1"/>
  <c r="AO156" i="2"/>
  <c r="AP156" i="2" l="1"/>
  <c r="AO155" i="2"/>
  <c r="S138" i="2"/>
  <c r="AQ156" i="2" l="1"/>
  <c r="AQ155" i="2" s="1"/>
  <c r="AP155" i="2"/>
  <c r="T138" i="2"/>
  <c r="U138" i="2" s="1"/>
  <c r="V138" i="2" s="1"/>
  <c r="W138" i="2" s="1"/>
  <c r="X138" i="2" s="1"/>
  <c r="Y138" i="2" s="1"/>
  <c r="E138" i="2"/>
  <c r="AS156" i="2" l="1"/>
  <c r="Z138" i="2"/>
  <c r="AA138" i="2" s="1"/>
  <c r="AS155" i="2" l="1"/>
  <c r="AT156" i="2"/>
  <c r="AE156" i="2"/>
  <c r="AE155" i="2" s="1"/>
  <c r="AB138" i="2"/>
  <c r="AC138" i="2" s="1"/>
  <c r="AD138" i="2" s="1"/>
  <c r="AF138" i="2" s="1"/>
  <c r="S147" i="2"/>
  <c r="AT155" i="2" l="1"/>
  <c r="AU156" i="2"/>
  <c r="AG138" i="2"/>
  <c r="AH138" i="2" s="1"/>
  <c r="AI138" i="2" s="1"/>
  <c r="AJ138" i="2" s="1"/>
  <c r="AK138" i="2" s="1"/>
  <c r="AL138" i="2" s="1"/>
  <c r="R138" i="2"/>
  <c r="T147" i="2"/>
  <c r="U147" i="2" s="1"/>
  <c r="V147" i="2" s="1"/>
  <c r="W147" i="2" s="1"/>
  <c r="X147" i="2" s="1"/>
  <c r="Y147" i="2" s="1"/>
  <c r="E147" i="2"/>
  <c r="AM138" i="2" l="1"/>
  <c r="AN138" i="2" s="1"/>
  <c r="AO138" i="2" s="1"/>
  <c r="AP138" i="2" s="1"/>
  <c r="AQ138" i="2" s="1"/>
  <c r="AU155" i="2"/>
  <c r="AV156" i="2"/>
  <c r="Z147" i="2"/>
  <c r="AA147" i="2" s="1"/>
  <c r="AB147" i="2" s="1"/>
  <c r="AC147" i="2" s="1"/>
  <c r="AD147" i="2" s="1"/>
  <c r="AF147" i="2" s="1"/>
  <c r="AE138" i="2" l="1"/>
  <c r="AS138" i="2"/>
  <c r="AT138" i="2" s="1"/>
  <c r="AU138" i="2" s="1"/>
  <c r="AV138" i="2" s="1"/>
  <c r="AW138" i="2" s="1"/>
  <c r="AX138" i="2" s="1"/>
  <c r="AY138" i="2" s="1"/>
  <c r="AZ138" i="2" s="1"/>
  <c r="BA138" i="2" s="1"/>
  <c r="BB138" i="2" s="1"/>
  <c r="BC138" i="2" s="1"/>
  <c r="BD138" i="2" s="1"/>
  <c r="BF138" i="2" s="1"/>
  <c r="BG138" i="2" s="1"/>
  <c r="BH138" i="2" s="1"/>
  <c r="BI138" i="2" s="1"/>
  <c r="BJ138" i="2" s="1"/>
  <c r="BK138" i="2" s="1"/>
  <c r="BL138" i="2" s="1"/>
  <c r="BM138" i="2" s="1"/>
  <c r="BN138" i="2" s="1"/>
  <c r="BO138" i="2" s="1"/>
  <c r="BP138" i="2" s="1"/>
  <c r="BQ138" i="2" s="1"/>
  <c r="BS138" i="2" s="1"/>
  <c r="AV155" i="2"/>
  <c r="AW156" i="2"/>
  <c r="AG147" i="2"/>
  <c r="AH147" i="2" s="1"/>
  <c r="AI147" i="2" s="1"/>
  <c r="AJ147" i="2" s="1"/>
  <c r="AK147" i="2" s="1"/>
  <c r="AL147" i="2" s="1"/>
  <c r="R147" i="2"/>
  <c r="E36" i="4"/>
  <c r="BT138" i="2" l="1"/>
  <c r="BU138" i="2" s="1"/>
  <c r="BV138" i="2" s="1"/>
  <c r="BW138" i="2" s="1"/>
  <c r="BX138" i="2" s="1"/>
  <c r="BY138" i="2" s="1"/>
  <c r="BZ138" i="2" s="1"/>
  <c r="CA138" i="2" s="1"/>
  <c r="CB138" i="2" s="1"/>
  <c r="CC138" i="2" s="1"/>
  <c r="CD138" i="2" s="1"/>
  <c r="CF138" i="2" s="1"/>
  <c r="AR138" i="2"/>
  <c r="BE138" i="2"/>
  <c r="AM147" i="2"/>
  <c r="AN147" i="2" s="1"/>
  <c r="AO147" i="2" s="1"/>
  <c r="AP147" i="2" s="1"/>
  <c r="AQ147" i="2" s="1"/>
  <c r="AS147" i="2" s="1"/>
  <c r="AT147" i="2" s="1"/>
  <c r="AU147" i="2" s="1"/>
  <c r="AV147" i="2" s="1"/>
  <c r="AW147" i="2" s="1"/>
  <c r="AX147" i="2" s="1"/>
  <c r="AY147" i="2" s="1"/>
  <c r="AZ147" i="2" s="1"/>
  <c r="BA147" i="2" s="1"/>
  <c r="BB147" i="2" s="1"/>
  <c r="BC147" i="2" s="1"/>
  <c r="BD147" i="2" s="1"/>
  <c r="BF147" i="2" s="1"/>
  <c r="AX156" i="2"/>
  <c r="AW155" i="2"/>
  <c r="CG138" i="2" l="1"/>
  <c r="CF130" i="2"/>
  <c r="BR138" i="2"/>
  <c r="AE147" i="2"/>
  <c r="BG147" i="2"/>
  <c r="BH147" i="2" s="1"/>
  <c r="BI147" i="2" s="1"/>
  <c r="BJ147" i="2" s="1"/>
  <c r="BK147" i="2" s="1"/>
  <c r="BL147" i="2" s="1"/>
  <c r="BM147" i="2" s="1"/>
  <c r="BN147" i="2" s="1"/>
  <c r="BO147" i="2" s="1"/>
  <c r="BP147" i="2" s="1"/>
  <c r="BQ147" i="2" s="1"/>
  <c r="BS147" i="2" s="1"/>
  <c r="AX155" i="2"/>
  <c r="AY156" i="2"/>
  <c r="AR147" i="2"/>
  <c r="CH138" i="2" l="1"/>
  <c r="CG130" i="2"/>
  <c r="BT147" i="2"/>
  <c r="BU147" i="2" s="1"/>
  <c r="BV147" i="2" s="1"/>
  <c r="BW147" i="2" s="1"/>
  <c r="BX147" i="2" s="1"/>
  <c r="BY147" i="2" s="1"/>
  <c r="BZ147" i="2" s="1"/>
  <c r="CA147" i="2" s="1"/>
  <c r="CB147" i="2" s="1"/>
  <c r="CC147" i="2" s="1"/>
  <c r="CD147" i="2" s="1"/>
  <c r="CF147" i="2" s="1"/>
  <c r="BE147" i="2"/>
  <c r="AZ156" i="2"/>
  <c r="AY155" i="2"/>
  <c r="CG147" i="2" l="1"/>
  <c r="CF139" i="2"/>
  <c r="CI138" i="2"/>
  <c r="CH130" i="2"/>
  <c r="BR147" i="2"/>
  <c r="AZ155" i="2"/>
  <c r="BA156" i="2"/>
  <c r="CJ138" i="2" l="1"/>
  <c r="CI130" i="2"/>
  <c r="CG139" i="2"/>
  <c r="CH147" i="2"/>
  <c r="BA155" i="2"/>
  <c r="BB156" i="2"/>
  <c r="CI147" i="2" l="1"/>
  <c r="CH139" i="2"/>
  <c r="CK138" i="2"/>
  <c r="CJ130" i="2"/>
  <c r="BB155" i="2"/>
  <c r="BC156" i="2"/>
  <c r="CL138" i="2" l="1"/>
  <c r="CK130" i="2"/>
  <c r="CJ147" i="2"/>
  <c r="CI139" i="2"/>
  <c r="BC155" i="2"/>
  <c r="BD156" i="2"/>
  <c r="BF156" i="2" s="1"/>
  <c r="CK147" i="2" l="1"/>
  <c r="CJ139" i="2"/>
  <c r="CM138" i="2"/>
  <c r="CL130" i="2"/>
  <c r="BG156" i="2"/>
  <c r="BF155" i="2"/>
  <c r="BD155" i="2"/>
  <c r="AR156" i="2"/>
  <c r="AR155" i="2" s="1"/>
  <c r="CN138" i="2" l="1"/>
  <c r="CM130" i="2"/>
  <c r="CL147" i="2"/>
  <c r="CK139" i="2"/>
  <c r="BH156" i="2"/>
  <c r="BG155" i="2"/>
  <c r="CM147" i="2" l="1"/>
  <c r="CL139" i="2"/>
  <c r="CO138" i="2"/>
  <c r="CN130" i="2"/>
  <c r="BI156" i="2"/>
  <c r="BH155" i="2"/>
  <c r="CP138" i="2" l="1"/>
  <c r="CO130" i="2"/>
  <c r="CN147" i="2"/>
  <c r="CM139" i="2"/>
  <c r="BJ156" i="2"/>
  <c r="BI155" i="2"/>
  <c r="CO147" i="2" l="1"/>
  <c r="CN139" i="2"/>
  <c r="CQ138" i="2"/>
  <c r="CP130" i="2"/>
  <c r="BK156" i="2"/>
  <c r="BJ155" i="2"/>
  <c r="CQ130" i="2" l="1"/>
  <c r="CE138" i="2"/>
  <c r="CE130" i="2" s="1"/>
  <c r="CP147" i="2"/>
  <c r="CO139" i="2"/>
  <c r="BL156" i="2"/>
  <c r="BK155" i="2"/>
  <c r="E48" i="3"/>
  <c r="E59" i="3" s="1"/>
  <c r="CQ147" i="2" l="1"/>
  <c r="CP139" i="2"/>
  <c r="BM156" i="2"/>
  <c r="BL155" i="2"/>
  <c r="E46" i="3"/>
  <c r="E56" i="3" s="1"/>
  <c r="E43" i="3"/>
  <c r="E53" i="3" s="1"/>
  <c r="CQ139" i="2" l="1"/>
  <c r="CE147" i="2"/>
  <c r="CE139" i="2" s="1"/>
  <c r="BN156" i="2"/>
  <c r="BM155" i="2"/>
  <c r="BO156" i="2" l="1"/>
  <c r="BN155" i="2"/>
  <c r="BO155" i="2" l="1"/>
  <c r="BP156" i="2"/>
  <c r="BQ156" i="2" l="1"/>
  <c r="BS156" i="2" s="1"/>
  <c r="BP155" i="2"/>
  <c r="S98" i="2"/>
  <c r="S100" i="2"/>
  <c r="BS155" i="2" l="1"/>
  <c r="BT156" i="2"/>
  <c r="BQ155" i="2"/>
  <c r="BE156" i="2"/>
  <c r="BE155" i="2" s="1"/>
  <c r="S141" i="2"/>
  <c r="T98" i="2"/>
  <c r="S132" i="2"/>
  <c r="S133" i="2"/>
  <c r="S142" i="2"/>
  <c r="T100" i="2"/>
  <c r="S102" i="2"/>
  <c r="E132" i="2"/>
  <c r="E141" i="2"/>
  <c r="E98" i="2"/>
  <c r="E142" i="2"/>
  <c r="E133" i="2"/>
  <c r="E100" i="2"/>
  <c r="BT155" i="2" l="1"/>
  <c r="BU156" i="2"/>
  <c r="S103" i="2"/>
  <c r="S97" i="2"/>
  <c r="T142" i="2"/>
  <c r="U100" i="2"/>
  <c r="T133" i="2"/>
  <c r="S104" i="2"/>
  <c r="S144" i="2"/>
  <c r="T102" i="2"/>
  <c r="S135" i="2"/>
  <c r="T141" i="2"/>
  <c r="U98" i="2"/>
  <c r="T132" i="2"/>
  <c r="S101" i="2"/>
  <c r="E144" i="2"/>
  <c r="E135" i="2"/>
  <c r="E102" i="2"/>
  <c r="BV156" i="2" l="1"/>
  <c r="BU155" i="2"/>
  <c r="U142" i="2"/>
  <c r="V100" i="2"/>
  <c r="U133" i="2"/>
  <c r="T103" i="2"/>
  <c r="S145" i="2"/>
  <c r="S136" i="2"/>
  <c r="T144" i="2"/>
  <c r="T135" i="2"/>
  <c r="U102" i="2"/>
  <c r="S143" i="2"/>
  <c r="S134" i="2"/>
  <c r="T101" i="2"/>
  <c r="S140" i="2"/>
  <c r="S131" i="2"/>
  <c r="T97" i="2"/>
  <c r="U141" i="2"/>
  <c r="U132" i="2"/>
  <c r="V98" i="2"/>
  <c r="S137" i="2"/>
  <c r="S146" i="2"/>
  <c r="T104" i="2"/>
  <c r="E97" i="2"/>
  <c r="E136" i="2"/>
  <c r="E145" i="2"/>
  <c r="E103" i="2"/>
  <c r="E143" i="2"/>
  <c r="E134" i="2"/>
  <c r="E101" i="2"/>
  <c r="E137" i="2"/>
  <c r="E146" i="2"/>
  <c r="E104" i="2"/>
  <c r="BV155" i="2" l="1"/>
  <c r="BW156" i="2"/>
  <c r="S139" i="2"/>
  <c r="T145" i="2"/>
  <c r="U103" i="2"/>
  <c r="T136" i="2"/>
  <c r="W98" i="2"/>
  <c r="V141" i="2"/>
  <c r="V132" i="2"/>
  <c r="S130" i="2"/>
  <c r="T143" i="2"/>
  <c r="T134" i="2"/>
  <c r="U101" i="2"/>
  <c r="U135" i="2"/>
  <c r="U144" i="2"/>
  <c r="V102" i="2"/>
  <c r="U104" i="2"/>
  <c r="T146" i="2"/>
  <c r="T137" i="2"/>
  <c r="T140" i="2"/>
  <c r="U97" i="2"/>
  <c r="T131" i="2"/>
  <c r="V142" i="2"/>
  <c r="W100" i="2"/>
  <c r="V133" i="2"/>
  <c r="E140" i="2"/>
  <c r="E139" i="2" s="1"/>
  <c r="E131" i="2"/>
  <c r="E130" i="2" s="1"/>
  <c r="BW155" i="2" l="1"/>
  <c r="BX156" i="2"/>
  <c r="T130" i="2"/>
  <c r="T139" i="2"/>
  <c r="X100" i="2"/>
  <c r="W142" i="2"/>
  <c r="W133" i="2"/>
  <c r="V135" i="2"/>
  <c r="W102" i="2"/>
  <c r="V144" i="2"/>
  <c r="U136" i="2"/>
  <c r="U145" i="2"/>
  <c r="V103" i="2"/>
  <c r="U140" i="2"/>
  <c r="V97" i="2"/>
  <c r="U131" i="2"/>
  <c r="X98" i="2"/>
  <c r="W141" i="2"/>
  <c r="W132" i="2"/>
  <c r="V101" i="2"/>
  <c r="U143" i="2"/>
  <c r="U134" i="2"/>
  <c r="U146" i="2"/>
  <c r="U137" i="2"/>
  <c r="V104" i="2"/>
  <c r="BX155" i="2" l="1"/>
  <c r="BY156" i="2"/>
  <c r="Y98" i="2"/>
  <c r="X141" i="2"/>
  <c r="X132" i="2"/>
  <c r="U130" i="2"/>
  <c r="V140" i="2"/>
  <c r="W97" i="2"/>
  <c r="V131" i="2"/>
  <c r="W101" i="2"/>
  <c r="V134" i="2"/>
  <c r="V143" i="2"/>
  <c r="Y100" i="2"/>
  <c r="X142" i="2"/>
  <c r="X133" i="2"/>
  <c r="W144" i="2"/>
  <c r="W135" i="2"/>
  <c r="X102" i="2"/>
  <c r="U139" i="2"/>
  <c r="V146" i="2"/>
  <c r="V137" i="2"/>
  <c r="W104" i="2"/>
  <c r="V136" i="2"/>
  <c r="V145" i="2"/>
  <c r="W103" i="2"/>
  <c r="BZ156" i="2" l="1"/>
  <c r="BY155" i="2"/>
  <c r="V130" i="2"/>
  <c r="V139" i="2"/>
  <c r="X135" i="2"/>
  <c r="Y102" i="2"/>
  <c r="X144" i="2"/>
  <c r="W140" i="2"/>
  <c r="X97" i="2"/>
  <c r="W131" i="2"/>
  <c r="Y142" i="2"/>
  <c r="Y133" i="2"/>
  <c r="Z100" i="2"/>
  <c r="W145" i="2"/>
  <c r="W136" i="2"/>
  <c r="X103" i="2"/>
  <c r="Y141" i="2"/>
  <c r="Z98" i="2"/>
  <c r="Y132" i="2"/>
  <c r="W146" i="2"/>
  <c r="W137" i="2"/>
  <c r="X104" i="2"/>
  <c r="W143" i="2"/>
  <c r="W134" i="2"/>
  <c r="X101" i="2"/>
  <c r="BZ155" i="2" l="1"/>
  <c r="CA156" i="2"/>
  <c r="W139" i="2"/>
  <c r="Z133" i="2"/>
  <c r="Z142" i="2"/>
  <c r="Z132" i="2"/>
  <c r="Z141" i="2"/>
  <c r="X140" i="2"/>
  <c r="X131" i="2"/>
  <c r="Y97" i="2"/>
  <c r="X146" i="2"/>
  <c r="Y104" i="2"/>
  <c r="X137" i="2"/>
  <c r="Z102" i="2"/>
  <c r="Y144" i="2"/>
  <c r="Y135" i="2"/>
  <c r="X145" i="2"/>
  <c r="X136" i="2"/>
  <c r="Y103" i="2"/>
  <c r="AA100" i="2"/>
  <c r="X143" i="2"/>
  <c r="Y101" i="2"/>
  <c r="X134" i="2"/>
  <c r="AA98" i="2"/>
  <c r="W130" i="2"/>
  <c r="CA155" i="2" l="1"/>
  <c r="CB156" i="2"/>
  <c r="Z135" i="2"/>
  <c r="Z144" i="2"/>
  <c r="AA142" i="2"/>
  <c r="AB100" i="2"/>
  <c r="AA133" i="2"/>
  <c r="AA102" i="2"/>
  <c r="Y137" i="2"/>
  <c r="Y146" i="2"/>
  <c r="Z104" i="2"/>
  <c r="AA132" i="2"/>
  <c r="AB98" i="2"/>
  <c r="AA141" i="2"/>
  <c r="Y143" i="2"/>
  <c r="Z101" i="2"/>
  <c r="Y134" i="2"/>
  <c r="Y131" i="2"/>
  <c r="Z97" i="2"/>
  <c r="Y140" i="2"/>
  <c r="Z103" i="2"/>
  <c r="Y145" i="2"/>
  <c r="Y136" i="2"/>
  <c r="X130" i="2"/>
  <c r="X139" i="2"/>
  <c r="CC156" i="2" l="1"/>
  <c r="CB155" i="2"/>
  <c r="Z136" i="2"/>
  <c r="Z145" i="2"/>
  <c r="Z137" i="2"/>
  <c r="Z146" i="2"/>
  <c r="Z134" i="2"/>
  <c r="Z143" i="2"/>
  <c r="Z140" i="2"/>
  <c r="Z131" i="2"/>
  <c r="AA103" i="2"/>
  <c r="Y139" i="2"/>
  <c r="AB132" i="2"/>
  <c r="AC98" i="2"/>
  <c r="AB141" i="2"/>
  <c r="AB102" i="2"/>
  <c r="AA135" i="2"/>
  <c r="AA144" i="2"/>
  <c r="AA101" i="2"/>
  <c r="AA97" i="2"/>
  <c r="Y130" i="2"/>
  <c r="AB142" i="2"/>
  <c r="AC100" i="2"/>
  <c r="AB133" i="2"/>
  <c r="AA104" i="2"/>
  <c r="CD156" i="2" l="1"/>
  <c r="CF156" i="2" s="1"/>
  <c r="CC155" i="2"/>
  <c r="Z130" i="2"/>
  <c r="Z139" i="2"/>
  <c r="AC141" i="2"/>
  <c r="AC132" i="2"/>
  <c r="AD98" i="2"/>
  <c r="AF98" i="2" s="1"/>
  <c r="AC142" i="2"/>
  <c r="AC133" i="2"/>
  <c r="AD100" i="2"/>
  <c r="AF100" i="2" s="1"/>
  <c r="AA143" i="2"/>
  <c r="AA134" i="2"/>
  <c r="AB101" i="2"/>
  <c r="AA146" i="2"/>
  <c r="AA137" i="2"/>
  <c r="AB104" i="2"/>
  <c r="AB103" i="2"/>
  <c r="AA145" i="2"/>
  <c r="AA136" i="2"/>
  <c r="AB144" i="2"/>
  <c r="AC102" i="2"/>
  <c r="AB135" i="2"/>
  <c r="AA131" i="2"/>
  <c r="AB97" i="2"/>
  <c r="AA140" i="2"/>
  <c r="CF155" i="2" l="1"/>
  <c r="CG156" i="2"/>
  <c r="CD155" i="2"/>
  <c r="BR156" i="2"/>
  <c r="BR155" i="2" s="1"/>
  <c r="AG98" i="2"/>
  <c r="AF132" i="2"/>
  <c r="AF141" i="2"/>
  <c r="AF133" i="2"/>
  <c r="AF142" i="2"/>
  <c r="AG100" i="2"/>
  <c r="AA139" i="2"/>
  <c r="AD133" i="2"/>
  <c r="R133" i="2" s="1"/>
  <c r="AD142" i="2"/>
  <c r="R142" i="2" s="1"/>
  <c r="R100" i="2"/>
  <c r="AB146" i="2"/>
  <c r="AC104" i="2"/>
  <c r="AB137" i="2"/>
  <c r="AB140" i="2"/>
  <c r="AB131" i="2"/>
  <c r="AC97" i="2"/>
  <c r="AA130" i="2"/>
  <c r="AC144" i="2"/>
  <c r="AD102" i="2"/>
  <c r="AF102" i="2" s="1"/>
  <c r="AC135" i="2"/>
  <c r="AC103" i="2"/>
  <c r="AB145" i="2"/>
  <c r="AB136" i="2"/>
  <c r="AD141" i="2"/>
  <c r="R141" i="2" s="1"/>
  <c r="AD132" i="2"/>
  <c r="R132" i="2" s="1"/>
  <c r="R98" i="2"/>
  <c r="AB134" i="2"/>
  <c r="AB143" i="2"/>
  <c r="AC101" i="2"/>
  <c r="CH156" i="2" l="1"/>
  <c r="CG155" i="2"/>
  <c r="AH100" i="2"/>
  <c r="AG133" i="2"/>
  <c r="AG142" i="2"/>
  <c r="AF144" i="2"/>
  <c r="AG102" i="2"/>
  <c r="AF135" i="2"/>
  <c r="AG141" i="2"/>
  <c r="AH98" i="2"/>
  <c r="AG132" i="2"/>
  <c r="AB139" i="2"/>
  <c r="AB130" i="2"/>
  <c r="AC146" i="2"/>
  <c r="AC137" i="2"/>
  <c r="AD104" i="2"/>
  <c r="AF104" i="2" s="1"/>
  <c r="AD135" i="2"/>
  <c r="R135" i="2" s="1"/>
  <c r="AD144" i="2"/>
  <c r="R144" i="2" s="1"/>
  <c r="R102" i="2"/>
  <c r="AC143" i="2"/>
  <c r="AD101" i="2"/>
  <c r="AF101" i="2" s="1"/>
  <c r="AC134" i="2"/>
  <c r="AD103" i="2"/>
  <c r="AF103" i="2" s="1"/>
  <c r="AC145" i="2"/>
  <c r="AC136" i="2"/>
  <c r="AD97" i="2"/>
  <c r="AF97" i="2" s="1"/>
  <c r="AC131" i="2"/>
  <c r="AC140" i="2"/>
  <c r="CI156" i="2" l="1"/>
  <c r="CH155" i="2"/>
  <c r="AF134" i="2"/>
  <c r="AG101" i="2"/>
  <c r="AF143" i="2"/>
  <c r="AH132" i="2"/>
  <c r="AI98" i="2"/>
  <c r="AH141" i="2"/>
  <c r="AF140" i="2"/>
  <c r="AG97" i="2"/>
  <c r="AF131" i="2"/>
  <c r="AF146" i="2"/>
  <c r="AG104" i="2"/>
  <c r="AF137" i="2"/>
  <c r="AI100" i="2"/>
  <c r="AH133" i="2"/>
  <c r="AH142" i="2"/>
  <c r="AH102" i="2"/>
  <c r="AG135" i="2"/>
  <c r="AG144" i="2"/>
  <c r="AF136" i="2"/>
  <c r="AF145" i="2"/>
  <c r="AG103" i="2"/>
  <c r="AC139" i="2"/>
  <c r="AC130" i="2"/>
  <c r="AD131" i="2"/>
  <c r="AD140" i="2"/>
  <c r="R97" i="2"/>
  <c r="AD146" i="2"/>
  <c r="R146" i="2" s="1"/>
  <c r="AD137" i="2"/>
  <c r="R137" i="2" s="1"/>
  <c r="R104" i="2"/>
  <c r="AD145" i="2"/>
  <c r="R145" i="2" s="1"/>
  <c r="AD136" i="2"/>
  <c r="R136" i="2" s="1"/>
  <c r="R103" i="2"/>
  <c r="AD134" i="2"/>
  <c r="R134" i="2" s="1"/>
  <c r="AD143" i="2"/>
  <c r="R143" i="2" s="1"/>
  <c r="R101" i="2"/>
  <c r="CJ156" i="2" l="1"/>
  <c r="CI155" i="2"/>
  <c r="AH144" i="2"/>
  <c r="AI102" i="2"/>
  <c r="AH135" i="2"/>
  <c r="AI141" i="2"/>
  <c r="AJ98" i="2"/>
  <c r="AI132" i="2"/>
  <c r="AG136" i="2"/>
  <c r="AG145" i="2"/>
  <c r="AH103" i="2"/>
  <c r="AI133" i="2"/>
  <c r="AI142" i="2"/>
  <c r="AJ100" i="2"/>
  <c r="AF130" i="2"/>
  <c r="AG131" i="2"/>
  <c r="AG140" i="2"/>
  <c r="AH97" i="2"/>
  <c r="AF139" i="2"/>
  <c r="AG143" i="2"/>
  <c r="AG134" i="2"/>
  <c r="AH101" i="2"/>
  <c r="AH104" i="2"/>
  <c r="AG146" i="2"/>
  <c r="AG137" i="2"/>
  <c r="AD139" i="2"/>
  <c r="R140" i="2"/>
  <c r="R139" i="2" s="1"/>
  <c r="AD130" i="2"/>
  <c r="R131" i="2"/>
  <c r="R130" i="2" s="1"/>
  <c r="CJ155" i="2" l="1"/>
  <c r="CK156" i="2"/>
  <c r="AK98" i="2"/>
  <c r="AJ132" i="2"/>
  <c r="AJ141" i="2"/>
  <c r="AJ133" i="2"/>
  <c r="AJ142" i="2"/>
  <c r="AK100" i="2"/>
  <c r="AH137" i="2"/>
  <c r="AI104" i="2"/>
  <c r="AH146" i="2"/>
  <c r="AH140" i="2"/>
  <c r="AH131" i="2"/>
  <c r="AI97" i="2"/>
  <c r="AG139" i="2"/>
  <c r="AG130" i="2"/>
  <c r="AH136" i="2"/>
  <c r="AH145" i="2"/>
  <c r="AI103" i="2"/>
  <c r="AI135" i="2"/>
  <c r="AI144" i="2"/>
  <c r="AJ102" i="2"/>
  <c r="AH134" i="2"/>
  <c r="AI101" i="2"/>
  <c r="AH143" i="2"/>
  <c r="E266" i="2"/>
  <c r="CK155" i="2" l="1"/>
  <c r="CL156" i="2"/>
  <c r="AI145" i="2"/>
  <c r="AI136" i="2"/>
  <c r="AJ103" i="2"/>
  <c r="AL100" i="2"/>
  <c r="AK142" i="2"/>
  <c r="AK133" i="2"/>
  <c r="AH139" i="2"/>
  <c r="AI131" i="2"/>
  <c r="AI140" i="2"/>
  <c r="AJ97" i="2"/>
  <c r="AI137" i="2"/>
  <c r="AJ104" i="2"/>
  <c r="AI146" i="2"/>
  <c r="AI134" i="2"/>
  <c r="AI143" i="2"/>
  <c r="AJ101" i="2"/>
  <c r="AH130" i="2"/>
  <c r="AJ144" i="2"/>
  <c r="AK102" i="2"/>
  <c r="AJ135" i="2"/>
  <c r="AL98" i="2"/>
  <c r="AK132" i="2"/>
  <c r="AK141" i="2"/>
  <c r="CM156" i="2" l="1"/>
  <c r="CL155" i="2"/>
  <c r="AJ137" i="2"/>
  <c r="AJ146" i="2"/>
  <c r="AK104" i="2"/>
  <c r="AJ134" i="2"/>
  <c r="AJ143" i="2"/>
  <c r="AK101" i="2"/>
  <c r="AM100" i="2"/>
  <c r="AL133" i="2"/>
  <c r="AL142" i="2"/>
  <c r="AL141" i="2"/>
  <c r="AL132" i="2"/>
  <c r="AM98" i="2"/>
  <c r="AK97" i="2"/>
  <c r="AJ140" i="2"/>
  <c r="AJ131" i="2"/>
  <c r="AJ145" i="2"/>
  <c r="AK103" i="2"/>
  <c r="AJ136" i="2"/>
  <c r="AI139" i="2"/>
  <c r="AI130" i="2"/>
  <c r="AK135" i="2"/>
  <c r="AL102" i="2"/>
  <c r="AK144" i="2"/>
  <c r="CM155" i="2" l="1"/>
  <c r="CN156" i="2"/>
  <c r="AM142" i="2"/>
  <c r="AM133" i="2"/>
  <c r="AM132" i="2"/>
  <c r="AM141" i="2"/>
  <c r="AL135" i="2"/>
  <c r="AL144" i="2"/>
  <c r="AM102" i="2"/>
  <c r="AK145" i="2"/>
  <c r="AL103" i="2"/>
  <c r="AK136" i="2"/>
  <c r="AK143" i="2"/>
  <c r="AK134" i="2"/>
  <c r="AL101" i="2"/>
  <c r="AJ130" i="2"/>
  <c r="AK131" i="2"/>
  <c r="AK140" i="2"/>
  <c r="AL97" i="2"/>
  <c r="AK137" i="2"/>
  <c r="AK146" i="2"/>
  <c r="AL104" i="2"/>
  <c r="AJ139" i="2"/>
  <c r="AN98" i="2"/>
  <c r="AN100" i="2"/>
  <c r="CO156" i="2" l="1"/>
  <c r="CN155" i="2"/>
  <c r="AN142" i="2"/>
  <c r="AN133" i="2"/>
  <c r="AM144" i="2"/>
  <c r="AM135" i="2"/>
  <c r="AN132" i="2"/>
  <c r="AN141" i="2"/>
  <c r="AK130" i="2"/>
  <c r="AM103" i="2"/>
  <c r="AL136" i="2"/>
  <c r="AL145" i="2"/>
  <c r="AO98" i="2"/>
  <c r="AM101" i="2"/>
  <c r="AL134" i="2"/>
  <c r="AL143" i="2"/>
  <c r="AN102" i="2"/>
  <c r="AL146" i="2"/>
  <c r="AL137" i="2"/>
  <c r="AM104" i="2"/>
  <c r="AO100" i="2"/>
  <c r="AL140" i="2"/>
  <c r="AL131" i="2"/>
  <c r="AM97" i="2"/>
  <c r="AK139" i="2"/>
  <c r="CO155" i="2" l="1"/>
  <c r="CP156" i="2"/>
  <c r="AM131" i="2"/>
  <c r="AM140" i="2"/>
  <c r="AN135" i="2"/>
  <c r="AN144" i="2"/>
  <c r="AM134" i="2"/>
  <c r="AM143" i="2"/>
  <c r="AO132" i="2"/>
  <c r="AO141" i="2"/>
  <c r="AO142" i="2"/>
  <c r="AO133" i="2"/>
  <c r="AM137" i="2"/>
  <c r="AM146" i="2"/>
  <c r="AM145" i="2"/>
  <c r="AM136" i="2"/>
  <c r="AN101" i="2"/>
  <c r="AP98" i="2"/>
  <c r="AP100" i="2"/>
  <c r="AL139" i="2"/>
  <c r="AL130" i="2"/>
  <c r="AO102" i="2"/>
  <c r="AN97" i="2"/>
  <c r="AN104" i="2"/>
  <c r="AN103" i="2"/>
  <c r="CP155" i="2" l="1"/>
  <c r="CQ156" i="2"/>
  <c r="AN145" i="2"/>
  <c r="AN136" i="2"/>
  <c r="AN137" i="2"/>
  <c r="AN146" i="2"/>
  <c r="AP132" i="2"/>
  <c r="AP141" i="2"/>
  <c r="AN134" i="2"/>
  <c r="AN143" i="2"/>
  <c r="AN140" i="2"/>
  <c r="AN131" i="2"/>
  <c r="AM139" i="2"/>
  <c r="AO135" i="2"/>
  <c r="AO144" i="2"/>
  <c r="AP133" i="2"/>
  <c r="AP142" i="2"/>
  <c r="AM130" i="2"/>
  <c r="AO101" i="2"/>
  <c r="AO103" i="2"/>
  <c r="AP102" i="2"/>
  <c r="AQ100" i="2"/>
  <c r="AO97" i="2"/>
  <c r="AQ98" i="2"/>
  <c r="AO104" i="2"/>
  <c r="CQ155" i="2" l="1"/>
  <c r="CE156" i="2"/>
  <c r="CE155" i="2" s="1"/>
  <c r="AS98" i="2"/>
  <c r="AT98" i="2" s="1"/>
  <c r="AQ141" i="2"/>
  <c r="AQ132" i="2"/>
  <c r="AS100" i="2"/>
  <c r="AS142" i="2" s="1"/>
  <c r="AQ133" i="2"/>
  <c r="AE133" i="2" s="1"/>
  <c r="AQ142" i="2"/>
  <c r="AE142" i="2" s="1"/>
  <c r="AO137" i="2"/>
  <c r="AO146" i="2"/>
  <c r="AP135" i="2"/>
  <c r="AP144" i="2"/>
  <c r="AO145" i="2"/>
  <c r="AO136" i="2"/>
  <c r="AN130" i="2"/>
  <c r="AO140" i="2"/>
  <c r="AO131" i="2"/>
  <c r="AO143" i="2"/>
  <c r="AO134" i="2"/>
  <c r="AN139" i="2"/>
  <c r="AS132" i="2"/>
  <c r="AS141" i="2"/>
  <c r="AP104" i="2"/>
  <c r="AE100" i="2"/>
  <c r="AP101" i="2"/>
  <c r="AP97" i="2"/>
  <c r="AP103" i="2"/>
  <c r="AE141" i="2"/>
  <c r="AE132" i="2"/>
  <c r="AE98" i="2"/>
  <c r="AQ102" i="2"/>
  <c r="AO130" i="2" l="1"/>
  <c r="AT100" i="2"/>
  <c r="AT142" i="2" s="1"/>
  <c r="AS133" i="2"/>
  <c r="AP145" i="2"/>
  <c r="AP136" i="2"/>
  <c r="AO139" i="2"/>
  <c r="AS102" i="2"/>
  <c r="AS144" i="2" s="1"/>
  <c r="AQ135" i="2"/>
  <c r="AE135" i="2" s="1"/>
  <c r="AQ144" i="2"/>
  <c r="AE144" i="2" s="1"/>
  <c r="AP140" i="2"/>
  <c r="AP131" i="2"/>
  <c r="AP143" i="2"/>
  <c r="AP134" i="2"/>
  <c r="AP146" i="2"/>
  <c r="AP137" i="2"/>
  <c r="AT132" i="2"/>
  <c r="AT141" i="2"/>
  <c r="AU98" i="2"/>
  <c r="AT133" i="2"/>
  <c r="AQ97" i="2"/>
  <c r="AQ104" i="2"/>
  <c r="AE102" i="2"/>
  <c r="AQ101" i="2"/>
  <c r="AQ103" i="2"/>
  <c r="AU100" i="2" l="1"/>
  <c r="AU142" i="2" s="1"/>
  <c r="AP139" i="2"/>
  <c r="AT102" i="2"/>
  <c r="AT144" i="2" s="1"/>
  <c r="AS135" i="2"/>
  <c r="AP130" i="2"/>
  <c r="AS103" i="2"/>
  <c r="AS136" i="2" s="1"/>
  <c r="AQ136" i="2"/>
  <c r="AE136" i="2" s="1"/>
  <c r="AQ145" i="2"/>
  <c r="AE145" i="2" s="1"/>
  <c r="AS97" i="2"/>
  <c r="AT97" i="2" s="1"/>
  <c r="AQ140" i="2"/>
  <c r="AQ131" i="2"/>
  <c r="AS101" i="2"/>
  <c r="AS134" i="2" s="1"/>
  <c r="AQ143" i="2"/>
  <c r="AE143" i="2" s="1"/>
  <c r="AQ134" i="2"/>
  <c r="AE134" i="2" s="1"/>
  <c r="AS104" i="2"/>
  <c r="AT104" i="2" s="1"/>
  <c r="AQ146" i="2"/>
  <c r="AE146" i="2" s="1"/>
  <c r="AQ137" i="2"/>
  <c r="AE137" i="2" s="1"/>
  <c r="AU141" i="2"/>
  <c r="AV98" i="2"/>
  <c r="AU132" i="2"/>
  <c r="AE103" i="2"/>
  <c r="AE104" i="2"/>
  <c r="AE101" i="2"/>
  <c r="AE97" i="2"/>
  <c r="AV100" i="2" l="1"/>
  <c r="AU133" i="2"/>
  <c r="AT101" i="2"/>
  <c r="AT134" i="2" s="1"/>
  <c r="AS143" i="2"/>
  <c r="AU102" i="2"/>
  <c r="AU144" i="2" s="1"/>
  <c r="AT103" i="2"/>
  <c r="AU103" i="2" s="1"/>
  <c r="AT135" i="2"/>
  <c r="AS145" i="2"/>
  <c r="AS137" i="2"/>
  <c r="AS146" i="2"/>
  <c r="AS131" i="2"/>
  <c r="AS140" i="2"/>
  <c r="AQ130" i="2"/>
  <c r="AQ139" i="2"/>
  <c r="AU135" i="2"/>
  <c r="AV102" i="2"/>
  <c r="AV133" i="2"/>
  <c r="AV142" i="2"/>
  <c r="AW100" i="2"/>
  <c r="AU97" i="2"/>
  <c r="AT140" i="2"/>
  <c r="AT131" i="2"/>
  <c r="AT136" i="2"/>
  <c r="AT145" i="2"/>
  <c r="AT146" i="2"/>
  <c r="AU104" i="2"/>
  <c r="AT137" i="2"/>
  <c r="AV141" i="2"/>
  <c r="AW98" i="2"/>
  <c r="AV132" i="2"/>
  <c r="AT143" i="2"/>
  <c r="AE131" i="2"/>
  <c r="AE130" i="2" s="1"/>
  <c r="AE140" i="2"/>
  <c r="AE139" i="2" s="1"/>
  <c r="AU101" i="2" l="1"/>
  <c r="AU143" i="2" s="1"/>
  <c r="AS139" i="2"/>
  <c r="AS130" i="2"/>
  <c r="AW141" i="2"/>
  <c r="AW132" i="2"/>
  <c r="AX98" i="2"/>
  <c r="AT130" i="2"/>
  <c r="AV97" i="2"/>
  <c r="AU140" i="2"/>
  <c r="AU131" i="2"/>
  <c r="AU137" i="2"/>
  <c r="AU146" i="2"/>
  <c r="AV104" i="2"/>
  <c r="AW133" i="2"/>
  <c r="AW142" i="2"/>
  <c r="AX100" i="2"/>
  <c r="AW102" i="2"/>
  <c r="AV144" i="2"/>
  <c r="AV135" i="2"/>
  <c r="AU136" i="2"/>
  <c r="AV103" i="2"/>
  <c r="AU145" i="2"/>
  <c r="AT139" i="2"/>
  <c r="AV101" i="2"/>
  <c r="AU134" i="2"/>
  <c r="AU130" i="2" l="1"/>
  <c r="AU139" i="2"/>
  <c r="AV136" i="2"/>
  <c r="AV145" i="2"/>
  <c r="AW103" i="2"/>
  <c r="AX133" i="2"/>
  <c r="AY100" i="2"/>
  <c r="AX142" i="2"/>
  <c r="AX132" i="2"/>
  <c r="AY98" i="2"/>
  <c r="AX141" i="2"/>
  <c r="AV146" i="2"/>
  <c r="AV137" i="2"/>
  <c r="AW104" i="2"/>
  <c r="AV140" i="2"/>
  <c r="AV131" i="2"/>
  <c r="AW97" i="2"/>
  <c r="AV143" i="2"/>
  <c r="AV134" i="2"/>
  <c r="AW101" i="2"/>
  <c r="AX102" i="2"/>
  <c r="AW135" i="2"/>
  <c r="AW144" i="2"/>
  <c r="AX103" i="2" l="1"/>
  <c r="AW145" i="2"/>
  <c r="AW136" i="2"/>
  <c r="AX144" i="2"/>
  <c r="AX135" i="2"/>
  <c r="AY102" i="2"/>
  <c r="AX101" i="2"/>
  <c r="AW143" i="2"/>
  <c r="AW134" i="2"/>
  <c r="AZ98" i="2"/>
  <c r="AY141" i="2"/>
  <c r="AY132" i="2"/>
  <c r="AW131" i="2"/>
  <c r="AW140" i="2"/>
  <c r="AX97" i="2"/>
  <c r="AV130" i="2"/>
  <c r="AV139" i="2"/>
  <c r="AW146" i="2"/>
  <c r="AW137" i="2"/>
  <c r="AX104" i="2"/>
  <c r="AY142" i="2"/>
  <c r="AZ100" i="2"/>
  <c r="AY133" i="2"/>
  <c r="AW130" i="2" l="1"/>
  <c r="AY144" i="2"/>
  <c r="AY135" i="2"/>
  <c r="AZ102" i="2"/>
  <c r="AX134" i="2"/>
  <c r="AX143" i="2"/>
  <c r="AY101" i="2"/>
  <c r="BA98" i="2"/>
  <c r="AZ132" i="2"/>
  <c r="AZ141" i="2"/>
  <c r="AZ142" i="2"/>
  <c r="BA100" i="2"/>
  <c r="AZ133" i="2"/>
  <c r="AX140" i="2"/>
  <c r="AX131" i="2"/>
  <c r="AY97" i="2"/>
  <c r="AX136" i="2"/>
  <c r="AY103" i="2"/>
  <c r="AX145" i="2"/>
  <c r="AY104" i="2"/>
  <c r="AX146" i="2"/>
  <c r="AX137" i="2"/>
  <c r="AW139" i="2"/>
  <c r="AX139" i="2" l="1"/>
  <c r="AX130" i="2"/>
  <c r="AY134" i="2"/>
  <c r="AZ101" i="2"/>
  <c r="AY143" i="2"/>
  <c r="BB100" i="2"/>
  <c r="BA142" i="2"/>
  <c r="BA133" i="2"/>
  <c r="BA141" i="2"/>
  <c r="BA132" i="2"/>
  <c r="BB98" i="2"/>
  <c r="AY137" i="2"/>
  <c r="AY146" i="2"/>
  <c r="AZ104" i="2"/>
  <c r="AY145" i="2"/>
  <c r="AZ103" i="2"/>
  <c r="AY136" i="2"/>
  <c r="AZ144" i="2"/>
  <c r="BA102" i="2"/>
  <c r="AZ135" i="2"/>
  <c r="AY131" i="2"/>
  <c r="AY140" i="2"/>
  <c r="AZ97" i="2"/>
  <c r="AY139" i="2" l="1"/>
  <c r="AY130" i="2"/>
  <c r="AZ131" i="2"/>
  <c r="AZ140" i="2"/>
  <c r="BA97" i="2"/>
  <c r="BA103" i="2"/>
  <c r="AZ136" i="2"/>
  <c r="AZ145" i="2"/>
  <c r="AZ146" i="2"/>
  <c r="AZ137" i="2"/>
  <c r="BA104" i="2"/>
  <c r="BB141" i="2"/>
  <c r="BB132" i="2"/>
  <c r="BC98" i="2"/>
  <c r="AZ134" i="2"/>
  <c r="BA101" i="2"/>
  <c r="AZ143" i="2"/>
  <c r="BB142" i="2"/>
  <c r="BB133" i="2"/>
  <c r="BC100" i="2"/>
  <c r="BB102" i="2"/>
  <c r="BA144" i="2"/>
  <c r="BA135" i="2"/>
  <c r="BD98" i="2" l="1"/>
  <c r="BC132" i="2"/>
  <c r="BC141" i="2"/>
  <c r="BA140" i="2"/>
  <c r="BA131" i="2"/>
  <c r="BB97" i="2"/>
  <c r="BB144" i="2"/>
  <c r="BB135" i="2"/>
  <c r="BC102" i="2"/>
  <c r="BC142" i="2"/>
  <c r="BC133" i="2"/>
  <c r="BD100" i="2"/>
  <c r="BA146" i="2"/>
  <c r="BA137" i="2"/>
  <c r="BB104" i="2"/>
  <c r="AZ139" i="2"/>
  <c r="BA143" i="2"/>
  <c r="BB101" i="2"/>
  <c r="BA134" i="2"/>
  <c r="BA136" i="2"/>
  <c r="BB103" i="2"/>
  <c r="BA145" i="2"/>
  <c r="AZ130" i="2"/>
  <c r="BF133" i="2" l="1"/>
  <c r="BF142" i="2"/>
  <c r="BF141" i="2"/>
  <c r="BF132" i="2"/>
  <c r="BC104" i="2"/>
  <c r="BB137" i="2"/>
  <c r="BB146" i="2"/>
  <c r="BB140" i="2"/>
  <c r="BB131" i="2"/>
  <c r="BC97" i="2"/>
  <c r="BA139" i="2"/>
  <c r="BA130" i="2"/>
  <c r="BC103" i="2"/>
  <c r="BB145" i="2"/>
  <c r="BB136" i="2"/>
  <c r="BD142" i="2"/>
  <c r="AR142" i="2" s="1"/>
  <c r="BD133" i="2"/>
  <c r="AR133" i="2" s="1"/>
  <c r="AR100" i="2"/>
  <c r="BB143" i="2"/>
  <c r="BC101" i="2"/>
  <c r="BB134" i="2"/>
  <c r="BC135" i="2"/>
  <c r="BD102" i="2"/>
  <c r="BC144" i="2"/>
  <c r="BD132" i="2"/>
  <c r="AR132" i="2" s="1"/>
  <c r="BD141" i="2"/>
  <c r="AR141" i="2" s="1"/>
  <c r="AR98" i="2"/>
  <c r="BB130" i="2" l="1"/>
  <c r="BG132" i="2"/>
  <c r="BG141" i="2"/>
  <c r="BF135" i="2"/>
  <c r="BF144" i="2"/>
  <c r="BG133" i="2"/>
  <c r="BG142" i="2"/>
  <c r="BD97" i="2"/>
  <c r="BC140" i="2"/>
  <c r="BC131" i="2"/>
  <c r="BD144" i="2"/>
  <c r="AR144" i="2" s="1"/>
  <c r="BD135" i="2"/>
  <c r="AR135" i="2" s="1"/>
  <c r="AR102" i="2"/>
  <c r="BC145" i="2"/>
  <c r="BC136" i="2"/>
  <c r="BD103" i="2"/>
  <c r="BB139" i="2"/>
  <c r="BD101" i="2"/>
  <c r="BC143" i="2"/>
  <c r="BC134" i="2"/>
  <c r="BC146" i="2"/>
  <c r="BC137" i="2"/>
  <c r="BD104" i="2"/>
  <c r="BF143" i="2" l="1"/>
  <c r="BF134" i="2"/>
  <c r="BG144" i="2"/>
  <c r="BG135" i="2"/>
  <c r="BF137" i="2"/>
  <c r="BF146" i="2"/>
  <c r="BF140" i="2"/>
  <c r="BF131" i="2"/>
  <c r="BH133" i="2"/>
  <c r="BH142" i="2"/>
  <c r="BF145" i="2"/>
  <c r="BF136" i="2"/>
  <c r="BH132" i="2"/>
  <c r="BH141" i="2"/>
  <c r="AR103" i="2"/>
  <c r="BD145" i="2"/>
  <c r="AR145" i="2" s="1"/>
  <c r="BD136" i="2"/>
  <c r="AR136" i="2" s="1"/>
  <c r="BD131" i="2"/>
  <c r="BD140" i="2"/>
  <c r="AR97" i="2"/>
  <c r="BD143" i="2"/>
  <c r="AR143" i="2" s="1"/>
  <c r="BD134" i="2"/>
  <c r="AR134" i="2" s="1"/>
  <c r="AR101" i="2"/>
  <c r="BC130" i="2"/>
  <c r="BD146" i="2"/>
  <c r="AR146" i="2" s="1"/>
  <c r="BD137" i="2"/>
  <c r="AR137" i="2" s="1"/>
  <c r="AR104" i="2"/>
  <c r="BC139" i="2"/>
  <c r="BG140" i="2" l="1"/>
  <c r="BG131" i="2"/>
  <c r="BG136" i="2"/>
  <c r="BG145" i="2"/>
  <c r="BI141" i="2"/>
  <c r="BI132" i="2"/>
  <c r="BG134" i="2"/>
  <c r="BG143" i="2"/>
  <c r="BF130" i="2"/>
  <c r="BH144" i="2"/>
  <c r="BH135" i="2"/>
  <c r="BF139" i="2"/>
  <c r="BI142" i="2"/>
  <c r="BI133" i="2"/>
  <c r="BG146" i="2"/>
  <c r="BG137" i="2"/>
  <c r="BD139" i="2"/>
  <c r="AR140" i="2"/>
  <c r="AR139" i="2" s="1"/>
  <c r="BD130" i="2"/>
  <c r="AR131" i="2"/>
  <c r="AR130" i="2" s="1"/>
  <c r="BI135" i="2" l="1"/>
  <c r="BI144" i="2"/>
  <c r="BG139" i="2"/>
  <c r="BG130" i="2"/>
  <c r="BH134" i="2"/>
  <c r="BH143" i="2"/>
  <c r="BH137" i="2"/>
  <c r="BH146" i="2"/>
  <c r="BJ141" i="2"/>
  <c r="BJ132" i="2"/>
  <c r="BH140" i="2"/>
  <c r="BH131" i="2"/>
  <c r="BJ133" i="2"/>
  <c r="BJ142" i="2"/>
  <c r="BH145" i="2"/>
  <c r="BH136" i="2"/>
  <c r="G1" i="9"/>
  <c r="F1" i="9"/>
  <c r="L1" i="9"/>
  <c r="BH130" i="2" l="1"/>
  <c r="BJ144" i="2"/>
  <c r="BJ135" i="2"/>
  <c r="BI137" i="2"/>
  <c r="BI146" i="2"/>
  <c r="BI136" i="2"/>
  <c r="BI145" i="2"/>
  <c r="BI131" i="2"/>
  <c r="BI140" i="2"/>
  <c r="BH139" i="2"/>
  <c r="BK142" i="2"/>
  <c r="BK133" i="2"/>
  <c r="BK141" i="2"/>
  <c r="BK132" i="2"/>
  <c r="BI143" i="2"/>
  <c r="BI134" i="2"/>
  <c r="F83" i="3"/>
  <c r="I1" i="9"/>
  <c r="H1" i="9"/>
  <c r="K1" i="9"/>
  <c r="M1" i="9"/>
  <c r="BJ131" i="2" l="1"/>
  <c r="BJ140" i="2"/>
  <c r="BL141" i="2"/>
  <c r="BL132" i="2"/>
  <c r="BI139" i="2"/>
  <c r="BJ136" i="2"/>
  <c r="BJ145" i="2"/>
  <c r="BI130" i="2"/>
  <c r="BK135" i="2"/>
  <c r="BK144" i="2"/>
  <c r="BL133" i="2"/>
  <c r="BL142" i="2"/>
  <c r="BJ143" i="2"/>
  <c r="BJ134" i="2"/>
  <c r="BJ146" i="2"/>
  <c r="BJ137" i="2"/>
  <c r="E1" i="9"/>
  <c r="BM142" i="2" l="1"/>
  <c r="BM133" i="2"/>
  <c r="BK134" i="2"/>
  <c r="BK143" i="2"/>
  <c r="BJ139" i="2"/>
  <c r="BJ130" i="2"/>
  <c r="BK136" i="2"/>
  <c r="BK145" i="2"/>
  <c r="BM132" i="2"/>
  <c r="BM141" i="2"/>
  <c r="BK140" i="2"/>
  <c r="BK131" i="2"/>
  <c r="BL144" i="2"/>
  <c r="BL135" i="2"/>
  <c r="BK137" i="2"/>
  <c r="BK146" i="2"/>
  <c r="T40" i="4"/>
  <c r="BN132" i="2" l="1"/>
  <c r="BN141" i="2"/>
  <c r="BL131" i="2"/>
  <c r="BL140" i="2"/>
  <c r="BL137" i="2"/>
  <c r="BL146" i="2"/>
  <c r="BN142" i="2"/>
  <c r="BN133" i="2"/>
  <c r="BM144" i="2"/>
  <c r="BM135" i="2"/>
  <c r="BL136" i="2"/>
  <c r="BL145" i="2"/>
  <c r="BL143" i="2"/>
  <c r="BL134" i="2"/>
  <c r="BK130" i="2"/>
  <c r="BK139" i="2"/>
  <c r="T91" i="9"/>
  <c r="T15" i="9" s="1"/>
  <c r="BM146" i="2" l="1"/>
  <c r="BM137" i="2"/>
  <c r="BL139" i="2"/>
  <c r="BM131" i="2"/>
  <c r="BM140" i="2"/>
  <c r="BM134" i="2"/>
  <c r="BM143" i="2"/>
  <c r="BM145" i="2"/>
  <c r="BM136" i="2"/>
  <c r="BO132" i="2"/>
  <c r="BO141" i="2"/>
  <c r="BN135" i="2"/>
  <c r="BN144" i="2"/>
  <c r="BO133" i="2"/>
  <c r="BO142" i="2"/>
  <c r="BL130" i="2"/>
  <c r="W91" i="9"/>
  <c r="W15" i="9" s="1"/>
  <c r="BM139" i="2" l="1"/>
  <c r="BM130" i="2"/>
  <c r="BN140" i="2"/>
  <c r="BN131" i="2"/>
  <c r="BP132" i="2"/>
  <c r="BP141" i="2"/>
  <c r="BO135" i="2"/>
  <c r="BO144" i="2"/>
  <c r="BN136" i="2"/>
  <c r="BN145" i="2"/>
  <c r="BN143" i="2"/>
  <c r="BN134" i="2"/>
  <c r="BP142" i="2"/>
  <c r="BP133" i="2"/>
  <c r="BN137" i="2"/>
  <c r="BN146" i="2"/>
  <c r="N52" i="3"/>
  <c r="N83" i="3" s="1"/>
  <c r="BS141" i="2" l="1"/>
  <c r="BS132" i="2"/>
  <c r="BS142" i="2"/>
  <c r="BS133" i="2"/>
  <c r="BQ141" i="2"/>
  <c r="BE141" i="2" s="1"/>
  <c r="BQ132" i="2"/>
  <c r="BE132" i="2" s="1"/>
  <c r="BE98" i="2"/>
  <c r="BP135" i="2"/>
  <c r="BP144" i="2"/>
  <c r="BQ142" i="2"/>
  <c r="BE142" i="2" s="1"/>
  <c r="BQ133" i="2"/>
  <c r="BE133" i="2" s="1"/>
  <c r="BE100" i="2"/>
  <c r="BO145" i="2"/>
  <c r="BO136" i="2"/>
  <c r="BN139" i="2"/>
  <c r="BO137" i="2"/>
  <c r="BO146" i="2"/>
  <c r="BN130" i="2"/>
  <c r="BO143" i="2"/>
  <c r="BO134" i="2"/>
  <c r="BO140" i="2"/>
  <c r="BO131" i="2"/>
  <c r="O52" i="3"/>
  <c r="O83" i="3" s="1"/>
  <c r="BS144" i="2" l="1"/>
  <c r="BS135" i="2"/>
  <c r="BT133" i="2"/>
  <c r="BT142" i="2"/>
  <c r="BT141" i="2"/>
  <c r="BT132" i="2"/>
  <c r="BQ135" i="2"/>
  <c r="BE135" i="2" s="1"/>
  <c r="BQ144" i="2"/>
  <c r="BE144" i="2" s="1"/>
  <c r="BE102" i="2"/>
  <c r="BP145" i="2"/>
  <c r="BP136" i="2"/>
  <c r="BO139" i="2"/>
  <c r="BP143" i="2"/>
  <c r="BP134" i="2"/>
  <c r="BO130" i="2"/>
  <c r="BP146" i="2"/>
  <c r="BP137" i="2"/>
  <c r="BP131" i="2"/>
  <c r="BP140" i="2"/>
  <c r="P83" i="3"/>
  <c r="E44" i="3"/>
  <c r="E54" i="3" s="1"/>
  <c r="BS140" i="2" l="1"/>
  <c r="BS131" i="2"/>
  <c r="BS145" i="2"/>
  <c r="BS136" i="2"/>
  <c r="BU132" i="2"/>
  <c r="BU141" i="2"/>
  <c r="BS146" i="2"/>
  <c r="BS137" i="2"/>
  <c r="BS143" i="2"/>
  <c r="BS134" i="2"/>
  <c r="BT144" i="2"/>
  <c r="BT135" i="2"/>
  <c r="BU133" i="2"/>
  <c r="BU142" i="2"/>
  <c r="BP139" i="2"/>
  <c r="BP130" i="2"/>
  <c r="BQ146" i="2"/>
  <c r="BE146" i="2" s="1"/>
  <c r="BQ137" i="2"/>
  <c r="BE137" i="2" s="1"/>
  <c r="BE104" i="2"/>
  <c r="BQ143" i="2"/>
  <c r="BE143" i="2" s="1"/>
  <c r="BQ134" i="2"/>
  <c r="BE134" i="2" s="1"/>
  <c r="BE101" i="2"/>
  <c r="BQ140" i="2"/>
  <c r="BQ131" i="2"/>
  <c r="BE97" i="2"/>
  <c r="BQ145" i="2"/>
  <c r="BE145" i="2" s="1"/>
  <c r="BQ136" i="2"/>
  <c r="BE136" i="2" s="1"/>
  <c r="BE103" i="2"/>
  <c r="R66" i="3"/>
  <c r="R68" i="3" s="1"/>
  <c r="Q83" i="3"/>
  <c r="E42" i="3"/>
  <c r="BV141" i="2" l="1"/>
  <c r="BV132" i="2"/>
  <c r="BT146" i="2"/>
  <c r="BT137" i="2"/>
  <c r="BT145" i="2"/>
  <c r="BT136" i="2"/>
  <c r="BV133" i="2"/>
  <c r="BV142" i="2"/>
  <c r="BT140" i="2"/>
  <c r="BT131" i="2"/>
  <c r="BU135" i="2"/>
  <c r="BU144" i="2"/>
  <c r="BS130" i="2"/>
  <c r="BT143" i="2"/>
  <c r="BT134" i="2"/>
  <c r="BS139" i="2"/>
  <c r="BQ130" i="2"/>
  <c r="BE131" i="2"/>
  <c r="BE130" i="2" s="1"/>
  <c r="BQ139" i="2"/>
  <c r="BE140" i="2"/>
  <c r="BE139" i="2" s="1"/>
  <c r="E52" i="3"/>
  <c r="BT139" i="2" l="1"/>
  <c r="BT130" i="2"/>
  <c r="BV144" i="2"/>
  <c r="BV135" i="2"/>
  <c r="BU143" i="2"/>
  <c r="BU134" i="2"/>
  <c r="BU146" i="2"/>
  <c r="BU137" i="2"/>
  <c r="BU131" i="2"/>
  <c r="BU140" i="2"/>
  <c r="BW133" i="2"/>
  <c r="BW142" i="2"/>
  <c r="BU136" i="2"/>
  <c r="BU145" i="2"/>
  <c r="BW132" i="2"/>
  <c r="BW141" i="2"/>
  <c r="G25" i="5"/>
  <c r="T110" i="9"/>
  <c r="T34" i="9" s="1"/>
  <c r="H25" i="5"/>
  <c r="T109" i="9" s="1"/>
  <c r="T33" i="9" s="1"/>
  <c r="BU139" i="2" l="1"/>
  <c r="BU130" i="2"/>
  <c r="BV146" i="2"/>
  <c r="BV137" i="2"/>
  <c r="BV136" i="2"/>
  <c r="BV145" i="2"/>
  <c r="BV131" i="2"/>
  <c r="BV140" i="2"/>
  <c r="BX141" i="2"/>
  <c r="BX132" i="2"/>
  <c r="BV143" i="2"/>
  <c r="BV134" i="2"/>
  <c r="BW144" i="2"/>
  <c r="BW135" i="2"/>
  <c r="BX142" i="2"/>
  <c r="BX133" i="2"/>
  <c r="T108" i="9"/>
  <c r="T32" i="9" s="1"/>
  <c r="S109" i="9"/>
  <c r="S33" i="9" s="1"/>
  <c r="S110" i="9"/>
  <c r="S34" i="9" s="1"/>
  <c r="BV130" i="2" l="1"/>
  <c r="BV139" i="2"/>
  <c r="BW134" i="2"/>
  <c r="BW143" i="2"/>
  <c r="BY141" i="2"/>
  <c r="BY132" i="2"/>
  <c r="BW131" i="2"/>
  <c r="BW140" i="2"/>
  <c r="BY133" i="2"/>
  <c r="BY142" i="2"/>
  <c r="BW136" i="2"/>
  <c r="BW145" i="2"/>
  <c r="BX135" i="2"/>
  <c r="BX144" i="2"/>
  <c r="BW146" i="2"/>
  <c r="BW137" i="2"/>
  <c r="S108" i="9"/>
  <c r="S32" i="9" s="1"/>
  <c r="BZ142" i="2" l="1"/>
  <c r="BZ133" i="2"/>
  <c r="BX137" i="2"/>
  <c r="BX146" i="2"/>
  <c r="BW130" i="2"/>
  <c r="BX131" i="2"/>
  <c r="BX140" i="2"/>
  <c r="BY144" i="2"/>
  <c r="BY135" i="2"/>
  <c r="BW139" i="2"/>
  <c r="BZ132" i="2"/>
  <c r="BZ141" i="2"/>
  <c r="BX134" i="2"/>
  <c r="BX143" i="2"/>
  <c r="BX136" i="2"/>
  <c r="BX145" i="2"/>
  <c r="J1" i="9"/>
  <c r="W98" i="9"/>
  <c r="BX130" i="2" l="1"/>
  <c r="BX139" i="2"/>
  <c r="BY140" i="2"/>
  <c r="BY131" i="2"/>
  <c r="BZ135" i="2"/>
  <c r="BZ144" i="2"/>
  <c r="BY145" i="2"/>
  <c r="BY136" i="2"/>
  <c r="BY137" i="2"/>
  <c r="BY146" i="2"/>
  <c r="BY143" i="2"/>
  <c r="BY134" i="2"/>
  <c r="CA132" i="2"/>
  <c r="CA141" i="2"/>
  <c r="CA142" i="2"/>
  <c r="CA133" i="2"/>
  <c r="W22" i="9"/>
  <c r="F25" i="4"/>
  <c r="BZ136" i="2" l="1"/>
  <c r="BZ145" i="2"/>
  <c r="BZ137" i="2"/>
  <c r="BZ146" i="2"/>
  <c r="CA135" i="2"/>
  <c r="CA144" i="2"/>
  <c r="CB142" i="2"/>
  <c r="CB133" i="2"/>
  <c r="CB132" i="2"/>
  <c r="CB141" i="2"/>
  <c r="BZ143" i="2"/>
  <c r="BZ134" i="2"/>
  <c r="BY130" i="2"/>
  <c r="BY139" i="2"/>
  <c r="BZ131" i="2"/>
  <c r="BZ140" i="2"/>
  <c r="Q98" i="9"/>
  <c r="F29" i="4"/>
  <c r="BZ130" i="2" l="1"/>
  <c r="CC141" i="2"/>
  <c r="CC132" i="2"/>
  <c r="CC133" i="2"/>
  <c r="CC142" i="2"/>
  <c r="BZ139" i="2"/>
  <c r="CA140" i="2"/>
  <c r="CA131" i="2"/>
  <c r="CB135" i="2"/>
  <c r="CB144" i="2"/>
  <c r="CA146" i="2"/>
  <c r="CA137" i="2"/>
  <c r="CA136" i="2"/>
  <c r="CA145" i="2"/>
  <c r="CA143" i="2"/>
  <c r="CA134" i="2"/>
  <c r="Q22" i="9"/>
  <c r="CA130" i="2" l="1"/>
  <c r="CA139" i="2"/>
  <c r="CB131" i="2"/>
  <c r="CB140" i="2"/>
  <c r="CB143" i="2"/>
  <c r="CB134" i="2"/>
  <c r="CD133" i="2"/>
  <c r="BR133" i="2" s="1"/>
  <c r="CD142" i="2"/>
  <c r="BR142" i="2" s="1"/>
  <c r="CC144" i="2"/>
  <c r="CC135" i="2"/>
  <c r="CB145" i="2"/>
  <c r="CB136" i="2"/>
  <c r="CB137" i="2"/>
  <c r="CB146" i="2"/>
  <c r="CD141" i="2"/>
  <c r="BR141" i="2" s="1"/>
  <c r="CD132" i="2"/>
  <c r="BR132" i="2" s="1"/>
  <c r="BR98" i="2"/>
  <c r="S105" i="9"/>
  <c r="S29" i="9" s="1"/>
  <c r="CB139" i="2" l="1"/>
  <c r="CD144" i="2"/>
  <c r="BR144" i="2" s="1"/>
  <c r="CD135" i="2"/>
  <c r="BR135" i="2" s="1"/>
  <c r="CC134" i="2"/>
  <c r="CC143" i="2"/>
  <c r="CB130" i="2"/>
  <c r="CC131" i="2"/>
  <c r="CC140" i="2"/>
  <c r="CC146" i="2"/>
  <c r="CC137" i="2"/>
  <c r="CC136" i="2"/>
  <c r="CC145" i="2"/>
  <c r="S117" i="9"/>
  <c r="S41" i="9" s="1"/>
  <c r="R90" i="9"/>
  <c r="R14" i="9" s="1"/>
  <c r="R94" i="9"/>
  <c r="CD146" i="2" l="1"/>
  <c r="BR146" i="2" s="1"/>
  <c r="CD137" i="2"/>
  <c r="BR137" i="2" s="1"/>
  <c r="BR104" i="2"/>
  <c r="CC139" i="2"/>
  <c r="CD140" i="2"/>
  <c r="CD131" i="2"/>
  <c r="BR97" i="2"/>
  <c r="CC130" i="2"/>
  <c r="CD143" i="2"/>
  <c r="BR143" i="2" s="1"/>
  <c r="CD134" i="2"/>
  <c r="BR134" i="2" s="1"/>
  <c r="BR101" i="2"/>
  <c r="CD145" i="2"/>
  <c r="BR145" i="2" s="1"/>
  <c r="CD136" i="2"/>
  <c r="BR136" i="2" s="1"/>
  <c r="BR103" i="2"/>
  <c r="R18" i="9"/>
  <c r="G23" i="10"/>
  <c r="S106" i="9"/>
  <c r="S30" i="9" s="1"/>
  <c r="U117" i="9"/>
  <c r="U41" i="9" s="1"/>
  <c r="S91" i="9"/>
  <c r="S15" i="9" s="1"/>
  <c r="S94" i="9"/>
  <c r="CD130" i="2" l="1"/>
  <c r="BR131" i="2"/>
  <c r="BR130" i="2" s="1"/>
  <c r="CD139" i="2"/>
  <c r="BR140" i="2"/>
  <c r="BR139" i="2" s="1"/>
  <c r="S18" i="9"/>
  <c r="S104" i="9"/>
  <c r="S28" i="9" s="1"/>
  <c r="T106" i="9"/>
  <c r="T30" i="9" s="1"/>
  <c r="U106" i="9"/>
  <c r="U30" i="9" s="1"/>
  <c r="V117" i="9"/>
  <c r="V41" i="9" s="1"/>
  <c r="U94" i="9"/>
  <c r="U18" i="9" l="1"/>
  <c r="T104" i="9"/>
  <c r="T28" i="9" s="1"/>
  <c r="W117" i="9"/>
  <c r="W41" i="9" s="1"/>
  <c r="V106" i="9"/>
  <c r="V30" i="9" s="1"/>
  <c r="V94" i="9"/>
  <c r="V18" i="9" l="1"/>
  <c r="V91" i="9"/>
  <c r="V15" i="9" s="1"/>
  <c r="X117" i="9"/>
  <c r="X41" i="9" s="1"/>
  <c r="J23" i="10"/>
  <c r="W94" i="9"/>
  <c r="W18" i="9" l="1"/>
  <c r="J20" i="10"/>
  <c r="K23" i="10"/>
  <c r="X94" i="9"/>
  <c r="X18" i="9" l="1"/>
  <c r="K20" i="10"/>
  <c r="E222" i="2" l="1"/>
  <c r="E234" i="2" s="1"/>
  <c r="E264" i="2"/>
  <c r="E277" i="2" s="1"/>
  <c r="E257" i="2"/>
  <c r="E270" i="2" s="1"/>
  <c r="E228" i="2"/>
  <c r="E240" i="2" s="1"/>
  <c r="E198" i="2"/>
  <c r="E211" i="2" s="1"/>
  <c r="Z91" i="9" l="1"/>
  <c r="Z15" i="9" s="1"/>
  <c r="E265" i="2"/>
  <c r="E278" i="2" s="1"/>
  <c r="E229" i="2"/>
  <c r="E241" i="2" s="1"/>
  <c r="E205" i="2"/>
  <c r="E218" i="2" s="1"/>
  <c r="AA91" i="9" l="1"/>
  <c r="AA15" i="9" s="1"/>
  <c r="E260" i="2"/>
  <c r="E273" i="2" s="1"/>
  <c r="E29" i="10"/>
  <c r="E263" i="2"/>
  <c r="E276" i="2" s="1"/>
  <c r="E262" i="2"/>
  <c r="E275" i="2" s="1"/>
  <c r="E261" i="2"/>
  <c r="E274" i="2" s="1"/>
  <c r="E256" i="2"/>
  <c r="E227" i="2"/>
  <c r="E239" i="2" s="1"/>
  <c r="E226" i="2"/>
  <c r="E238" i="2" s="1"/>
  <c r="E225" i="2"/>
  <c r="E237" i="2" s="1"/>
  <c r="E224" i="2"/>
  <c r="E236" i="2" s="1"/>
  <c r="E221" i="2"/>
  <c r="E233" i="2" s="1"/>
  <c r="E203" i="2"/>
  <c r="E216" i="2" s="1"/>
  <c r="E202" i="2"/>
  <c r="E215" i="2" s="1"/>
  <c r="E201" i="2"/>
  <c r="E214" i="2" s="1"/>
  <c r="E200" i="2"/>
  <c r="E213" i="2" s="1"/>
  <c r="E197" i="2"/>
  <c r="E210" i="2" s="1"/>
  <c r="E269" i="2" l="1"/>
  <c r="E255" i="2"/>
  <c r="E268" i="2" s="1"/>
  <c r="AB91" i="9"/>
  <c r="AB15" i="9" s="1"/>
  <c r="AC91" i="9"/>
  <c r="AC15" i="9" s="1"/>
  <c r="E28" i="10"/>
  <c r="E306" i="2"/>
  <c r="E220" i="2"/>
  <c r="E231" i="2" s="1"/>
  <c r="E308" i="2" l="1"/>
  <c r="E23" i="10"/>
  <c r="Q94" i="9"/>
  <c r="N1" i="9"/>
  <c r="P1" i="9"/>
  <c r="O1" i="9"/>
  <c r="Q18" i="9" l="1"/>
  <c r="R116" i="9"/>
  <c r="R40" i="9" s="1"/>
  <c r="E181" i="2" l="1"/>
  <c r="E190" i="2"/>
  <c r="S89" i="9" l="1"/>
  <c r="S13" i="9" l="1"/>
  <c r="S85" i="9"/>
  <c r="U89" i="9"/>
  <c r="U85" i="9" s="1"/>
  <c r="U13" i="9" l="1"/>
  <c r="V89" i="9"/>
  <c r="V13" i="9" l="1"/>
  <c r="V85" i="9"/>
  <c r="W89" i="9"/>
  <c r="W13" i="9" l="1"/>
  <c r="W85" i="9"/>
  <c r="X89" i="9"/>
  <c r="X13" i="9" l="1"/>
  <c r="X85" i="9"/>
  <c r="E204" i="2"/>
  <c r="E217" i="2" s="1"/>
  <c r="E194" i="2" l="1"/>
  <c r="S252" i="2" l="1"/>
  <c r="E219" i="2" l="1"/>
  <c r="S219" i="2" s="1"/>
  <c r="E252" i="2"/>
  <c r="T219" i="2" l="1"/>
  <c r="T252" i="2" l="1"/>
  <c r="U219" i="2"/>
  <c r="U252" i="2" l="1"/>
  <c r="V219" i="2"/>
  <c r="W219" i="2" l="1"/>
  <c r="V252" i="2"/>
  <c r="X219" i="2" l="1"/>
  <c r="W252" i="2"/>
  <c r="X252" i="2" l="1"/>
  <c r="Y219" i="2"/>
  <c r="R194" i="2"/>
  <c r="S194" i="2" s="1"/>
  <c r="S195" i="2" s="1"/>
  <c r="T194" i="2" l="1"/>
  <c r="U194" i="2" s="1"/>
  <c r="V194" i="2" s="1"/>
  <c r="W194" i="2" s="1"/>
  <c r="X194" i="2" s="1"/>
  <c r="Y194" i="2" s="1"/>
  <c r="Z194" i="2" s="1"/>
  <c r="AA194" i="2" s="1"/>
  <c r="AB194" i="2" s="1"/>
  <c r="AC194" i="2" s="1"/>
  <c r="AD194" i="2" s="1"/>
  <c r="Z219" i="2"/>
  <c r="AB219" i="2" s="1"/>
  <c r="Y252" i="2"/>
  <c r="AE194" i="2" l="1"/>
  <c r="AF194" i="2" s="1"/>
  <c r="Z252" i="2"/>
  <c r="AA219" i="2"/>
  <c r="AG194" i="2" l="1"/>
  <c r="AH194" i="2" s="1"/>
  <c r="AH195" i="2" s="1"/>
  <c r="AA252" i="2"/>
  <c r="AB252" i="2" l="1"/>
  <c r="AC219" i="2"/>
  <c r="AI194" i="2" l="1"/>
  <c r="AC252" i="2"/>
  <c r="AD219" i="2"/>
  <c r="H38" i="4"/>
  <c r="AJ194" i="2" l="1"/>
  <c r="AD252" i="2"/>
  <c r="R219" i="2"/>
  <c r="AF219" i="2" s="1"/>
  <c r="AG219" i="2" s="1"/>
  <c r="AH219" i="2" s="1"/>
  <c r="AH252" i="2" s="1"/>
  <c r="I40" i="4"/>
  <c r="AF252" i="2" l="1"/>
  <c r="AK194" i="2"/>
  <c r="AL194" i="2" s="1"/>
  <c r="AL195" i="2" s="1"/>
  <c r="R252" i="2"/>
  <c r="I38" i="4"/>
  <c r="I43" i="4" s="1"/>
  <c r="AG252" i="2" l="1"/>
  <c r="K40" i="4"/>
  <c r="AI219" i="2" l="1"/>
  <c r="AM194" i="2"/>
  <c r="K38" i="4"/>
  <c r="K43" i="4" s="1"/>
  <c r="AN194" i="2" l="1"/>
  <c r="AR194" i="2" s="1"/>
  <c r="AS194" i="2" s="1"/>
  <c r="AI252" i="2"/>
  <c r="AJ219" i="2"/>
  <c r="L38" i="4"/>
  <c r="L43" i="4" s="1"/>
  <c r="AT194" i="2" l="1"/>
  <c r="AU194" i="2" s="1"/>
  <c r="AJ252" i="2"/>
  <c r="AK219" i="2"/>
  <c r="AO194" i="2"/>
  <c r="N82" i="3"/>
  <c r="AV194" i="2" l="1"/>
  <c r="AP194" i="2"/>
  <c r="AK252" i="2"/>
  <c r="AL219" i="2"/>
  <c r="AM219" i="2" s="1"/>
  <c r="O82" i="3"/>
  <c r="Z103" i="9"/>
  <c r="Z27" i="9" s="1"/>
  <c r="AM252" i="2" l="1"/>
  <c r="AN219" i="2"/>
  <c r="AW194" i="2"/>
  <c r="AL252" i="2"/>
  <c r="AQ194" i="2"/>
  <c r="Q40" i="4"/>
  <c r="Q38" i="4" s="1"/>
  <c r="P82" i="3"/>
  <c r="AA103" i="9"/>
  <c r="AA27" i="9" s="1"/>
  <c r="AN252" i="2" l="1"/>
  <c r="AO219" i="2"/>
  <c r="AX194" i="2"/>
  <c r="Q42" i="4"/>
  <c r="Q43" i="4"/>
  <c r="Q44" i="4" s="1"/>
  <c r="AA97" i="9"/>
  <c r="AA21" i="9" s="1"/>
  <c r="E66" i="3"/>
  <c r="E82" i="3" s="1"/>
  <c r="R40" i="4"/>
  <c r="R38" i="4" s="1"/>
  <c r="Q82" i="3"/>
  <c r="AB103" i="9"/>
  <c r="AB27" i="9" s="1"/>
  <c r="AO252" i="2" l="1"/>
  <c r="AP219" i="2"/>
  <c r="AY194" i="2"/>
  <c r="E68" i="3"/>
  <c r="E83" i="3" s="1"/>
  <c r="R42" i="4"/>
  <c r="R43" i="4"/>
  <c r="R44" i="4" s="1"/>
  <c r="AB97" i="9"/>
  <c r="AB21" i="9" s="1"/>
  <c r="AC103" i="9"/>
  <c r="AC27" i="9" s="1"/>
  <c r="F40" i="4"/>
  <c r="AP252" i="2" l="1"/>
  <c r="AQ219" i="2"/>
  <c r="AQ252" i="2" s="1"/>
  <c r="AZ194" i="2"/>
  <c r="F38" i="4"/>
  <c r="E21" i="10"/>
  <c r="BA194" i="2" l="1"/>
  <c r="BE194" i="2" s="1"/>
  <c r="BF194" i="2" s="1"/>
  <c r="F6" i="10"/>
  <c r="BG194" i="2" l="1"/>
  <c r="BB194" i="2"/>
  <c r="AS252" i="2"/>
  <c r="AE219" i="2"/>
  <c r="R115" i="9"/>
  <c r="R39" i="9" s="1"/>
  <c r="BH194" i="2" l="1"/>
  <c r="AS219" i="2"/>
  <c r="AT219" i="2" s="1"/>
  <c r="BC194" i="2"/>
  <c r="AE252" i="2"/>
  <c r="S92" i="9"/>
  <c r="S16" i="9" s="1"/>
  <c r="BI194" i="2" l="1"/>
  <c r="AU219" i="2"/>
  <c r="AT252" i="2"/>
  <c r="BD194" i="2"/>
  <c r="U92" i="9"/>
  <c r="U16" i="9" s="1"/>
  <c r="S90" i="9"/>
  <c r="S14" i="9" s="1"/>
  <c r="BJ194" i="2" l="1"/>
  <c r="AU252" i="2"/>
  <c r="AV219" i="2"/>
  <c r="S88" i="9"/>
  <c r="S12" i="9" s="1"/>
  <c r="V92" i="9"/>
  <c r="V16" i="9" s="1"/>
  <c r="BK194" i="2" l="1"/>
  <c r="AV252" i="2"/>
  <c r="AW219" i="2"/>
  <c r="S95" i="9"/>
  <c r="S19" i="9" s="1"/>
  <c r="V90" i="9"/>
  <c r="V14" i="9" s="1"/>
  <c r="BL194" i="2" l="1"/>
  <c r="AX219" i="2"/>
  <c r="AW252" i="2"/>
  <c r="V88" i="9"/>
  <c r="V12" i="9" s="1"/>
  <c r="E107" i="2"/>
  <c r="E122" i="2"/>
  <c r="E112" i="2"/>
  <c r="BM194" i="2" l="1"/>
  <c r="AY219" i="2"/>
  <c r="AX252" i="2"/>
  <c r="V95" i="9"/>
  <c r="V19" i="9" s="1"/>
  <c r="E117" i="2"/>
  <c r="E121" i="2"/>
  <c r="E111" i="2"/>
  <c r="E118" i="2"/>
  <c r="E108" i="2"/>
  <c r="E124" i="2"/>
  <c r="E114" i="2"/>
  <c r="E123" i="2"/>
  <c r="E113" i="2"/>
  <c r="BN194" i="2" l="1"/>
  <c r="BR194" i="2" s="1"/>
  <c r="BS194" i="2" s="1"/>
  <c r="AY252" i="2"/>
  <c r="AZ219" i="2"/>
  <c r="E110" i="2"/>
  <c r="BT194" i="2" l="1"/>
  <c r="BO194" i="2"/>
  <c r="BA219" i="2"/>
  <c r="AZ252" i="2"/>
  <c r="E120" i="2"/>
  <c r="BU194" i="2" l="1"/>
  <c r="BP194" i="2"/>
  <c r="BA252" i="2"/>
  <c r="BB219" i="2"/>
  <c r="G19" i="10"/>
  <c r="BV194" i="2" l="1"/>
  <c r="BQ194" i="2"/>
  <c r="BC219" i="2"/>
  <c r="BB252" i="2"/>
  <c r="H6" i="10"/>
  <c r="T115" i="9" s="1"/>
  <c r="T39" i="9" s="1"/>
  <c r="G6" i="10"/>
  <c r="BW194" i="2" l="1"/>
  <c r="BC252" i="2"/>
  <c r="BD219" i="2"/>
  <c r="S115" i="9"/>
  <c r="S39" i="9" s="1"/>
  <c r="BX194" i="2" l="1"/>
  <c r="BD252" i="2"/>
  <c r="AR219" i="2"/>
  <c r="BF219" i="2" s="1"/>
  <c r="J19" i="10"/>
  <c r="BY194" i="2" l="1"/>
  <c r="BG219" i="2"/>
  <c r="AR252" i="2"/>
  <c r="BF252" i="2"/>
  <c r="J6" i="10"/>
  <c r="V115" i="9" s="1"/>
  <c r="V39" i="9" s="1"/>
  <c r="I6" i="10"/>
  <c r="U115" i="9" s="1"/>
  <c r="U39" i="9" s="1"/>
  <c r="BZ194" i="2" l="1"/>
  <c r="BG252" i="2"/>
  <c r="BH219" i="2"/>
  <c r="K6" i="10"/>
  <c r="W115" i="9" s="1"/>
  <c r="W39" i="9" s="1"/>
  <c r="CA194" i="2" l="1"/>
  <c r="CE194" i="2" s="1"/>
  <c r="CF194" i="2" s="1"/>
  <c r="BH252" i="2"/>
  <c r="BI219" i="2"/>
  <c r="F34" i="10"/>
  <c r="R120" i="9" s="1"/>
  <c r="R44" i="9" s="1"/>
  <c r="CG194" i="2" l="1"/>
  <c r="CB194" i="2"/>
  <c r="BI252" i="2"/>
  <c r="BJ219" i="2"/>
  <c r="R114" i="9"/>
  <c r="R38" i="9" s="1"/>
  <c r="CC194" i="2" l="1"/>
  <c r="BK219" i="2"/>
  <c r="BJ252" i="2"/>
  <c r="CI194" i="2" l="1"/>
  <c r="CD194" i="2"/>
  <c r="BK252" i="2"/>
  <c r="BL219" i="2"/>
  <c r="S112" i="9"/>
  <c r="CJ194" i="2" l="1"/>
  <c r="BM219" i="2"/>
  <c r="BL252" i="2"/>
  <c r="Q112" i="9"/>
  <c r="S36" i="9"/>
  <c r="S111" i="9"/>
  <c r="S35" i="9" s="1"/>
  <c r="CK194" i="2" l="1"/>
  <c r="Q36" i="9"/>
  <c r="BM252" i="2"/>
  <c r="BN219" i="2"/>
  <c r="E18" i="11"/>
  <c r="CL194" i="2" l="1"/>
  <c r="BN252" i="2"/>
  <c r="BO219" i="2"/>
  <c r="E32" i="11"/>
  <c r="CM194" i="2" l="1"/>
  <c r="BO252" i="2"/>
  <c r="BP219" i="2"/>
  <c r="R102" i="9"/>
  <c r="R26" i="9" s="1"/>
  <c r="H47" i="4"/>
  <c r="CN194" i="2" l="1"/>
  <c r="BP252" i="2"/>
  <c r="BQ219" i="2"/>
  <c r="R97" i="9"/>
  <c r="R21" i="9" s="1"/>
  <c r="Q102" i="9"/>
  <c r="CO194" i="2" l="1"/>
  <c r="Q26" i="9"/>
  <c r="BQ252" i="2"/>
  <c r="BS252" i="2" s="1"/>
  <c r="BE219" i="2"/>
  <c r="BS219" i="2" s="1"/>
  <c r="R96" i="9"/>
  <c r="R20" i="9" s="1"/>
  <c r="H42" i="4"/>
  <c r="H26" i="4"/>
  <c r="H5" i="4"/>
  <c r="G31" i="10" s="1"/>
  <c r="CP194" i="2" l="1"/>
  <c r="BT219" i="2"/>
  <c r="BE252" i="2"/>
  <c r="G49" i="10"/>
  <c r="G47" i="10"/>
  <c r="G45" i="10"/>
  <c r="G42" i="10"/>
  <c r="G37" i="10"/>
  <c r="G33" i="10"/>
  <c r="G27" i="10"/>
  <c r="S126" i="9"/>
  <c r="S50" i="9" s="1"/>
  <c r="S118" i="9"/>
  <c r="S42" i="9" s="1"/>
  <c r="S125" i="9"/>
  <c r="S49" i="9" s="1"/>
  <c r="S119" i="9"/>
  <c r="S43" i="9" s="1"/>
  <c r="H35" i="4"/>
  <c r="S99" i="9"/>
  <c r="S122" i="9"/>
  <c r="S46" i="9" s="1"/>
  <c r="S124" i="9"/>
  <c r="S48" i="9" s="1"/>
  <c r="S120" i="9"/>
  <c r="S44" i="9" s="1"/>
  <c r="G20" i="10"/>
  <c r="CQ194" i="2" l="1"/>
  <c r="BU219" i="2"/>
  <c r="BT252" i="2"/>
  <c r="S23" i="9"/>
  <c r="S116" i="9"/>
  <c r="U99" i="9"/>
  <c r="J42" i="4"/>
  <c r="J5" i="4"/>
  <c r="I31" i="10" s="1"/>
  <c r="U125" i="9"/>
  <c r="U49" i="9" s="1"/>
  <c r="H24" i="4"/>
  <c r="BT207" i="2" l="1"/>
  <c r="BT208" i="2"/>
  <c r="BT195" i="2"/>
  <c r="BU252" i="2"/>
  <c r="BV219" i="2"/>
  <c r="U23" i="9"/>
  <c r="S114" i="9"/>
  <c r="S38" i="9" s="1"/>
  <c r="S40" i="9"/>
  <c r="I49" i="10"/>
  <c r="I33" i="10"/>
  <c r="I37" i="10"/>
  <c r="I47" i="10"/>
  <c r="I45" i="10"/>
  <c r="I42" i="10"/>
  <c r="I27" i="10"/>
  <c r="J44" i="4"/>
  <c r="I42" i="4"/>
  <c r="T99" i="9"/>
  <c r="T125" i="9"/>
  <c r="T49" i="9" s="1"/>
  <c r="T126" i="9"/>
  <c r="T50" i="9" s="1"/>
  <c r="I5" i="4"/>
  <c r="H31" i="10" s="1"/>
  <c r="T119" i="9"/>
  <c r="T43" i="9" s="1"/>
  <c r="J35" i="4"/>
  <c r="BU208" i="2" l="1"/>
  <c r="BU207" i="2"/>
  <c r="BU195" i="2"/>
  <c r="BV252" i="2"/>
  <c r="BW219" i="2"/>
  <c r="T23" i="9"/>
  <c r="I44" i="4"/>
  <c r="H49" i="10"/>
  <c r="H33" i="10"/>
  <c r="H27" i="10"/>
  <c r="H47" i="10"/>
  <c r="H42" i="10"/>
  <c r="H37" i="10"/>
  <c r="J24" i="4"/>
  <c r="T120" i="9"/>
  <c r="T44" i="9" s="1"/>
  <c r="T122" i="9"/>
  <c r="T46" i="9" s="1"/>
  <c r="T116" i="9"/>
  <c r="T40" i="9" s="1"/>
  <c r="BV208" i="2" l="1"/>
  <c r="BV207" i="2"/>
  <c r="BV195" i="2"/>
  <c r="BX219" i="2"/>
  <c r="BW252" i="2"/>
  <c r="I24" i="4"/>
  <c r="I35" i="4"/>
  <c r="U120" i="9"/>
  <c r="U44" i="9" s="1"/>
  <c r="U126" i="9"/>
  <c r="U50" i="9" s="1"/>
  <c r="BX252" i="2" l="1"/>
  <c r="BY219" i="2"/>
  <c r="U119" i="9"/>
  <c r="U43" i="9" s="1"/>
  <c r="U122" i="9"/>
  <c r="U46" i="9" s="1"/>
  <c r="BW207" i="2" l="1"/>
  <c r="BW208" i="2"/>
  <c r="BW195" i="2"/>
  <c r="BZ219" i="2"/>
  <c r="BY252" i="2"/>
  <c r="F47" i="4"/>
  <c r="BX207" i="2" l="1"/>
  <c r="BX208" i="2"/>
  <c r="BX195" i="2"/>
  <c r="BR204" i="2"/>
  <c r="CA219" i="2"/>
  <c r="BZ252" i="2"/>
  <c r="E25" i="2"/>
  <c r="E196" i="2"/>
  <c r="E207" i="2" s="1"/>
  <c r="E195" i="2"/>
  <c r="R89" i="9"/>
  <c r="BR217" i="2" l="1"/>
  <c r="CB219" i="2"/>
  <c r="CA252" i="2"/>
  <c r="R13" i="9"/>
  <c r="R85" i="9"/>
  <c r="R88" i="9"/>
  <c r="R12" i="9" s="1"/>
  <c r="Q89" i="9"/>
  <c r="CB252" i="2" l="1"/>
  <c r="CC219" i="2"/>
  <c r="Q13" i="9"/>
  <c r="Q85" i="9"/>
  <c r="R95" i="9"/>
  <c r="R19" i="9" s="1"/>
  <c r="CD219" i="2" l="1"/>
  <c r="CC252" i="2"/>
  <c r="Q3" i="9"/>
  <c r="R128" i="9"/>
  <c r="R52" i="9" s="1"/>
  <c r="BR205" i="2" l="1"/>
  <c r="CD252" i="2"/>
  <c r="BR219" i="2"/>
  <c r="CF219" i="2" s="1"/>
  <c r="R79" i="9"/>
  <c r="R75" i="9"/>
  <c r="H43" i="4"/>
  <c r="S103" i="9"/>
  <c r="S27" i="9" s="1"/>
  <c r="BR252" i="2" l="1"/>
  <c r="CF252" i="2"/>
  <c r="CG219" i="2"/>
  <c r="BR218" i="2"/>
  <c r="R77" i="9"/>
  <c r="H44" i="4"/>
  <c r="S97" i="9"/>
  <c r="S21" i="9" s="1"/>
  <c r="CH219" i="2" l="1"/>
  <c r="CG252" i="2"/>
  <c r="S96" i="9"/>
  <c r="S20" i="9" s="1"/>
  <c r="CI219" i="2" l="1"/>
  <c r="CH252" i="2"/>
  <c r="S128" i="9"/>
  <c r="S52" i="9" s="1"/>
  <c r="CI252" i="2" l="1"/>
  <c r="CJ219" i="2"/>
  <c r="S75" i="9"/>
  <c r="S79" i="9"/>
  <c r="T103" i="9"/>
  <c r="T27" i="9" s="1"/>
  <c r="CJ252" i="2" l="1"/>
  <c r="CK219" i="2"/>
  <c r="S77" i="9"/>
  <c r="T97" i="9"/>
  <c r="T21" i="9" s="1"/>
  <c r="CK252" i="2" l="1"/>
  <c r="CL219" i="2"/>
  <c r="U105" i="9"/>
  <c r="CL252" i="2" l="1"/>
  <c r="CM219" i="2"/>
  <c r="U104" i="9"/>
  <c r="U28" i="9" s="1"/>
  <c r="U29" i="9"/>
  <c r="V105" i="9"/>
  <c r="V29" i="9" s="1"/>
  <c r="CM252" i="2" l="1"/>
  <c r="CN219" i="2"/>
  <c r="V104" i="9"/>
  <c r="V28" i="9" s="1"/>
  <c r="CN252" i="2" l="1"/>
  <c r="CO219" i="2"/>
  <c r="T111" i="9"/>
  <c r="T35" i="9" s="1"/>
  <c r="CO252" i="2" l="1"/>
  <c r="CP219" i="2"/>
  <c r="E11" i="11"/>
  <c r="CP252" i="2" l="1"/>
  <c r="CQ219" i="2"/>
  <c r="I25" i="5"/>
  <c r="U109" i="9" s="1"/>
  <c r="E23" i="5"/>
  <c r="CQ252" i="2" l="1"/>
  <c r="CE219" i="2"/>
  <c r="U108" i="9"/>
  <c r="U32" i="9" s="1"/>
  <c r="U33" i="9"/>
  <c r="J25" i="5"/>
  <c r="V109" i="9" s="1"/>
  <c r="V33" i="9" s="1"/>
  <c r="V110" i="9"/>
  <c r="V34" i="9" s="1"/>
  <c r="W110" i="9"/>
  <c r="W34" i="9" s="1"/>
  <c r="CE252" i="2" l="1"/>
  <c r="V108" i="9"/>
  <c r="V32" i="9" s="1"/>
  <c r="X110" i="9" l="1"/>
  <c r="X34" i="9" s="1"/>
  <c r="E24" i="5" l="1"/>
  <c r="E22" i="5" l="1"/>
  <c r="E32" i="5" l="1"/>
  <c r="E27" i="5"/>
  <c r="E33" i="5" l="1"/>
  <c r="T118" i="9"/>
  <c r="T42" i="9" s="1"/>
  <c r="U118" i="9" l="1"/>
  <c r="U42" i="9" s="1"/>
  <c r="H45" i="10" l="1"/>
  <c r="T124" i="9"/>
  <c r="T48" i="9" s="1"/>
  <c r="T114" i="9" l="1"/>
  <c r="T38" i="9" s="1"/>
  <c r="U124" i="9"/>
  <c r="U114" i="9" l="1"/>
  <c r="U38" i="9" s="1"/>
  <c r="U48" i="9"/>
  <c r="T96" i="9"/>
  <c r="T20" i="9" s="1"/>
  <c r="Q110" i="9" l="1"/>
  <c r="Q107" i="9"/>
  <c r="T92" i="9"/>
  <c r="T16" i="9" s="1"/>
  <c r="Q31" i="9" l="1"/>
  <c r="Q34" i="9"/>
  <c r="T90" i="9"/>
  <c r="T14" i="9" s="1"/>
  <c r="T88" i="9" l="1"/>
  <c r="T12" i="9" s="1"/>
  <c r="T95" i="9" l="1"/>
  <c r="T19" i="9" s="1"/>
  <c r="T128" i="9" l="1"/>
  <c r="T52" i="9" s="1"/>
  <c r="T75" i="9" l="1"/>
  <c r="T79" i="9"/>
  <c r="U91" i="9"/>
  <c r="U15" i="9" s="1"/>
  <c r="T77" i="9" l="1"/>
  <c r="U90" i="9"/>
  <c r="U14" i="9" s="1"/>
  <c r="U88" i="9" l="1"/>
  <c r="U12" i="9" s="1"/>
  <c r="U95" i="9" l="1"/>
  <c r="U19" i="9" s="1"/>
  <c r="U103" i="9" l="1"/>
  <c r="U27" i="9" s="1"/>
  <c r="U97" i="9" l="1"/>
  <c r="U21" i="9" s="1"/>
  <c r="U96" i="9" l="1"/>
  <c r="U20" i="9" s="1"/>
  <c r="U128" i="9" l="1"/>
  <c r="U52" i="9" s="1"/>
  <c r="U79" i="9" l="1"/>
  <c r="U75" i="9"/>
  <c r="Q117" i="9"/>
  <c r="Q123" i="9"/>
  <c r="Q121" i="9"/>
  <c r="Q127" i="9"/>
  <c r="Q47" i="9" l="1"/>
  <c r="Q51" i="9"/>
  <c r="Q41" i="9"/>
  <c r="Q45" i="9"/>
  <c r="U77" i="9"/>
  <c r="K5" i="5"/>
  <c r="H5" i="5"/>
  <c r="I5" i="5" s="1"/>
  <c r="V116" i="9"/>
  <c r="V40" i="9" s="1"/>
  <c r="E5" i="5" l="1"/>
  <c r="K42" i="4"/>
  <c r="V125" i="9"/>
  <c r="V49" i="9" s="1"/>
  <c r="K5" i="4"/>
  <c r="V99" i="9"/>
  <c r="K35" i="4"/>
  <c r="V23" i="9" l="1"/>
  <c r="J31" i="10"/>
  <c r="J27" i="10"/>
  <c r="J33" i="10"/>
  <c r="J49" i="10"/>
  <c r="J45" i="10"/>
  <c r="J47" i="10"/>
  <c r="J42" i="10"/>
  <c r="K44" i="4"/>
  <c r="J37" i="10"/>
  <c r="V122" i="9"/>
  <c r="V46" i="9" s="1"/>
  <c r="V120" i="9"/>
  <c r="V44" i="9" s="1"/>
  <c r="V126" i="9"/>
  <c r="V50" i="9" s="1"/>
  <c r="V103" i="9"/>
  <c r="V27" i="9" s="1"/>
  <c r="K24" i="4"/>
  <c r="V119" i="9"/>
  <c r="V43" i="9" s="1"/>
  <c r="V124" i="9"/>
  <c r="V48" i="9" s="1"/>
  <c r="V118" i="9"/>
  <c r="V42" i="9" s="1"/>
  <c r="V97" i="9" l="1"/>
  <c r="V21" i="9" s="1"/>
  <c r="V114" i="9"/>
  <c r="V38" i="9" s="1"/>
  <c r="V96" i="9" l="1"/>
  <c r="V20" i="9" s="1"/>
  <c r="V128" i="9" l="1"/>
  <c r="V52" i="9" s="1"/>
  <c r="V75" i="9" l="1"/>
  <c r="V79" i="9"/>
  <c r="W105" i="9"/>
  <c r="W29" i="9" s="1"/>
  <c r="V77" i="9" l="1"/>
  <c r="X105" i="9"/>
  <c r="X29" i="9" s="1"/>
  <c r="Z105" i="9"/>
  <c r="Z29" i="9" s="1"/>
  <c r="AB105" i="9" l="1"/>
  <c r="AB29" i="9" s="1"/>
  <c r="AC105" i="9"/>
  <c r="AC29" i="9" s="1"/>
  <c r="AA105" i="9"/>
  <c r="AA29" i="9" s="1"/>
  <c r="Q105" i="9" l="1"/>
  <c r="E284" i="2"/>
  <c r="E286" i="2" s="1"/>
  <c r="E282" i="2"/>
  <c r="Q29" i="9" l="1"/>
  <c r="W106" i="9"/>
  <c r="W30" i="9" s="1"/>
  <c r="W104" i="9" l="1"/>
  <c r="W28" i="9" s="1"/>
  <c r="X106" i="9"/>
  <c r="X30" i="9" s="1"/>
  <c r="X104" i="9" l="1"/>
  <c r="X28" i="9" s="1"/>
  <c r="AA106" i="9"/>
  <c r="AA30" i="9" s="1"/>
  <c r="Z106" i="9"/>
  <c r="Z30" i="9" s="1"/>
  <c r="AA104" i="9" l="1"/>
  <c r="AA28" i="9" s="1"/>
  <c r="Z104" i="9"/>
  <c r="Z28" i="9" s="1"/>
  <c r="AB106" i="9"/>
  <c r="AB30" i="9" s="1"/>
  <c r="AB104" i="9" l="1"/>
  <c r="AB28" i="9" s="1"/>
  <c r="AC106" i="9"/>
  <c r="AC30" i="9" s="1"/>
  <c r="AC104" i="9" l="1"/>
  <c r="AC28" i="9" s="1"/>
  <c r="Q106" i="9"/>
  <c r="E289" i="2"/>
  <c r="Q30" i="9" l="1"/>
  <c r="Q104" i="9"/>
  <c r="Q28" i="9" l="1"/>
  <c r="W99" i="9"/>
  <c r="L42" i="4"/>
  <c r="L5" i="4"/>
  <c r="W23" i="9" l="1"/>
  <c r="K31" i="10"/>
  <c r="K27" i="10"/>
  <c r="F26" i="4"/>
  <c r="K47" i="10"/>
  <c r="K37" i="10"/>
  <c r="K33" i="10"/>
  <c r="K45" i="10"/>
  <c r="K49" i="10"/>
  <c r="K42" i="10"/>
  <c r="L44" i="4"/>
  <c r="W120" i="9"/>
  <c r="W44" i="9" s="1"/>
  <c r="W126" i="9"/>
  <c r="W50" i="9" s="1"/>
  <c r="W124" i="9"/>
  <c r="W48" i="9" s="1"/>
  <c r="W116" i="9"/>
  <c r="W40" i="9" s="1"/>
  <c r="W122" i="9"/>
  <c r="W46" i="9" s="1"/>
  <c r="W119" i="9"/>
  <c r="W43" i="9" s="1"/>
  <c r="W125" i="9"/>
  <c r="W49" i="9" s="1"/>
  <c r="W118" i="9"/>
  <c r="W42" i="9" s="1"/>
  <c r="W103" i="9"/>
  <c r="W27" i="9" s="1"/>
  <c r="L24" i="4" l="1"/>
  <c r="L35" i="4"/>
  <c r="Z99" i="9"/>
  <c r="O35" i="4"/>
  <c r="E49" i="10"/>
  <c r="E37" i="10"/>
  <c r="E47" i="10"/>
  <c r="E42" i="10"/>
  <c r="E33" i="10"/>
  <c r="W114" i="9"/>
  <c r="W38" i="9" s="1"/>
  <c r="W97" i="9"/>
  <c r="W21" i="9" s="1"/>
  <c r="Z23" i="9" l="1"/>
  <c r="Z97" i="9"/>
  <c r="Z21" i="9" s="1"/>
  <c r="AC99" i="9"/>
  <c r="N20" i="10"/>
  <c r="Z116" i="9" s="1"/>
  <c r="Z40" i="9" s="1"/>
  <c r="X119" i="9"/>
  <c r="X43" i="9" s="1"/>
  <c r="X99" i="9"/>
  <c r="X125" i="9"/>
  <c r="X49" i="9" s="1"/>
  <c r="F44" i="4"/>
  <c r="E31" i="10"/>
  <c r="AC23" i="9" l="1"/>
  <c r="X23" i="9"/>
  <c r="Q125" i="9"/>
  <c r="Q119" i="9"/>
  <c r="AC97" i="9"/>
  <c r="AC21" i="9" s="1"/>
  <c r="Q99" i="9"/>
  <c r="O20" i="10"/>
  <c r="AA116" i="9" s="1"/>
  <c r="AA40" i="9" s="1"/>
  <c r="AF46" i="9"/>
  <c r="X124" i="9"/>
  <c r="X48" i="9" s="1"/>
  <c r="AF43" i="9"/>
  <c r="X118" i="9"/>
  <c r="X42" i="9" s="1"/>
  <c r="X126" i="9"/>
  <c r="X50" i="9" s="1"/>
  <c r="X103" i="9"/>
  <c r="X27" i="9" s="1"/>
  <c r="X116" i="9"/>
  <c r="X40" i="9" s="1"/>
  <c r="AF42" i="9"/>
  <c r="X120" i="9"/>
  <c r="X44" i="9" s="1"/>
  <c r="X122" i="9"/>
  <c r="X46" i="9" s="1"/>
  <c r="Q43" i="9" l="1"/>
  <c r="Q49" i="9"/>
  <c r="Q23" i="9"/>
  <c r="Q118" i="9"/>
  <c r="Q122" i="9"/>
  <c r="Q103" i="9"/>
  <c r="Q126" i="9"/>
  <c r="Q120" i="9"/>
  <c r="AA114" i="9"/>
  <c r="AA38" i="9" s="1"/>
  <c r="E27" i="10"/>
  <c r="P20" i="10"/>
  <c r="AB116" i="9" s="1"/>
  <c r="AB40" i="9" s="1"/>
  <c r="AG46" i="9"/>
  <c r="X97" i="9"/>
  <c r="X21" i="9" s="1"/>
  <c r="AG42" i="9"/>
  <c r="AF49" i="9"/>
  <c r="AG43" i="9"/>
  <c r="AF50" i="9"/>
  <c r="F8" i="4"/>
  <c r="F7" i="4"/>
  <c r="E307" i="2" s="1"/>
  <c r="Q27" i="9" l="1"/>
  <c r="Q42" i="9"/>
  <c r="Q44" i="9"/>
  <c r="Q46" i="9"/>
  <c r="Q50" i="9"/>
  <c r="Q97" i="9"/>
  <c r="Q20" i="10"/>
  <c r="AC116" i="9" s="1"/>
  <c r="AC40" i="9" s="1"/>
  <c r="AH46" i="9"/>
  <c r="AG49" i="9"/>
  <c r="AH43" i="9"/>
  <c r="AH23" i="9"/>
  <c r="AH42" i="9"/>
  <c r="AG50" i="9"/>
  <c r="E32" i="10"/>
  <c r="F42" i="4"/>
  <c r="F5" i="4"/>
  <c r="E36" i="10"/>
  <c r="E34" i="10" s="1"/>
  <c r="E48" i="10"/>
  <c r="F30" i="4"/>
  <c r="F28" i="4" s="1"/>
  <c r="E22" i="10"/>
  <c r="E20" i="10" s="1"/>
  <c r="E30" i="10"/>
  <c r="F43" i="4"/>
  <c r="F37" i="4" s="1"/>
  <c r="E41" i="10"/>
  <c r="E39" i="10" s="1"/>
  <c r="E46" i="10"/>
  <c r="F35" i="4" l="1"/>
  <c r="Q21" i="9"/>
  <c r="Q116" i="9"/>
  <c r="AI46" i="9"/>
  <c r="AI42" i="9"/>
  <c r="AH49" i="9"/>
  <c r="AI43" i="9"/>
  <c r="AH50" i="9"/>
  <c r="AI23" i="9"/>
  <c r="F24" i="4"/>
  <c r="Q40" i="9" l="1"/>
  <c r="AJ46" i="9"/>
  <c r="AJ43" i="9"/>
  <c r="AJ42" i="9"/>
  <c r="AI50" i="9"/>
  <c r="AJ23" i="9"/>
  <c r="AI49" i="9"/>
  <c r="AK46" i="9" l="1"/>
  <c r="AK43" i="9"/>
  <c r="AJ50" i="9"/>
  <c r="AJ49" i="9"/>
  <c r="AK42" i="9"/>
  <c r="AK23" i="9"/>
  <c r="AM39" i="9" l="1"/>
  <c r="N6" i="10"/>
  <c r="Z115" i="9" s="1"/>
  <c r="Z39" i="9" s="1"/>
  <c r="AL23" i="9"/>
  <c r="AK49" i="9"/>
  <c r="AL46" i="9"/>
  <c r="AL42" i="9"/>
  <c r="AK50" i="9"/>
  <c r="AL43" i="9"/>
  <c r="AK44" i="9"/>
  <c r="Z114" i="9" l="1"/>
  <c r="Z38" i="9" s="1"/>
  <c r="AC115" i="9"/>
  <c r="AC39" i="9" s="1"/>
  <c r="AM43" i="9"/>
  <c r="AL50" i="9"/>
  <c r="AL49" i="9"/>
  <c r="AM23" i="9"/>
  <c r="AL44" i="9"/>
  <c r="AM42" i="9"/>
  <c r="AM46" i="9"/>
  <c r="X115" i="9"/>
  <c r="X39" i="9" s="1"/>
  <c r="Z96" i="9" l="1"/>
  <c r="Z20" i="9" s="1"/>
  <c r="AM49" i="9"/>
  <c r="AM44" i="9"/>
  <c r="AM50" i="9"/>
  <c r="Q115" i="9"/>
  <c r="X114" i="9"/>
  <c r="X38" i="9" s="1"/>
  <c r="Q39" i="9" l="1"/>
  <c r="AJ39" i="9"/>
  <c r="AP50" i="9" l="1"/>
  <c r="AP42" i="9"/>
  <c r="F27" i="4"/>
  <c r="E19" i="10"/>
  <c r="E6" i="10"/>
  <c r="E7" i="10" s="1"/>
  <c r="F33" i="4"/>
  <c r="AP39" i="9" l="1"/>
  <c r="K31" i="3"/>
  <c r="K41" i="3"/>
  <c r="W92" i="9"/>
  <c r="W16" i="9" s="1"/>
  <c r="W90" i="9" l="1"/>
  <c r="W14" i="9" s="1"/>
  <c r="X92" i="9" l="1"/>
  <c r="X16" i="9" s="1"/>
  <c r="W88" i="9"/>
  <c r="W12" i="9" s="1"/>
  <c r="W95" i="9" l="1"/>
  <c r="W19" i="9" s="1"/>
  <c r="N31" i="3" l="1"/>
  <c r="O31" i="3" l="1"/>
  <c r="E41" i="3"/>
  <c r="Q31" i="3" l="1"/>
  <c r="AC92" i="9"/>
  <c r="P31" i="3"/>
  <c r="E32" i="3"/>
  <c r="K21" i="5"/>
  <c r="E20" i="5" s="1"/>
  <c r="E31" i="3" l="1"/>
  <c r="AC16" i="9"/>
  <c r="AC90" i="9"/>
  <c r="K25" i="5"/>
  <c r="W109" i="9" s="1"/>
  <c r="W33" i="9" s="1"/>
  <c r="AC88" i="9" l="1"/>
  <c r="AC12" i="9" s="1"/>
  <c r="AC14" i="9"/>
  <c r="W108" i="9"/>
  <c r="W32" i="9" s="1"/>
  <c r="X109" i="9"/>
  <c r="X33" i="9" s="1"/>
  <c r="AC95" i="9" l="1"/>
  <c r="AC19" i="9" s="1"/>
  <c r="X108" i="9"/>
  <c r="W96" i="9"/>
  <c r="W20" i="9" s="1"/>
  <c r="Q109" i="9"/>
  <c r="Q33" i="9" l="1"/>
  <c r="Q108" i="9"/>
  <c r="X32" i="9"/>
  <c r="X96" i="9"/>
  <c r="X20" i="9" s="1"/>
  <c r="W128" i="9"/>
  <c r="W52" i="9" s="1"/>
  <c r="Q32" i="9" l="1"/>
  <c r="W75" i="9"/>
  <c r="W77" i="9" s="1"/>
  <c r="W79" i="9"/>
  <c r="E21" i="5"/>
  <c r="E26" i="5" l="1"/>
  <c r="E31" i="5" l="1"/>
  <c r="E25" i="5"/>
  <c r="E253" i="2"/>
  <c r="E267" i="2" s="1"/>
  <c r="X91" i="9"/>
  <c r="X15" i="9" s="1"/>
  <c r="Q91" i="9" l="1"/>
  <c r="X90" i="9"/>
  <c r="X14" i="9" s="1"/>
  <c r="Q15" i="9" l="1"/>
  <c r="X88" i="9"/>
  <c r="X12" i="9" s="1"/>
  <c r="X95" i="9" l="1"/>
  <c r="X19" i="9" s="1"/>
  <c r="X128" i="9" l="1"/>
  <c r="X52" i="9" s="1"/>
  <c r="X79" i="9" l="1"/>
  <c r="X75" i="9"/>
  <c r="X77" i="9" s="1"/>
  <c r="AP29" i="9"/>
  <c r="AL29" i="9"/>
  <c r="AN29" i="9"/>
  <c r="AO29" i="9"/>
  <c r="AM29" i="9"/>
  <c r="AE50" i="9" l="1"/>
  <c r="AE23" i="9"/>
  <c r="AE49" i="9"/>
  <c r="AE42" i="9"/>
  <c r="AE43" i="9"/>
  <c r="AE44" i="9" l="1"/>
  <c r="AE33" i="9" l="1"/>
  <c r="R29" i="5"/>
  <c r="R28" i="5"/>
  <c r="AE32" i="9" l="1"/>
  <c r="AL33" i="9"/>
  <c r="T39" i="4" l="1"/>
  <c r="T38" i="4" l="1"/>
  <c r="T43" i="4" s="1"/>
  <c r="T44" i="4" l="1"/>
  <c r="T42" i="4"/>
  <c r="AE27" i="9" l="1"/>
  <c r="AE46" i="9" l="1"/>
  <c r="AH34" i="9" l="1"/>
  <c r="AJ34" i="9"/>
  <c r="AL34" i="9"/>
  <c r="AF34" i="9"/>
  <c r="AL32" i="9" l="1"/>
  <c r="AJ32" i="9"/>
  <c r="AF32" i="9"/>
  <c r="AH32" i="9"/>
  <c r="S24" i="10" l="1"/>
  <c r="S83" i="3" l="1"/>
  <c r="S82" i="3"/>
  <c r="T83" i="3"/>
  <c r="T27" i="3"/>
  <c r="T28" i="3" s="1"/>
  <c r="U27" i="3" l="1"/>
  <c r="U28" i="3" s="1"/>
  <c r="T82" i="3"/>
  <c r="V83" i="3" l="1"/>
  <c r="V27" i="3"/>
  <c r="V28" i="3" s="1"/>
  <c r="W28" i="3" s="1"/>
  <c r="U82" i="3"/>
  <c r="U83" i="3"/>
  <c r="V82" i="3" l="1"/>
  <c r="W27" i="3"/>
  <c r="W26" i="3" s="1"/>
  <c r="X28" i="3"/>
  <c r="Y28" i="3" s="1"/>
  <c r="Z28" i="3" s="1"/>
  <c r="AA28" i="3" s="1"/>
  <c r="AB28" i="3" s="1"/>
  <c r="AC28" i="3" s="1"/>
  <c r="AD28" i="3" s="1"/>
  <c r="W83" i="3"/>
  <c r="W25" i="3" l="1"/>
  <c r="W24" i="3"/>
  <c r="W82" i="3"/>
  <c r="X82" i="3" l="1"/>
  <c r="X83" i="3"/>
  <c r="Y83" i="3"/>
  <c r="X27" i="3"/>
  <c r="X26" i="3" s="1"/>
  <c r="X25" i="3" s="1"/>
  <c r="W31" i="3"/>
  <c r="X24" i="3" l="1"/>
  <c r="Y27" i="3" s="1"/>
  <c r="Y26" i="3" s="1"/>
  <c r="Y24" i="3" s="1"/>
  <c r="X31" i="3"/>
  <c r="Y82" i="3"/>
  <c r="Z83" i="3"/>
  <c r="Z82" i="3" l="1"/>
  <c r="Y25" i="3"/>
  <c r="Y31" i="3" s="1"/>
  <c r="AA83" i="3"/>
  <c r="Z27" i="3"/>
  <c r="Z26" i="3" s="1"/>
  <c r="Z25" i="3" l="1"/>
  <c r="Z31" i="3" s="1"/>
  <c r="Z24" i="3"/>
  <c r="AA27" i="3" s="1"/>
  <c r="AA26" i="3" s="1"/>
  <c r="AA24" i="3" s="1"/>
  <c r="AB83" i="3"/>
  <c r="AA82" i="3"/>
  <c r="AB27" i="3" l="1"/>
  <c r="AB26" i="3" s="1"/>
  <c r="AB24" i="3" s="1"/>
  <c r="AA25" i="3"/>
  <c r="AB82" i="3"/>
  <c r="AC83" i="3"/>
  <c r="AB25" i="3" l="1"/>
  <c r="AA31" i="3"/>
  <c r="AC82" i="3"/>
  <c r="AC27" i="3"/>
  <c r="AC26" i="3" s="1"/>
  <c r="AC24" i="3" s="1"/>
  <c r="AD27" i="3" l="1"/>
  <c r="AD26" i="3" s="1"/>
  <c r="AD24" i="3" s="1"/>
  <c r="AF27" i="3" s="1"/>
  <c r="AF28" i="3" s="1"/>
  <c r="AD82" i="3"/>
  <c r="AD83" i="3"/>
  <c r="S40" i="4"/>
  <c r="AB31" i="3"/>
  <c r="AC25" i="3"/>
  <c r="R83" i="3" l="1"/>
  <c r="R82" i="3"/>
  <c r="AC31" i="3"/>
  <c r="AD25" i="3"/>
  <c r="AF26" i="3" s="1"/>
  <c r="R24" i="10"/>
  <c r="AD31" i="3" l="1"/>
  <c r="R31" i="3" s="1"/>
  <c r="AB113" i="9" l="1"/>
  <c r="AB37" i="9" s="1"/>
  <c r="AC113" i="9"/>
  <c r="AC37" i="9" s="1"/>
  <c r="AA113" i="9"/>
  <c r="AA37" i="9" s="1"/>
  <c r="E25" i="11"/>
  <c r="E49" i="11" s="1"/>
  <c r="AA111" i="9" l="1"/>
  <c r="AB111" i="9"/>
  <c r="AB35" i="9" s="1"/>
  <c r="AC111" i="9"/>
  <c r="AC35" i="9" s="1"/>
  <c r="Q113" i="9"/>
  <c r="Q37" i="9" l="1"/>
  <c r="AA96" i="9"/>
  <c r="AA20" i="9" s="1"/>
  <c r="AA35" i="9"/>
  <c r="Q111" i="9"/>
  <c r="AF35" i="9"/>
  <c r="AE35" i="9"/>
  <c r="Q35" i="9" l="1"/>
  <c r="AG35" i="9"/>
  <c r="AH35" i="9" l="1"/>
  <c r="AI35" i="9" l="1"/>
  <c r="AJ35" i="9" l="1"/>
  <c r="AK35" i="9" l="1"/>
  <c r="AL35" i="9" l="1"/>
  <c r="R25" i="11" l="1"/>
  <c r="S19" i="10" l="1"/>
  <c r="R19" i="10" l="1"/>
  <c r="S6" i="10"/>
  <c r="AE115" i="9" s="1"/>
  <c r="AE39" i="9" l="1"/>
  <c r="R6" i="10"/>
  <c r="R7" i="10" s="1"/>
  <c r="E45" i="10" l="1"/>
  <c r="AB124" i="9"/>
  <c r="AB48" i="9" s="1"/>
  <c r="AB114" i="9" l="1"/>
  <c r="AF48" i="9"/>
  <c r="AC124" i="9"/>
  <c r="AC48" i="9" s="1"/>
  <c r="AB96" i="9" l="1"/>
  <c r="AB20" i="9" s="1"/>
  <c r="AB38" i="9"/>
  <c r="AC114" i="9"/>
  <c r="E44" i="10"/>
  <c r="AG48" i="9"/>
  <c r="AE48" i="9"/>
  <c r="Q124" i="9"/>
  <c r="Q48" i="9" l="1"/>
  <c r="AC96" i="9"/>
  <c r="AC20" i="9" s="1"/>
  <c r="AC38" i="9"/>
  <c r="Q114" i="9"/>
  <c r="AH48" i="9"/>
  <c r="Q38" i="9" l="1"/>
  <c r="AC128" i="9"/>
  <c r="AC52" i="9" s="1"/>
  <c r="AC75" i="9" s="1"/>
  <c r="Q96" i="9"/>
  <c r="AI48" i="9"/>
  <c r="Q20" i="9" l="1"/>
  <c r="AC79" i="9"/>
  <c r="AC77" i="9"/>
  <c r="AJ48" i="9"/>
  <c r="AK48" i="9" l="1"/>
  <c r="AL48" i="9" l="1"/>
  <c r="AM48" i="9" l="1"/>
  <c r="AF15" i="9" l="1"/>
  <c r="V8" i="2"/>
  <c r="V268" i="2" s="1"/>
  <c r="X8" i="2"/>
  <c r="X268" i="2" s="1"/>
  <c r="U8" i="2"/>
  <c r="U268" i="2" s="1"/>
  <c r="AC8" i="2"/>
  <c r="AC268" i="2" s="1"/>
  <c r="T8" i="2"/>
  <c r="T268" i="2" s="1"/>
  <c r="AB8" i="2"/>
  <c r="AB268" i="2" s="1"/>
  <c r="Z8" i="2"/>
  <c r="Z268" i="2" s="1"/>
  <c r="AA8" i="2"/>
  <c r="AA268" i="2" s="1"/>
  <c r="S8" i="2"/>
  <c r="S268" i="2" s="1"/>
  <c r="W8" i="2"/>
  <c r="W268" i="2" s="1"/>
  <c r="AD8" i="2"/>
  <c r="AD268" i="2" s="1"/>
  <c r="Y8" i="2"/>
  <c r="Y268" i="2" s="1"/>
  <c r="AF303" i="2" l="1"/>
  <c r="AD208" i="2"/>
  <c r="AB207" i="2"/>
  <c r="AC303" i="2"/>
  <c r="AB29" i="10"/>
  <c r="AB308" i="2"/>
  <c r="AB267" i="2"/>
  <c r="AB231" i="2"/>
  <c r="AB292" i="2"/>
  <c r="AB208" i="2"/>
  <c r="AB293" i="2"/>
  <c r="U208" i="2"/>
  <c r="Y208" i="2"/>
  <c r="X208" i="2"/>
  <c r="AC207" i="2"/>
  <c r="AD303" i="2"/>
  <c r="AC208" i="2"/>
  <c r="AC29" i="10"/>
  <c r="AC308" i="2"/>
  <c r="AC292" i="2"/>
  <c r="AC293" i="2"/>
  <c r="W208" i="2"/>
  <c r="S208" i="2"/>
  <c r="V208" i="2"/>
  <c r="T208" i="2"/>
  <c r="AD267" i="2"/>
  <c r="AD231" i="2"/>
  <c r="AD29" i="10"/>
  <c r="AD292" i="2"/>
  <c r="AD293" i="2"/>
  <c r="AD308" i="2"/>
  <c r="AA207" i="2"/>
  <c r="AB303" i="2"/>
  <c r="AA208" i="2"/>
  <c r="AA29" i="10"/>
  <c r="AA308" i="2"/>
  <c r="AA292" i="2"/>
  <c r="AA293" i="2"/>
  <c r="Z208" i="2"/>
  <c r="AD207" i="2"/>
  <c r="T308" i="2"/>
  <c r="U303" i="2"/>
  <c r="Z308" i="2"/>
  <c r="AA303" i="2"/>
  <c r="U308" i="2"/>
  <c r="V303" i="2"/>
  <c r="Y308" i="2"/>
  <c r="Z303" i="2"/>
  <c r="W308" i="2"/>
  <c r="X303" i="2"/>
  <c r="X308" i="2"/>
  <c r="Y303" i="2"/>
  <c r="S308" i="2"/>
  <c r="T303" i="2"/>
  <c r="V308" i="2"/>
  <c r="W303" i="2"/>
  <c r="AC231" i="2"/>
  <c r="AC267" i="2"/>
  <c r="AA231" i="2"/>
  <c r="AA267" i="2"/>
  <c r="Y29" i="10"/>
  <c r="Y293" i="2"/>
  <c r="Y292" i="2"/>
  <c r="Y267" i="2"/>
  <c r="Y231" i="2"/>
  <c r="Y207" i="2"/>
  <c r="U29" i="10"/>
  <c r="U292" i="2"/>
  <c r="U293" i="2"/>
  <c r="U231" i="2"/>
  <c r="U207" i="2"/>
  <c r="U267" i="2"/>
  <c r="X29" i="10"/>
  <c r="X292" i="2"/>
  <c r="X231" i="2"/>
  <c r="X293" i="2"/>
  <c r="Z29" i="10"/>
  <c r="Z293" i="2"/>
  <c r="Z292" i="2"/>
  <c r="Z231" i="2"/>
  <c r="Z267" i="2"/>
  <c r="Z207" i="2"/>
  <c r="W29" i="10"/>
  <c r="W231" i="2"/>
  <c r="W293" i="2"/>
  <c r="W207" i="2"/>
  <c r="W292" i="2"/>
  <c r="V29" i="10"/>
  <c r="V293" i="2"/>
  <c r="V292" i="2"/>
  <c r="AP15" i="9"/>
  <c r="AM15" i="9"/>
  <c r="AO15" i="9"/>
  <c r="AL15" i="9"/>
  <c r="AL13" i="9"/>
  <c r="AB39" i="4"/>
  <c r="AB38" i="4" s="1"/>
  <c r="AB43" i="4" s="1"/>
  <c r="AL18" i="9"/>
  <c r="AK15" i="9"/>
  <c r="AN15" i="9"/>
  <c r="T293" i="2"/>
  <c r="T29" i="10"/>
  <c r="T292" i="2"/>
  <c r="S293" i="2"/>
  <c r="S292" i="2"/>
  <c r="S29" i="10"/>
  <c r="V267" i="2"/>
  <c r="AF13" i="9"/>
  <c r="S23" i="10"/>
  <c r="X267" i="2"/>
  <c r="AF40" i="9"/>
  <c r="S207" i="2"/>
  <c r="AE13" i="9"/>
  <c r="W195" i="2"/>
  <c r="AI13" i="9"/>
  <c r="AJ13" i="9"/>
  <c r="X207" i="2"/>
  <c r="X195" i="2"/>
  <c r="S231" i="2"/>
  <c r="AF14" i="9"/>
  <c r="AJ15" i="9"/>
  <c r="R8" i="2"/>
  <c r="R268" i="2" s="1"/>
  <c r="T231" i="2"/>
  <c r="T289" i="2"/>
  <c r="V195" i="2"/>
  <c r="V207" i="2"/>
  <c r="AH13" i="9"/>
  <c r="T267" i="2"/>
  <c r="V231" i="2"/>
  <c r="V23" i="10"/>
  <c r="V20" i="10" s="1"/>
  <c r="AH116" i="9" s="1"/>
  <c r="AH114" i="9" s="1"/>
  <c r="AF106" i="9" l="1"/>
  <c r="AF104" i="9" s="1"/>
  <c r="AF96" i="9" s="1"/>
  <c r="AF128" i="9" s="1"/>
  <c r="AB44" i="4"/>
  <c r="AB42" i="4"/>
  <c r="AK18" i="9"/>
  <c r="V289" i="2"/>
  <c r="AH106" i="9" s="1"/>
  <c r="AH104" i="9" s="1"/>
  <c r="AH96" i="9" s="1"/>
  <c r="AH128" i="9" s="1"/>
  <c r="AG41" i="9"/>
  <c r="W23" i="10"/>
  <c r="W20" i="10" s="1"/>
  <c r="Y23" i="10"/>
  <c r="Y20" i="10" s="1"/>
  <c r="U23" i="10"/>
  <c r="X23" i="10"/>
  <c r="X20" i="10" s="1"/>
  <c r="AH40" i="9"/>
  <c r="Z23" i="10"/>
  <c r="Z20" i="10" s="1"/>
  <c r="U289" i="2"/>
  <c r="AG106" i="9" s="1"/>
  <c r="AG104" i="9" s="1"/>
  <c r="T195" i="2"/>
  <c r="T207" i="2"/>
  <c r="Z195" i="2"/>
  <c r="AK13" i="9"/>
  <c r="Y195" i="2"/>
  <c r="AK27" i="9"/>
  <c r="W289" i="2"/>
  <c r="X289" i="2"/>
  <c r="Y289" i="2"/>
  <c r="S289" i="2"/>
  <c r="AE106" i="9" s="1"/>
  <c r="AE104" i="9" s="1"/>
  <c r="AM14" i="9"/>
  <c r="S267" i="2"/>
  <c r="AE15" i="9"/>
  <c r="AJ14" i="9"/>
  <c r="AE41" i="9"/>
  <c r="AI27" i="9"/>
  <c r="S20" i="10"/>
  <c r="AI15" i="9"/>
  <c r="W267" i="2"/>
  <c r="AL14" i="9"/>
  <c r="AG27" i="9"/>
  <c r="AJ27" i="9"/>
  <c r="AL27" i="9"/>
  <c r="AK14" i="9"/>
  <c r="AH27" i="9"/>
  <c r="Z289" i="2"/>
  <c r="AF28" i="9" l="1"/>
  <c r="AI116" i="9"/>
  <c r="AI114" i="9" s="1"/>
  <c r="AI106" i="9"/>
  <c r="AI104" i="9" s="1"/>
  <c r="AL116" i="9"/>
  <c r="AL114" i="9" s="1"/>
  <c r="AE116" i="9"/>
  <c r="AE114" i="9" s="1"/>
  <c r="AE38" i="9" s="1"/>
  <c r="AJ106" i="9"/>
  <c r="AJ104" i="9" s="1"/>
  <c r="AJ28" i="9" s="1"/>
  <c r="AJ116" i="9"/>
  <c r="AJ114" i="9" s="1"/>
  <c r="AK106" i="9"/>
  <c r="AK104" i="9" s="1"/>
  <c r="AL106" i="9"/>
  <c r="AL104" i="9" s="1"/>
  <c r="AK116" i="9"/>
  <c r="AK114" i="9" s="1"/>
  <c r="AF30" i="9"/>
  <c r="AH14" i="9"/>
  <c r="AH15" i="9"/>
  <c r="AF12" i="9"/>
  <c r="AG28" i="9"/>
  <c r="AG30" i="9"/>
  <c r="AH28" i="9"/>
  <c r="AH30" i="9"/>
  <c r="AG14" i="9"/>
  <c r="AG15" i="9"/>
  <c r="AG18" i="9"/>
  <c r="R253" i="2"/>
  <c r="R267" i="2" s="1"/>
  <c r="U20" i="10"/>
  <c r="AG116" i="9" s="1"/>
  <c r="AG114" i="9" s="1"/>
  <c r="AG96" i="9" s="1"/>
  <c r="AG128" i="9" s="1"/>
  <c r="AJ12" i="9"/>
  <c r="AL12" i="9"/>
  <c r="AK12" i="9"/>
  <c r="AE30" i="9"/>
  <c r="AI14" i="9"/>
  <c r="AE40" i="9" l="1"/>
  <c r="AI96" i="9"/>
  <c r="AI128" i="9" s="1"/>
  <c r="AK96" i="9"/>
  <c r="AK128" i="9" s="1"/>
  <c r="AL96" i="9"/>
  <c r="AL128" i="9" s="1"/>
  <c r="AE96" i="9"/>
  <c r="AL40" i="9"/>
  <c r="AK30" i="9"/>
  <c r="AK28" i="9"/>
  <c r="AL28" i="9"/>
  <c r="AI28" i="9"/>
  <c r="AK40" i="9"/>
  <c r="AJ40" i="9"/>
  <c r="AI30" i="9"/>
  <c r="AJ96" i="9"/>
  <c r="AJ128" i="9" s="1"/>
  <c r="AL30" i="9"/>
  <c r="AJ30" i="9"/>
  <c r="AI40" i="9"/>
  <c r="AH12" i="9"/>
  <c r="AA23" i="10"/>
  <c r="AA289" i="2"/>
  <c r="AM106" i="9" s="1"/>
  <c r="AM104" i="9" s="1"/>
  <c r="AA195" i="2"/>
  <c r="AM18" i="9"/>
  <c r="AN18" i="9"/>
  <c r="AF27" i="9"/>
  <c r="AE28" i="9"/>
  <c r="AI12" i="9"/>
  <c r="AM12" i="9" l="1"/>
  <c r="AM13" i="9"/>
  <c r="AG38" i="9"/>
  <c r="AG40" i="9"/>
  <c r="AC23" i="10"/>
  <c r="AM30" i="9"/>
  <c r="AA20" i="10"/>
  <c r="AB195" i="2"/>
  <c r="AN13" i="9"/>
  <c r="AP18" i="9"/>
  <c r="AO18" i="9"/>
  <c r="AM116" i="9" l="1"/>
  <c r="AM114" i="9" s="1"/>
  <c r="AM96" i="9" s="1"/>
  <c r="AM128" i="9" s="1"/>
  <c r="AN28" i="9"/>
  <c r="AN30" i="9"/>
  <c r="R290" i="2"/>
  <c r="R292" i="2" s="1"/>
  <c r="R291" i="2"/>
  <c r="R293" i="2" s="1"/>
  <c r="R23" i="10"/>
  <c r="AC289" i="2"/>
  <c r="AO106" i="9" s="1"/>
  <c r="AO104" i="9" s="1"/>
  <c r="R220" i="2"/>
  <c r="AM28" i="9"/>
  <c r="AO13" i="9"/>
  <c r="AC195" i="2"/>
  <c r="AP13" i="9"/>
  <c r="AD195" i="2"/>
  <c r="AM40" i="9" l="1"/>
  <c r="AO28" i="9"/>
  <c r="AO30" i="9"/>
  <c r="R306" i="2"/>
  <c r="R308" i="2" s="1"/>
  <c r="AD289" i="2"/>
  <c r="AP106" i="9" s="1"/>
  <c r="AP104" i="9" s="1"/>
  <c r="R231" i="2"/>
  <c r="Z92" i="9"/>
  <c r="Z16" i="9" s="1"/>
  <c r="R289" i="2" l="1"/>
  <c r="Z90" i="9"/>
  <c r="Z14" i="9" s="1"/>
  <c r="AP28" i="9" l="1"/>
  <c r="AP30" i="9"/>
  <c r="Z88" i="9"/>
  <c r="Z12" i="9" s="1"/>
  <c r="Z95" i="9" l="1"/>
  <c r="Z19" i="9" s="1"/>
  <c r="Z128" i="9" l="1"/>
  <c r="Z52" i="9" s="1"/>
  <c r="Z79" i="9" l="1"/>
  <c r="Z75" i="9"/>
  <c r="E125" i="2"/>
  <c r="E116" i="2" s="1"/>
  <c r="AA92" i="9"/>
  <c r="AA16" i="9" s="1"/>
  <c r="Z77" i="9" l="1"/>
  <c r="AA90" i="9"/>
  <c r="AA14" i="9" s="1"/>
  <c r="AB92" i="9"/>
  <c r="AB16" i="9" s="1"/>
  <c r="E106" i="2"/>
  <c r="AB90" i="9" l="1"/>
  <c r="AA88" i="9"/>
  <c r="AA12" i="9" s="1"/>
  <c r="Q92" i="9"/>
  <c r="Q16" i="9" l="1"/>
  <c r="Q90" i="9"/>
  <c r="AB14" i="9"/>
  <c r="AB88" i="9"/>
  <c r="AB12" i="9" s="1"/>
  <c r="AA95" i="9"/>
  <c r="AA19" i="9" s="1"/>
  <c r="Q14" i="9" l="1"/>
  <c r="Q88" i="9"/>
  <c r="AB95" i="9"/>
  <c r="AB19" i="9" s="1"/>
  <c r="AA128" i="9"/>
  <c r="AA52" i="9" s="1"/>
  <c r="Q12" i="9" l="1"/>
  <c r="Q5" i="9" s="1"/>
  <c r="AA75" i="9"/>
  <c r="AA79" i="9"/>
  <c r="AB128" i="9"/>
  <c r="AB52" i="9" s="1"/>
  <c r="Q95" i="9"/>
  <c r="Q19" i="9" l="1"/>
  <c r="Q4" i="9" s="1"/>
  <c r="AB79" i="9"/>
  <c r="AB75" i="9"/>
  <c r="AB77" i="9" s="1"/>
  <c r="AA77" i="9"/>
  <c r="Q128" i="9"/>
  <c r="Q52" i="9" l="1"/>
  <c r="Q7" i="9" s="1"/>
  <c r="Q75" i="9"/>
  <c r="Q77" i="9" s="1"/>
  <c r="AE22" i="9"/>
  <c r="Q6" i="9" l="1"/>
  <c r="Q79" i="9"/>
  <c r="Q80" i="9" s="1"/>
  <c r="T35" i="4"/>
  <c r="T24" i="4"/>
  <c r="AE21" i="9"/>
  <c r="AE20" i="9" l="1"/>
  <c r="AF22" i="9"/>
  <c r="AG22" i="9" l="1"/>
  <c r="AH22" i="9" l="1"/>
  <c r="AI22" i="9" l="1"/>
  <c r="AH21" i="9"/>
  <c r="AI21" i="9" l="1"/>
  <c r="AJ22" i="9"/>
  <c r="AK22" i="9" l="1"/>
  <c r="AJ21" i="9"/>
  <c r="AK21" i="9" l="1"/>
  <c r="AL22" i="9"/>
  <c r="AM22" i="9" l="1"/>
  <c r="AL21" i="9"/>
  <c r="AN22" i="9" l="1"/>
  <c r="P6" i="13" l="1"/>
  <c r="P37" i="13" s="1"/>
  <c r="AE93" i="9" l="1"/>
  <c r="AE90" i="9" s="1"/>
  <c r="AE88" i="9" s="1"/>
  <c r="AE95" i="9" s="1"/>
  <c r="AE14" i="9" l="1"/>
  <c r="AE19" i="9"/>
  <c r="AE128" i="9"/>
  <c r="AE17" i="9"/>
  <c r="AE12" i="9"/>
  <c r="AE52" i="9" l="1"/>
  <c r="AE75" i="9" s="1"/>
  <c r="AE79" i="9" l="1"/>
  <c r="AF38" i="9"/>
  <c r="AF41" i="9"/>
  <c r="AE77" i="9"/>
  <c r="U35" i="4"/>
  <c r="U24" i="4"/>
  <c r="AF23" i="9" l="1"/>
  <c r="AG23" i="9"/>
  <c r="V24" i="4"/>
  <c r="AF21" i="9" l="1"/>
  <c r="AG20" i="9" l="1"/>
  <c r="AG21" i="9"/>
  <c r="AF52" i="9"/>
  <c r="AF20" i="9"/>
  <c r="U195" i="2"/>
  <c r="R195" i="2" s="1"/>
  <c r="R208" i="2"/>
  <c r="AG13" i="9"/>
  <c r="AF79" i="9" l="1"/>
  <c r="AF75" i="9"/>
  <c r="R207" i="2"/>
  <c r="R242" i="2"/>
  <c r="AG12" i="9"/>
  <c r="AF77" i="9" l="1"/>
  <c r="AG52" i="9" l="1"/>
  <c r="AG79" i="9" s="1"/>
  <c r="AG75" i="9" l="1"/>
  <c r="AG77" i="9" s="1"/>
  <c r="AH38" i="9"/>
  <c r="AH41" i="9"/>
  <c r="AH52" i="9" l="1"/>
  <c r="AH20" i="9"/>
  <c r="AO41" i="9"/>
  <c r="AN41" i="9"/>
  <c r="AM38" i="9" l="1"/>
  <c r="AM41" i="9"/>
  <c r="AK41" i="9"/>
  <c r="AL41" i="9"/>
  <c r="AJ41" i="9"/>
  <c r="AH75" i="9"/>
  <c r="AH79" i="9"/>
  <c r="AL38" i="9" l="1"/>
  <c r="AK38" i="9"/>
  <c r="AJ38" i="9"/>
  <c r="AI41" i="9"/>
  <c r="AL52" i="9"/>
  <c r="AL20" i="9"/>
  <c r="AK52" i="9"/>
  <c r="AK20" i="9"/>
  <c r="AH77" i="9"/>
  <c r="AJ52" i="9"/>
  <c r="AJ20" i="9"/>
  <c r="AM32" i="9" l="1"/>
  <c r="AM34" i="9"/>
  <c r="AI38" i="9"/>
  <c r="AI52" i="9"/>
  <c r="AI20" i="9"/>
  <c r="AK79" i="9"/>
  <c r="AK75" i="9"/>
  <c r="AK77" i="9" s="1"/>
  <c r="AJ79" i="9"/>
  <c r="AJ75" i="9"/>
  <c r="AJ77" i="9" s="1"/>
  <c r="AL75" i="9"/>
  <c r="AL77" i="9" s="1"/>
  <c r="AL79" i="9"/>
  <c r="AE43" i="10"/>
  <c r="AI79" i="9" l="1"/>
  <c r="AI75" i="9"/>
  <c r="AI77" i="9" l="1"/>
  <c r="AB12" i="11"/>
  <c r="AB15" i="11" s="1"/>
  <c r="AA17" i="11"/>
  <c r="AB17" i="11" l="1"/>
  <c r="AC12" i="11"/>
  <c r="AC15" i="11" s="1"/>
  <c r="AM36" i="9"/>
  <c r="AD12" i="11" l="1"/>
  <c r="AD15" i="11" s="1"/>
  <c r="AC17" i="11"/>
  <c r="AM35" i="9"/>
  <c r="AF12" i="11" l="1"/>
  <c r="AD17" i="11"/>
  <c r="AN36" i="9"/>
  <c r="R18" i="11"/>
  <c r="R49" i="11" s="1"/>
  <c r="AO35" i="9" l="1"/>
  <c r="AO36" i="9"/>
  <c r="AP35" i="9"/>
  <c r="AP36" i="9"/>
  <c r="AG12" i="11"/>
  <c r="AN35" i="9"/>
  <c r="AH12" i="11" l="1"/>
  <c r="AI12" i="11" l="1"/>
  <c r="AJ12" i="11" l="1"/>
  <c r="AK12" i="11" l="1"/>
  <c r="AB25" i="2"/>
  <c r="AL12" i="11" l="1"/>
  <c r="AC7" i="4"/>
  <c r="AC26" i="4" s="1"/>
  <c r="AM12" i="11" l="1"/>
  <c r="AC5" i="4"/>
  <c r="AB42" i="10" l="1"/>
  <c r="AB31" i="10"/>
  <c r="AB49" i="10"/>
  <c r="AB33" i="10"/>
  <c r="AB45" i="10"/>
  <c r="AB27" i="10"/>
  <c r="AB47" i="10"/>
  <c r="AB37" i="10"/>
  <c r="AC24" i="4"/>
  <c r="AN12" i="11"/>
  <c r="AO50" i="9"/>
  <c r="AO48" i="9"/>
  <c r="AO49" i="9"/>
  <c r="AO42" i="9"/>
  <c r="AO43" i="9"/>
  <c r="AC20" i="10"/>
  <c r="AN23" i="9"/>
  <c r="AO116" i="9" l="1"/>
  <c r="AO114" i="9" s="1"/>
  <c r="AO12" i="11"/>
  <c r="AN40" i="9"/>
  <c r="AN44" i="9"/>
  <c r="R30" i="10"/>
  <c r="AC35" i="4"/>
  <c r="AN48" i="9"/>
  <c r="AN49" i="9"/>
  <c r="AN43" i="9"/>
  <c r="R48" i="10"/>
  <c r="AO40" i="9" l="1"/>
  <c r="AN42" i="9"/>
  <c r="AN50" i="9"/>
  <c r="AP12" i="11"/>
  <c r="AQ12" i="11" l="1"/>
  <c r="AE18" i="11" l="1"/>
  <c r="AE49" i="11" s="1"/>
  <c r="AF13" i="4" l="1"/>
  <c r="AF12" i="4"/>
  <c r="AM27" i="9" l="1"/>
  <c r="AM21" i="9" l="1"/>
  <c r="AE294" i="2"/>
  <c r="AM52" i="9" l="1"/>
  <c r="AM20" i="9"/>
  <c r="AD39" i="4"/>
  <c r="AD38" i="4" s="1"/>
  <c r="AD43" i="4" s="1"/>
  <c r="AC39" i="4"/>
  <c r="AM75" i="9" l="1"/>
  <c r="AM77" i="9" s="1"/>
  <c r="AM79" i="9"/>
  <c r="AC38" i="4"/>
  <c r="AC43" i="4" s="1"/>
  <c r="AC44" i="4" l="1"/>
  <c r="AC42" i="4"/>
  <c r="AG39" i="4"/>
  <c r="AG38" i="4" l="1"/>
  <c r="AG42" i="4" l="1"/>
  <c r="AE25" i="2" l="1"/>
  <c r="AF25" i="2"/>
  <c r="AF195" i="2" l="1"/>
  <c r="AF23" i="10"/>
  <c r="AF289" i="2" l="1"/>
  <c r="AG25" i="2" l="1"/>
  <c r="AG195" i="2" l="1"/>
  <c r="AG289" i="2" l="1"/>
  <c r="AK25" i="2" l="1"/>
  <c r="AM25" i="2"/>
  <c r="AJ25" i="2"/>
  <c r="AQ25" i="2"/>
  <c r="AP25" i="2"/>
  <c r="AO25" i="2"/>
  <c r="AH25" i="2"/>
  <c r="AN25" i="2"/>
  <c r="AI25" i="2"/>
  <c r="AL25" i="2"/>
  <c r="BE29" i="9" l="1"/>
  <c r="BE105" i="9" s="1"/>
  <c r="AI207" i="2"/>
  <c r="AJ207" i="2"/>
  <c r="AK207" i="2"/>
  <c r="AE257" i="2"/>
  <c r="AE222" i="2"/>
  <c r="AE270" i="2" l="1"/>
  <c r="BE28" i="9"/>
  <c r="BE104" i="9" s="1"/>
  <c r="BF29" i="9"/>
  <c r="BF105" i="9" s="1"/>
  <c r="AI195" i="2"/>
  <c r="AK195" i="2"/>
  <c r="AJ195" i="2"/>
  <c r="AL207" i="2"/>
  <c r="AM195" i="2"/>
  <c r="AE234" i="2"/>
  <c r="AQ195" i="2"/>
  <c r="AP195" i="2"/>
  <c r="AN195" i="2"/>
  <c r="AO195" i="2"/>
  <c r="BF28" i="9" l="1"/>
  <c r="BF104" i="9" s="1"/>
  <c r="BG29" i="9"/>
  <c r="BG105" i="9" s="1"/>
  <c r="AE256" i="2"/>
  <c r="AE291" i="2"/>
  <c r="AE293" i="2" s="1"/>
  <c r="AE269" i="2" l="1"/>
  <c r="BG28" i="9"/>
  <c r="BG104" i="9" s="1"/>
  <c r="BH29" i="9"/>
  <c r="BH105" i="9" s="1"/>
  <c r="AE208" i="2"/>
  <c r="AE195" i="2"/>
  <c r="AE290" i="2"/>
  <c r="AE292" i="2" s="1"/>
  <c r="BI29" i="9" l="1"/>
  <c r="BI105" i="9" s="1"/>
  <c r="BH28" i="9"/>
  <c r="BH104" i="9" s="1"/>
  <c r="AE207" i="2"/>
  <c r="AE289" i="2"/>
  <c r="AF39" i="4"/>
  <c r="BI28" i="9" l="1"/>
  <c r="BI104" i="9" s="1"/>
  <c r="BJ29" i="9"/>
  <c r="BJ105" i="9" s="1"/>
  <c r="AF42" i="4"/>
  <c r="AF38" i="4"/>
  <c r="BK29" i="9" l="1"/>
  <c r="BK105" i="9" s="1"/>
  <c r="BJ28" i="9"/>
  <c r="BJ104" i="9" s="1"/>
  <c r="AE44" i="3"/>
  <c r="AE54" i="3" s="1"/>
  <c r="AE48" i="3"/>
  <c r="AE59" i="3" s="1"/>
  <c r="BK28" i="9" l="1"/>
  <c r="BK104" i="9" s="1"/>
  <c r="BL29" i="9"/>
  <c r="BL105" i="9" s="1"/>
  <c r="AE43" i="3"/>
  <c r="AE53" i="3" s="1"/>
  <c r="BM29" i="9" l="1"/>
  <c r="BM105" i="9" s="1"/>
  <c r="X42" i="10"/>
  <c r="U42" i="10"/>
  <c r="V42" i="10"/>
  <c r="W42" i="10"/>
  <c r="Y42" i="10"/>
  <c r="T42" i="10"/>
  <c r="T40" i="10"/>
  <c r="Z42" i="10"/>
  <c r="BN29" i="9" l="1"/>
  <c r="BN105" i="9" s="1"/>
  <c r="AO46" i="9"/>
  <c r="AN46" i="9"/>
  <c r="BO29" i="9" l="1"/>
  <c r="BO105" i="9" s="1"/>
  <c r="AN38" i="9"/>
  <c r="AR284" i="2" l="1"/>
  <c r="AR286" i="2" s="1"/>
  <c r="AE265" i="2"/>
  <c r="AE278" i="2" l="1"/>
  <c r="AR282" i="2"/>
  <c r="BP29" i="9"/>
  <c r="BP105" i="9" s="1"/>
  <c r="AC25" i="5"/>
  <c r="AO34" i="9"/>
  <c r="AB25" i="5"/>
  <c r="AN109" i="9" s="1"/>
  <c r="AN108" i="9" s="1"/>
  <c r="AN96" i="9" s="1"/>
  <c r="AN128" i="9" s="1"/>
  <c r="R24" i="5"/>
  <c r="BD29" i="9" l="1"/>
  <c r="AO109" i="9"/>
  <c r="AO108" i="9" s="1"/>
  <c r="AO96" i="9" s="1"/>
  <c r="AO128" i="9" s="1"/>
  <c r="AN33" i="9"/>
  <c r="AN34" i="9"/>
  <c r="BD105" i="9" l="1"/>
  <c r="AO32" i="9"/>
  <c r="AO33" i="9"/>
  <c r="R22" i="5"/>
  <c r="AN32" i="9"/>
  <c r="R27" i="5" l="1"/>
  <c r="AD25" i="5"/>
  <c r="AP109" i="9" s="1"/>
  <c r="AP108" i="9" s="1"/>
  <c r="AP33" i="9" l="1"/>
  <c r="R25" i="5"/>
  <c r="R32" i="5"/>
  <c r="R33" i="5" s="1"/>
  <c r="AP34" i="9" l="1"/>
  <c r="AP32" i="9"/>
  <c r="AE27" i="5" l="1"/>
  <c r="AO16" i="9" l="1"/>
  <c r="AN16" i="9"/>
  <c r="R190" i="2"/>
  <c r="AO14" i="9" l="1"/>
  <c r="R181" i="2"/>
  <c r="AN14" i="9"/>
  <c r="AO12" i="9" l="1"/>
  <c r="AN12" i="9"/>
  <c r="AN27" i="9" l="1"/>
  <c r="AN21" i="9" l="1"/>
  <c r="AO27" i="9"/>
  <c r="AN52" i="9" l="1"/>
  <c r="AN20" i="9"/>
  <c r="AO22" i="9"/>
  <c r="AN79" i="9" l="1"/>
  <c r="AN75" i="9"/>
  <c r="AN77" i="9" s="1"/>
  <c r="S29" i="4"/>
  <c r="S25" i="4"/>
  <c r="AO23" i="9"/>
  <c r="AD35" i="4" l="1"/>
  <c r="AP22" i="9"/>
  <c r="AO21" i="9"/>
  <c r="AF25" i="4" l="1"/>
  <c r="AF29" i="4" l="1"/>
  <c r="AO44" i="9" l="1"/>
  <c r="AO38" i="9" l="1"/>
  <c r="AC106" i="2"/>
  <c r="AO52" i="9" l="1"/>
  <c r="AO20" i="9"/>
  <c r="R40" i="2"/>
  <c r="AO79" i="9" l="1"/>
  <c r="AO75" i="9"/>
  <c r="AO77" i="9" s="1"/>
  <c r="S47" i="4"/>
  <c r="AD7" i="4" l="1"/>
  <c r="AD5" i="4" s="1"/>
  <c r="AC25" i="2"/>
  <c r="AC42" i="10" l="1"/>
  <c r="AC47" i="10"/>
  <c r="AC27" i="10"/>
  <c r="AC45" i="10"/>
  <c r="AC33" i="10"/>
  <c r="AC31" i="10"/>
  <c r="AC49" i="10"/>
  <c r="AC37" i="10"/>
  <c r="AD44" i="4"/>
  <c r="AD24" i="4"/>
  <c r="AD25" i="2"/>
  <c r="AD42" i="4"/>
  <c r="AD26" i="4"/>
  <c r="R25" i="2"/>
  <c r="AE7" i="4" l="1"/>
  <c r="S8" i="4"/>
  <c r="AE26" i="4" l="1"/>
  <c r="AE42" i="4"/>
  <c r="AE5" i="4"/>
  <c r="S7" i="4"/>
  <c r="S26" i="4" l="1"/>
  <c r="AD49" i="10"/>
  <c r="R49" i="10" s="1"/>
  <c r="AD47" i="10"/>
  <c r="AD45" i="10"/>
  <c r="AD33" i="10"/>
  <c r="AD27" i="10"/>
  <c r="AD37" i="10"/>
  <c r="AE44" i="4"/>
  <c r="S44" i="4" s="1"/>
  <c r="AG35" i="4"/>
  <c r="S5" i="4"/>
  <c r="AD31" i="10"/>
  <c r="R31" i="10" s="1"/>
  <c r="S30" i="4"/>
  <c r="S28" i="4" s="1"/>
  <c r="AE24" i="4"/>
  <c r="AP23" i="9"/>
  <c r="AG24" i="4" l="1"/>
  <c r="R27" i="10"/>
  <c r="R33" i="10"/>
  <c r="R37" i="10"/>
  <c r="R45" i="10"/>
  <c r="R47" i="10"/>
  <c r="AD20" i="10"/>
  <c r="R22" i="10"/>
  <c r="R20" i="10" s="1"/>
  <c r="AE35" i="4"/>
  <c r="S24" i="4"/>
  <c r="R46" i="10"/>
  <c r="S43" i="4"/>
  <c r="R32" i="10"/>
  <c r="R44" i="10"/>
  <c r="R36" i="10"/>
  <c r="R34" i="10" s="1"/>
  <c r="AP116" i="9" l="1"/>
  <c r="AP114" i="9" s="1"/>
  <c r="AP96" i="9" s="1"/>
  <c r="AP128" i="9" s="1"/>
  <c r="AP43" i="9"/>
  <c r="AP44" i="9"/>
  <c r="AP49" i="9"/>
  <c r="AP48" i="9"/>
  <c r="AP40" i="9" l="1"/>
  <c r="AE31" i="10"/>
  <c r="AE30" i="10" l="1"/>
  <c r="AF26" i="4"/>
  <c r="AF30" i="4" l="1"/>
  <c r="AF28" i="4" s="1"/>
  <c r="AF24" i="4" l="1"/>
  <c r="AE33" i="10" l="1"/>
  <c r="AE45" i="10"/>
  <c r="AE47" i="10"/>
  <c r="AE46" i="10" l="1"/>
  <c r="AE44" i="10"/>
  <c r="AE32" i="10"/>
  <c r="R125" i="2" l="1"/>
  <c r="R116" i="2" s="1"/>
  <c r="AD106" i="2"/>
  <c r="R106" i="2" l="1"/>
  <c r="AP16" i="9"/>
  <c r="AP14" i="9" l="1"/>
  <c r="AP12" i="9" l="1"/>
  <c r="AE40" i="2" l="1"/>
  <c r="R303" i="2" l="1"/>
  <c r="S39" i="4" l="1"/>
  <c r="R302" i="2"/>
  <c r="S38" i="4" l="1"/>
  <c r="S35" i="4" s="1"/>
  <c r="AP27" i="9"/>
  <c r="S42" i="4"/>
  <c r="AP21" i="9" l="1"/>
  <c r="S37" i="4"/>
  <c r="R28" i="10" l="1"/>
  <c r="R29" i="10"/>
  <c r="AP41" i="9" l="1"/>
  <c r="AP46" i="9" l="1"/>
  <c r="AP38" i="9"/>
  <c r="AP52" i="9" l="1"/>
  <c r="AP20" i="9"/>
  <c r="AP79" i="9" l="1"/>
  <c r="AP75" i="9"/>
  <c r="R41" i="10"/>
  <c r="AD42" i="10"/>
  <c r="R42" i="10" s="1"/>
  <c r="AD40" i="10"/>
  <c r="R40" i="10" s="1"/>
  <c r="R39" i="10" s="1"/>
  <c r="AP77" i="9" l="1"/>
  <c r="AE40" i="10"/>
  <c r="AE42" i="10" l="1"/>
  <c r="AE41" i="10" l="1"/>
  <c r="AE39" i="10" s="1"/>
  <c r="R221" i="2" l="1"/>
  <c r="R225" i="2"/>
  <c r="R226" i="2"/>
  <c r="R222" i="2"/>
  <c r="R228" i="2"/>
  <c r="R227" i="2"/>
  <c r="R229" i="2"/>
  <c r="R237" i="2" l="1"/>
  <c r="R247" i="2"/>
  <c r="R233" i="2"/>
  <c r="R243" i="2"/>
  <c r="R240" i="2"/>
  <c r="R250" i="2"/>
  <c r="R249" i="2"/>
  <c r="R239" i="2"/>
  <c r="R241" i="2"/>
  <c r="R251" i="2"/>
  <c r="R234" i="2"/>
  <c r="R244" i="2"/>
  <c r="R238" i="2"/>
  <c r="R248" i="2"/>
  <c r="AJ231" i="2" l="1"/>
  <c r="AK231" i="2" l="1"/>
  <c r="AL231" i="2" l="1"/>
  <c r="AE221" i="2" l="1"/>
  <c r="AE226" i="2"/>
  <c r="AE225" i="2" l="1"/>
  <c r="AE238" i="2"/>
  <c r="AE227" i="2"/>
  <c r="AE233" i="2"/>
  <c r="AE228" i="2"/>
  <c r="AE229" i="2"/>
  <c r="AE237" i="2" l="1"/>
  <c r="AE241" i="2"/>
  <c r="AE239" i="2"/>
  <c r="AE240" i="2"/>
  <c r="AE202" i="2" l="1"/>
  <c r="AE201" i="2"/>
  <c r="AE198" i="2" l="1"/>
  <c r="AE215" i="2"/>
  <c r="AE248" i="2"/>
  <c r="AE247" i="2"/>
  <c r="AE214" i="2"/>
  <c r="AE203" i="2"/>
  <c r="AE204" i="2"/>
  <c r="AE197" i="2"/>
  <c r="AE205" i="2"/>
  <c r="AE211" i="2" l="1"/>
  <c r="AE244" i="2"/>
  <c r="AE251" i="2"/>
  <c r="AE218" i="2"/>
  <c r="AE243" i="2"/>
  <c r="AE210" i="2"/>
  <c r="AE250" i="2"/>
  <c r="AE217" i="2"/>
  <c r="AE249" i="2"/>
  <c r="AE216" i="2"/>
  <c r="AF82" i="3"/>
  <c r="AF73" i="3"/>
  <c r="AF83" i="3" l="1"/>
  <c r="AG44" i="4" l="1"/>
  <c r="AE26" i="5"/>
  <c r="AF21" i="5"/>
  <c r="AF25" i="5"/>
  <c r="AE25" i="5" l="1"/>
  <c r="AE21" i="5" l="1"/>
  <c r="AF33" i="5"/>
  <c r="AE22" i="10" l="1"/>
  <c r="AF27" i="10"/>
  <c r="AE27" i="10" s="1"/>
  <c r="AF20" i="10"/>
  <c r="AF29" i="10" l="1"/>
  <c r="AF36" i="10"/>
  <c r="AF37" i="10" s="1"/>
  <c r="AF44" i="4" l="1"/>
  <c r="AF43" i="4"/>
  <c r="AF37" i="4" s="1"/>
  <c r="AF23" i="5" l="1"/>
  <c r="AF24" i="5"/>
  <c r="AR79" i="9" l="1"/>
  <c r="AG230" i="2"/>
  <c r="AG242" i="2" l="1"/>
  <c r="AE42" i="3"/>
  <c r="AG51" i="3"/>
  <c r="AE51" i="3" s="1"/>
  <c r="AE37" i="10" l="1"/>
  <c r="AE52" i="3"/>
  <c r="AE36" i="10" l="1"/>
  <c r="AE34" i="10" s="1"/>
  <c r="AG297" i="2"/>
  <c r="AG299" i="2"/>
  <c r="BF44" i="9" l="1"/>
  <c r="BF120" i="9" s="1"/>
  <c r="BG44" i="9" l="1"/>
  <c r="BG120" i="9" s="1"/>
  <c r="AI297" i="2"/>
  <c r="BH44" i="9" l="1"/>
  <c r="BH120" i="9" s="1"/>
  <c r="AJ297" i="2"/>
  <c r="BI44" i="9" l="1"/>
  <c r="BI120" i="9" s="1"/>
  <c r="AK297" i="2"/>
  <c r="BJ44" i="9" l="1"/>
  <c r="BJ120" i="9" s="1"/>
  <c r="BK44" i="9" l="1"/>
  <c r="BK120" i="9" s="1"/>
  <c r="AM297" i="2"/>
  <c r="AG82" i="3" l="1"/>
  <c r="AG73" i="3"/>
  <c r="AH83" i="3" l="1"/>
  <c r="AG83" i="3"/>
  <c r="AH82" i="3" l="1"/>
  <c r="AI83" i="3"/>
  <c r="AI82" i="3" l="1"/>
  <c r="AJ83" i="3"/>
  <c r="AE306" i="2" l="1"/>
  <c r="AE308" i="2" s="1"/>
  <c r="AK83" i="3"/>
  <c r="AJ82" i="3"/>
  <c r="AE23" i="10" l="1"/>
  <c r="AE20" i="10" s="1"/>
  <c r="AT20" i="10"/>
  <c r="BF40" i="9" s="1"/>
  <c r="BF116" i="9" s="1"/>
  <c r="AL83" i="3"/>
  <c r="AK82" i="3"/>
  <c r="AU20" i="10" l="1"/>
  <c r="BG40" i="9" s="1"/>
  <c r="BG116" i="9" s="1"/>
  <c r="AL82" i="3"/>
  <c r="AM83" i="3"/>
  <c r="AV20" i="10" l="1"/>
  <c r="BH40" i="9" s="1"/>
  <c r="BH116" i="9" s="1"/>
  <c r="AM82" i="3"/>
  <c r="AN83" i="3"/>
  <c r="AO83" i="3" l="1"/>
  <c r="AN82" i="3"/>
  <c r="AX20" i="10" l="1"/>
  <c r="BJ40" i="9" s="1"/>
  <c r="BJ116" i="9" s="1"/>
  <c r="AP83" i="3"/>
  <c r="AO82" i="3"/>
  <c r="AW20" i="10" l="1"/>
  <c r="BI40" i="9" s="1"/>
  <c r="BI116" i="9" s="1"/>
  <c r="AP82" i="3"/>
  <c r="AQ83" i="3"/>
  <c r="AQ82" i="3" l="1"/>
  <c r="AE72" i="3"/>
  <c r="AY20" i="10" l="1"/>
  <c r="BK40" i="9" s="1"/>
  <c r="BK116" i="9" s="1"/>
  <c r="AE73" i="3"/>
  <c r="AE83" i="3" s="1"/>
  <c r="AE82" i="3"/>
  <c r="AG33" i="5"/>
  <c r="AR306" i="2" l="1"/>
  <c r="AR308" i="2" s="1"/>
  <c r="AR23" i="10"/>
  <c r="AE32" i="5" l="1"/>
  <c r="AE33" i="5" s="1"/>
  <c r="AG29" i="10" l="1"/>
  <c r="AE266" i="2" l="1"/>
  <c r="AE255" i="2" s="1"/>
  <c r="AE268" i="2" s="1"/>
  <c r="AE253" i="2"/>
  <c r="AE267" i="2" l="1"/>
  <c r="AS79" i="9" l="1"/>
  <c r="AE29" i="10" l="1"/>
  <c r="BE41" i="9" l="1"/>
  <c r="BE117" i="9" s="1"/>
  <c r="AE28" i="10"/>
  <c r="AY79" i="9"/>
  <c r="AT79" i="9"/>
  <c r="AE302" i="2"/>
  <c r="AE303" i="2"/>
  <c r="BA79" i="9" l="1"/>
  <c r="BF41" i="9"/>
  <c r="BF117" i="9" s="1"/>
  <c r="AU79" i="9"/>
  <c r="AV79" i="9"/>
  <c r="AE220" i="2"/>
  <c r="AE232" i="2" s="1"/>
  <c r="AE230" i="2"/>
  <c r="AE231" i="2" l="1"/>
  <c r="AZ79" i="9"/>
  <c r="BG41" i="9"/>
  <c r="BG117" i="9" s="1"/>
  <c r="AE242" i="2"/>
  <c r="BH41" i="9" l="1"/>
  <c r="BH117" i="9" s="1"/>
  <c r="AE284" i="2"/>
  <c r="AE286" i="2" s="1"/>
  <c r="BI41" i="9" l="1"/>
  <c r="BI117" i="9" s="1"/>
  <c r="AE282" i="2"/>
  <c r="BJ41" i="9" l="1"/>
  <c r="BJ117" i="9" s="1"/>
  <c r="BK41" i="9" l="1"/>
  <c r="BK117" i="9" s="1"/>
  <c r="AE298" i="2"/>
  <c r="AE299" i="2" s="1"/>
  <c r="AE297" i="2"/>
  <c r="AJ23" i="5" l="1"/>
  <c r="AI23" i="5" l="1"/>
  <c r="AL23" i="5" l="1"/>
  <c r="AK125" i="2" l="1"/>
  <c r="AK106" i="2" s="1"/>
  <c r="AW79" i="9" l="1"/>
  <c r="AE24" i="5"/>
  <c r="AE22" i="5"/>
  <c r="AK23" i="5" l="1"/>
  <c r="AE23" i="5" s="1"/>
  <c r="AL125" i="2"/>
  <c r="AE125" i="2" l="1"/>
  <c r="AE116" i="2" s="1"/>
  <c r="AL106" i="2"/>
  <c r="AE106" i="2" s="1"/>
  <c r="AX79" i="9" l="1"/>
  <c r="BB79" i="9" l="1"/>
  <c r="AF36" i="4" l="1"/>
  <c r="AF35" i="4" s="1"/>
  <c r="BC79" i="9" l="1"/>
  <c r="AT47" i="4" l="1"/>
  <c r="BB47" i="4"/>
  <c r="AR129" i="2" l="1"/>
  <c r="BC82" i="9"/>
  <c r="BC47" i="4"/>
  <c r="AT42" i="4" l="1"/>
  <c r="AS15" i="4"/>
  <c r="BC5" i="4"/>
  <c r="BC51" i="4" s="1"/>
  <c r="BD47" i="4"/>
  <c r="BB5" i="4"/>
  <c r="BB51" i="4" s="1"/>
  <c r="BA31" i="10" l="1"/>
  <c r="BA47" i="10"/>
  <c r="BA42" i="10"/>
  <c r="BA49" i="10"/>
  <c r="BA33" i="10"/>
  <c r="BB31" i="10"/>
  <c r="BB47" i="10"/>
  <c r="BB42" i="10"/>
  <c r="BB49" i="10"/>
  <c r="BB33" i="10"/>
  <c r="BE49" i="9"/>
  <c r="BE125" i="9" s="1"/>
  <c r="BE46" i="9"/>
  <c r="BE122" i="9" s="1"/>
  <c r="BE44" i="9"/>
  <c r="BE120" i="9" s="1"/>
  <c r="BE42" i="9"/>
  <c r="BE118" i="9" s="1"/>
  <c r="BE48" i="9"/>
  <c r="BE124" i="9" s="1"/>
  <c r="BE43" i="9"/>
  <c r="BE119" i="9" s="1"/>
  <c r="AS20" i="10"/>
  <c r="BE40" i="9" s="1"/>
  <c r="BE116" i="9" s="1"/>
  <c r="BN49" i="9"/>
  <c r="BN125" i="9" s="1"/>
  <c r="BN42" i="9"/>
  <c r="BN118" i="9" s="1"/>
  <c r="BN43" i="9"/>
  <c r="BN119" i="9" s="1"/>
  <c r="BD5" i="4"/>
  <c r="BD51" i="4" s="1"/>
  <c r="BE47" i="4"/>
  <c r="AS47" i="4" s="1"/>
  <c r="AS7" i="4"/>
  <c r="AS5" i="4" s="1"/>
  <c r="AS14" i="4"/>
  <c r="BC49" i="10" l="1"/>
  <c r="BC31" i="10"/>
  <c r="BC47" i="10"/>
  <c r="BC42" i="10"/>
  <c r="BC33" i="10"/>
  <c r="BN26" i="9"/>
  <c r="BN102" i="9" s="1"/>
  <c r="BE38" i="9"/>
  <c r="BE114" i="9" s="1"/>
  <c r="BE26" i="9"/>
  <c r="BE102" i="9" s="1"/>
  <c r="BM43" i="9"/>
  <c r="BM119" i="9" s="1"/>
  <c r="BM42" i="9"/>
  <c r="BM118" i="9" s="1"/>
  <c r="BO49" i="9"/>
  <c r="BO125" i="9" s="1"/>
  <c r="BO42" i="9"/>
  <c r="BO118" i="9" s="1"/>
  <c r="BO43" i="9"/>
  <c r="BO119" i="9" s="1"/>
  <c r="BM49" i="9"/>
  <c r="BM125" i="9" s="1"/>
  <c r="AS8" i="4"/>
  <c r="BM26" i="9"/>
  <c r="BM102" i="9" s="1"/>
  <c r="BE5" i="4"/>
  <c r="BE51" i="4" s="1"/>
  <c r="AS51" i="4" s="1"/>
  <c r="BD31" i="10" l="1"/>
  <c r="BD42" i="10"/>
  <c r="BD47" i="10"/>
  <c r="BD49" i="10"/>
  <c r="AR49" i="10" s="1"/>
  <c r="BD33" i="10"/>
  <c r="BO26" i="9"/>
  <c r="BO102" i="9" s="1"/>
  <c r="BP43" i="9"/>
  <c r="BP119" i="9" s="1"/>
  <c r="AR33" i="10" l="1"/>
  <c r="AR31" i="10"/>
  <c r="AR47" i="10"/>
  <c r="BD43" i="9"/>
  <c r="BP42" i="9"/>
  <c r="BP118" i="9" s="1"/>
  <c r="AR30" i="10"/>
  <c r="AR32" i="10"/>
  <c r="BP49" i="9"/>
  <c r="BP125" i="9" s="1"/>
  <c r="AR46" i="10"/>
  <c r="BD119" i="9" l="1"/>
  <c r="BR43" i="9"/>
  <c r="BR119" i="9" s="1"/>
  <c r="BR42" i="9"/>
  <c r="BR118" i="9" s="1"/>
  <c r="BD49" i="9"/>
  <c r="BD42" i="9"/>
  <c r="AS36" i="4"/>
  <c r="BP26" i="9"/>
  <c r="BP102" i="9" s="1"/>
  <c r="BT42" i="9" l="1"/>
  <c r="BT118" i="9" s="1"/>
  <c r="BD118" i="9"/>
  <c r="BD125" i="9"/>
  <c r="BT43" i="9"/>
  <c r="BT119" i="9" s="1"/>
  <c r="BD26" i="9"/>
  <c r="DG26" i="9" l="1"/>
  <c r="DJ26" i="9"/>
  <c r="BD102" i="9"/>
  <c r="DG102" i="9" s="1"/>
  <c r="BV42" i="9" l="1"/>
  <c r="BV118" i="9" s="1"/>
  <c r="BV43" i="9"/>
  <c r="BV119" i="9" s="1"/>
  <c r="AR42" i="10"/>
  <c r="AR41" i="10" l="1"/>
  <c r="BF48" i="9"/>
  <c r="BF124" i="9" s="1"/>
  <c r="BG48" i="9"/>
  <c r="BG124" i="9" s="1"/>
  <c r="BK48" i="9"/>
  <c r="BK124" i="9" s="1"/>
  <c r="BI48" i="9"/>
  <c r="BI124" i="9" s="1"/>
  <c r="BJ48" i="9"/>
  <c r="BJ124" i="9" s="1"/>
  <c r="BX42" i="9" l="1"/>
  <c r="BX118" i="9" s="1"/>
  <c r="BX43" i="9"/>
  <c r="BI38" i="9"/>
  <c r="BI114" i="9" s="1"/>
  <c r="BF38" i="9"/>
  <c r="BF114" i="9" s="1"/>
  <c r="BJ38" i="9"/>
  <c r="BJ114" i="9" s="1"/>
  <c r="BG38" i="9"/>
  <c r="BG114" i="9" s="1"/>
  <c r="BK38" i="9"/>
  <c r="BK114" i="9" s="1"/>
  <c r="BH48" i="9"/>
  <c r="BH124" i="9" s="1"/>
  <c r="BX119" i="9" l="1"/>
  <c r="BH38" i="9"/>
  <c r="BH114" i="9" s="1"/>
  <c r="BZ42" i="9" l="1"/>
  <c r="BZ118" i="9" s="1"/>
  <c r="BZ43" i="9"/>
  <c r="BZ119" i="9" s="1"/>
  <c r="AV25" i="2"/>
  <c r="AR25" i="2" l="1"/>
  <c r="AT25" i="2"/>
  <c r="CB43" i="9" l="1"/>
  <c r="CB119" i="9" s="1"/>
  <c r="CB42" i="9"/>
  <c r="CB118" i="9" s="1"/>
  <c r="AD95" i="9" l="1"/>
  <c r="AU161" i="9" l="1"/>
  <c r="BC161" i="9"/>
  <c r="AS161" i="9"/>
  <c r="AX161" i="9"/>
  <c r="AY161" i="9"/>
  <c r="BA161" i="9"/>
  <c r="AT161" i="9"/>
  <c r="AR161" i="9"/>
  <c r="AV161" i="9"/>
  <c r="AZ161" i="9"/>
  <c r="AW161" i="9"/>
  <c r="BB161" i="9"/>
  <c r="BD152" i="9" l="1"/>
  <c r="BD144" i="9" l="1"/>
  <c r="BD176" i="9" l="1"/>
  <c r="DG176" i="9" s="1"/>
  <c r="BL144" i="9" l="1"/>
  <c r="BL176" i="9" s="1"/>
  <c r="BF144" i="9"/>
  <c r="BF176" i="9" s="1"/>
  <c r="BI144" i="9"/>
  <c r="BI176" i="9" s="1"/>
  <c r="BH144" i="9"/>
  <c r="BH176" i="9" s="1"/>
  <c r="BM144" i="9"/>
  <c r="BM176" i="9" s="1"/>
  <c r="BG144" i="9"/>
  <c r="BG176" i="9" s="1"/>
  <c r="BP144" i="9"/>
  <c r="BP176" i="9" s="1"/>
  <c r="BJ144" i="9"/>
  <c r="BJ176" i="9" s="1"/>
  <c r="BK144" i="9"/>
  <c r="BK176" i="9" s="1"/>
  <c r="BO144" i="9"/>
  <c r="BO176" i="9" s="1"/>
  <c r="BN144" i="9"/>
  <c r="BN176" i="9" s="1"/>
  <c r="BE18" i="9" l="1"/>
  <c r="BE94" i="9" l="1"/>
  <c r="BN18" i="9"/>
  <c r="BK18" i="9"/>
  <c r="BP18" i="9"/>
  <c r="BJ18" i="9"/>
  <c r="BG18" i="9"/>
  <c r="BI18" i="9"/>
  <c r="BH18" i="9"/>
  <c r="BM94" i="9"/>
  <c r="BO18" i="9"/>
  <c r="BF18" i="9"/>
  <c r="BK94" i="9" l="1"/>
  <c r="BH94" i="9"/>
  <c r="BJ94" i="9"/>
  <c r="BF94" i="9"/>
  <c r="BI94" i="9"/>
  <c r="BG94" i="9"/>
  <c r="BP94" i="9"/>
  <c r="BO94" i="9"/>
  <c r="BN94" i="9"/>
  <c r="BJ65" i="9" l="1"/>
  <c r="BG65" i="9"/>
  <c r="BD66" i="9"/>
  <c r="BP36" i="9" l="1"/>
  <c r="BP112" i="9" s="1"/>
  <c r="BG36" i="9"/>
  <c r="BG112" i="9" s="1"/>
  <c r="BM36" i="9"/>
  <c r="BJ36" i="9"/>
  <c r="BD65" i="9"/>
  <c r="BJ35" i="9" l="1"/>
  <c r="BJ111" i="9" s="1"/>
  <c r="BJ112" i="9"/>
  <c r="BM35" i="9"/>
  <c r="BM111" i="9" s="1"/>
  <c r="BM112" i="9"/>
  <c r="BP35" i="9"/>
  <c r="BP111" i="9" s="1"/>
  <c r="BG35" i="9"/>
  <c r="BG111" i="9" s="1"/>
  <c r="BD36" i="9"/>
  <c r="DG36" i="9" l="1"/>
  <c r="DJ36" i="9"/>
  <c r="BD112" i="9"/>
  <c r="DG112" i="9" s="1"/>
  <c r="BD35" i="9"/>
  <c r="DG35" i="9" l="1"/>
  <c r="DJ35" i="9"/>
  <c r="BD111" i="9"/>
  <c r="DG111" i="9" s="1"/>
  <c r="BM21" i="5" l="1"/>
  <c r="BK21" i="5"/>
  <c r="BO21" i="5"/>
  <c r="BI21" i="5"/>
  <c r="BG21" i="5"/>
  <c r="BQ21" i="5"/>
  <c r="BE20" i="5"/>
  <c r="BE18" i="5"/>
  <c r="BE19" i="5"/>
  <c r="BO34" i="9"/>
  <c r="BO110" i="9" s="1"/>
  <c r="BP34" i="9"/>
  <c r="BP110" i="9" s="1"/>
  <c r="BM34" i="9"/>
  <c r="BM110" i="9" s="1"/>
  <c r="BN34" i="9"/>
  <c r="BN110" i="9" s="1"/>
  <c r="AR32" i="5"/>
  <c r="AR33" i="5" s="1"/>
  <c r="BE21" i="5" l="1"/>
  <c r="BP32" i="9"/>
  <c r="BP108" i="9" s="1"/>
  <c r="BN32" i="9"/>
  <c r="BN108" i="9" s="1"/>
  <c r="BM32" i="9"/>
  <c r="BM108" i="9" s="1"/>
  <c r="BL34" i="9"/>
  <c r="BL110" i="9" s="1"/>
  <c r="BO32" i="9"/>
  <c r="BO108" i="9" s="1"/>
  <c r="BD34" i="9" l="1"/>
  <c r="BL32" i="9"/>
  <c r="BL108" i="9" s="1"/>
  <c r="BD110" i="9" l="1"/>
  <c r="BD32" i="9"/>
  <c r="BD108" i="9" l="1"/>
  <c r="BG23" i="5" l="1"/>
  <c r="BO23" i="5"/>
  <c r="BQ23" i="5"/>
  <c r="BM23" i="5"/>
  <c r="BI23" i="5"/>
  <c r="BK23" i="5"/>
  <c r="BE22" i="5"/>
  <c r="BE23" i="5" l="1"/>
  <c r="BL23" i="9" l="1"/>
  <c r="BL99" i="9" s="1"/>
  <c r="BM22" i="9" l="1"/>
  <c r="BM98" i="9" s="1"/>
  <c r="BM23" i="9"/>
  <c r="BM99" i="9" s="1"/>
  <c r="BL22" i="9"/>
  <c r="BL98" i="9" s="1"/>
  <c r="BB24" i="4" l="1"/>
  <c r="BA24" i="4"/>
  <c r="BA35" i="4"/>
  <c r="BB35" i="4" s="1"/>
  <c r="BN22" i="9"/>
  <c r="BN98" i="9" s="1"/>
  <c r="BO23" i="9" l="1"/>
  <c r="BO99" i="9" s="1"/>
  <c r="BN23" i="9"/>
  <c r="BN99" i="9" s="1"/>
  <c r="BO22" i="9"/>
  <c r="BO98" i="9" s="1"/>
  <c r="BC24" i="4"/>
  <c r="BC35" i="4"/>
  <c r="BD24" i="4" l="1"/>
  <c r="BP22" i="9"/>
  <c r="BP98" i="9" s="1"/>
  <c r="BD35" i="4" l="1"/>
  <c r="BP23" i="9"/>
  <c r="BP99" i="9" s="1"/>
  <c r="BE24" i="4" l="1"/>
  <c r="BE35" i="4"/>
  <c r="AS26" i="4" l="1"/>
  <c r="BH23" i="9"/>
  <c r="BH99" i="9" s="1"/>
  <c r="BI23" i="9"/>
  <c r="BI99" i="9" s="1"/>
  <c r="BJ23" i="9"/>
  <c r="BJ99" i="9" s="1"/>
  <c r="BG23" i="9"/>
  <c r="BG99" i="9" s="1"/>
  <c r="BF23" i="9"/>
  <c r="BF99" i="9" s="1"/>
  <c r="BK23" i="9"/>
  <c r="BK99" i="9" s="1"/>
  <c r="BH22" i="9"/>
  <c r="BH98" i="9" s="1"/>
  <c r="AW24" i="4"/>
  <c r="BH27" i="9"/>
  <c r="BH103" i="9" s="1"/>
  <c r="BG22" i="9"/>
  <c r="BG98" i="9" s="1"/>
  <c r="AS30" i="4"/>
  <c r="BI22" i="9"/>
  <c r="BI98" i="9" s="1"/>
  <c r="BH21" i="9" l="1"/>
  <c r="BH97" i="9" s="1"/>
  <c r="AY35" i="4"/>
  <c r="AY24" i="4"/>
  <c r="BJ27" i="9"/>
  <c r="BJ103" i="9" s="1"/>
  <c r="AZ24" i="4"/>
  <c r="AZ35" i="4"/>
  <c r="BK27" i="9"/>
  <c r="BK103" i="9" s="1"/>
  <c r="AU24" i="4"/>
  <c r="AU35" i="4"/>
  <c r="BF27" i="9"/>
  <c r="BF103" i="9" s="1"/>
  <c r="AX24" i="4"/>
  <c r="BI27" i="9"/>
  <c r="BI103" i="9" s="1"/>
  <c r="AX35" i="4"/>
  <c r="BF22" i="9"/>
  <c r="BF98" i="9" s="1"/>
  <c r="AW35" i="4"/>
  <c r="BK22" i="9"/>
  <c r="BK98" i="9" s="1"/>
  <c r="BE23" i="9"/>
  <c r="BE99" i="9" s="1"/>
  <c r="BJ22" i="9"/>
  <c r="BJ98" i="9" s="1"/>
  <c r="BS23" i="9" l="1"/>
  <c r="BS99" i="9" s="1"/>
  <c r="BD23" i="9"/>
  <c r="BK21" i="9"/>
  <c r="BK97" i="9" s="1"/>
  <c r="BJ21" i="9"/>
  <c r="BJ97" i="9" s="1"/>
  <c r="BF21" i="9"/>
  <c r="BF97" i="9" s="1"/>
  <c r="BH20" i="9"/>
  <c r="BH96" i="9" s="1"/>
  <c r="BG27" i="9"/>
  <c r="BG103" i="9" s="1"/>
  <c r="AV24" i="4"/>
  <c r="AV35" i="4"/>
  <c r="BI21" i="9"/>
  <c r="BI97" i="9" s="1"/>
  <c r="BT23" i="9" l="1"/>
  <c r="BT99" i="9" s="1"/>
  <c r="BD99" i="9"/>
  <c r="BK20" i="9"/>
  <c r="BK96" i="9" s="1"/>
  <c r="BG21" i="9"/>
  <c r="BG97" i="9" s="1"/>
  <c r="BI20" i="9"/>
  <c r="BI96" i="9" s="1"/>
  <c r="BF20" i="9"/>
  <c r="BF96" i="9" s="1"/>
  <c r="BJ20" i="9"/>
  <c r="BJ96" i="9" s="1"/>
  <c r="BU23" i="9" l="1"/>
  <c r="BU99" i="9" s="1"/>
  <c r="BG20" i="9"/>
  <c r="BG96" i="9" s="1"/>
  <c r="BV23" i="9" l="1"/>
  <c r="BV99" i="9" s="1"/>
  <c r="BW23" i="9" l="1"/>
  <c r="BW99" i="9" s="1"/>
  <c r="BX23" i="9" l="1"/>
  <c r="BX99" i="9" s="1"/>
  <c r="BZ23" i="9" l="1"/>
  <c r="BZ99" i="9" s="1"/>
  <c r="CA23" i="9" l="1"/>
  <c r="CA99" i="9" s="1"/>
  <c r="AS29" i="4"/>
  <c r="AS28" i="4" s="1"/>
  <c r="AT35" i="4"/>
  <c r="AS25" i="4"/>
  <c r="BE22" i="9"/>
  <c r="BE98" i="9" s="1"/>
  <c r="AS35" i="4" l="1"/>
  <c r="AT24" i="4"/>
  <c r="AS24" i="4" s="1"/>
  <c r="BD22" i="9"/>
  <c r="BD98" i="9" l="1"/>
  <c r="BI28" i="4" l="1"/>
  <c r="BI35" i="4" s="1"/>
  <c r="BT22" i="9"/>
  <c r="BT98" i="9" s="1"/>
  <c r="BI24" i="4" l="1"/>
  <c r="BV22" i="9"/>
  <c r="BV98" i="9" s="1"/>
  <c r="BK28" i="4" l="1"/>
  <c r="BK24" i="4" l="1"/>
  <c r="BK35" i="4"/>
  <c r="BX22" i="9"/>
  <c r="BX98" i="9" s="1"/>
  <c r="BM28" i="4" l="1"/>
  <c r="BM24" i="4" l="1"/>
  <c r="BM35" i="4"/>
  <c r="BO28" i="4" l="1"/>
  <c r="BO35" i="4" s="1"/>
  <c r="BZ22" i="9"/>
  <c r="BZ98" i="9" s="1"/>
  <c r="BO24" i="4" l="1"/>
  <c r="BQ28" i="4" l="1"/>
  <c r="BQ24" i="4" s="1"/>
  <c r="CB22" i="9"/>
  <c r="CB98" i="9" s="1"/>
  <c r="BQ35" i="4" l="1"/>
  <c r="BA39" i="4" l="1"/>
  <c r="BC39" i="4" l="1"/>
  <c r="BD39" i="4" l="1"/>
  <c r="AR303" i="2"/>
  <c r="BE39" i="4" l="1"/>
  <c r="AS39" i="4" s="1"/>
  <c r="AR302" i="2"/>
  <c r="BE59" i="3"/>
  <c r="AS7" i="3"/>
  <c r="AS52" i="3" l="1"/>
  <c r="AT68" i="3"/>
  <c r="AS73" i="3"/>
  <c r="AT7" i="3"/>
  <c r="AT27" i="3" s="1"/>
  <c r="AT28" i="3" s="1"/>
  <c r="AT59" i="3"/>
  <c r="AS27" i="3"/>
  <c r="AS28" i="3" s="1"/>
  <c r="AS79" i="3"/>
  <c r="AU59" i="3"/>
  <c r="AS83" i="3" l="1"/>
  <c r="AT79" i="3"/>
  <c r="AT52" i="3"/>
  <c r="AU68" i="3"/>
  <c r="AT73" i="3"/>
  <c r="BF7" i="3"/>
  <c r="AV59" i="3"/>
  <c r="AU7" i="3"/>
  <c r="BF73" i="3" l="1"/>
  <c r="BF79" i="3"/>
  <c r="BF52" i="3"/>
  <c r="AU27" i="3"/>
  <c r="AU28" i="3" s="1"/>
  <c r="AU52" i="3"/>
  <c r="AU73" i="3"/>
  <c r="AV68" i="3"/>
  <c r="AT83" i="3"/>
  <c r="AU79" i="3"/>
  <c r="AW59" i="3"/>
  <c r="AV7" i="3"/>
  <c r="BG7" i="3"/>
  <c r="BG73" i="3" l="1"/>
  <c r="BG79" i="3"/>
  <c r="AV52" i="3"/>
  <c r="AV27" i="3"/>
  <c r="AV28" i="3" s="1"/>
  <c r="AW68" i="3"/>
  <c r="AV73" i="3"/>
  <c r="AU83" i="3"/>
  <c r="AV79" i="3"/>
  <c r="AW7" i="3"/>
  <c r="AX59" i="3"/>
  <c r="BH7" i="3"/>
  <c r="BH73" i="3" l="1"/>
  <c r="BH79" i="3"/>
  <c r="AV83" i="3"/>
  <c r="AW27" i="3"/>
  <c r="AW28" i="3" s="1"/>
  <c r="AW52" i="3"/>
  <c r="AX68" i="3"/>
  <c r="AW73" i="3"/>
  <c r="BI7" i="3"/>
  <c r="AY59" i="3"/>
  <c r="AX7" i="3"/>
  <c r="AW79" i="3"/>
  <c r="BI73" i="3" l="1"/>
  <c r="BI79" i="3"/>
  <c r="AW83" i="3"/>
  <c r="AX27" i="3"/>
  <c r="AX28" i="3" s="1"/>
  <c r="AX52" i="3"/>
  <c r="AX73" i="3"/>
  <c r="AY68" i="3"/>
  <c r="AX79" i="3"/>
  <c r="BJ7" i="3"/>
  <c r="AZ59" i="3"/>
  <c r="AY7" i="3"/>
  <c r="BJ73" i="3" l="1"/>
  <c r="BJ79" i="3"/>
  <c r="AX83" i="3"/>
  <c r="AY27" i="3"/>
  <c r="AY28" i="3" s="1"/>
  <c r="AY52" i="3"/>
  <c r="AY73" i="3"/>
  <c r="BK7" i="3"/>
  <c r="AY79" i="3"/>
  <c r="BA59" i="3"/>
  <c r="AZ7" i="3"/>
  <c r="AZ73" i="3" s="1"/>
  <c r="AW31" i="3"/>
  <c r="BK73" i="3" l="1"/>
  <c r="BK79" i="3"/>
  <c r="AY83" i="3"/>
  <c r="AZ27" i="3"/>
  <c r="AZ28" i="3" s="1"/>
  <c r="AZ52" i="3"/>
  <c r="AZ79" i="3"/>
  <c r="BL7" i="3"/>
  <c r="BB59" i="3"/>
  <c r="BA7" i="3"/>
  <c r="BA73" i="3" s="1"/>
  <c r="BL73" i="3" l="1"/>
  <c r="BL79" i="3"/>
  <c r="BA27" i="3"/>
  <c r="BA28" i="3" s="1"/>
  <c r="BA52" i="3"/>
  <c r="AX31" i="3"/>
  <c r="BC59" i="3"/>
  <c r="BB7" i="3"/>
  <c r="BB73" i="3" s="1"/>
  <c r="BA79" i="3"/>
  <c r="BJ31" i="3"/>
  <c r="BM7" i="3"/>
  <c r="BM73" i="3" l="1"/>
  <c r="BM79" i="3"/>
  <c r="BB27" i="3"/>
  <c r="BB28" i="3" s="1"/>
  <c r="BB52" i="3"/>
  <c r="BK31" i="3"/>
  <c r="BB79" i="3"/>
  <c r="BC7" i="3"/>
  <c r="BC73" i="3" s="1"/>
  <c r="AY31" i="3"/>
  <c r="BN7" i="3"/>
  <c r="BN73" i="3" l="1"/>
  <c r="BN79" i="3"/>
  <c r="BD7" i="3"/>
  <c r="BD59" i="3"/>
  <c r="BC27" i="3"/>
  <c r="BC28" i="3" s="1"/>
  <c r="BC52" i="3"/>
  <c r="BL31" i="3"/>
  <c r="BM27" i="9"/>
  <c r="BM103" i="9" s="1"/>
  <c r="AZ31" i="3"/>
  <c r="BO7" i="3"/>
  <c r="BC79" i="3"/>
  <c r="BL27" i="9"/>
  <c r="BL103" i="9" s="1"/>
  <c r="BO79" i="3" l="1"/>
  <c r="BO73" i="3"/>
  <c r="BD73" i="3"/>
  <c r="AR7" i="3"/>
  <c r="AR1" i="3" s="1"/>
  <c r="AR16" i="3" s="1"/>
  <c r="AR59" i="3" s="1"/>
  <c r="BD27" i="3"/>
  <c r="BD28" i="3" s="1"/>
  <c r="BD79" i="3"/>
  <c r="BD52" i="3"/>
  <c r="BP7" i="3"/>
  <c r="BQ7" i="3"/>
  <c r="BS68" i="3" s="1"/>
  <c r="BM31" i="3"/>
  <c r="AR79" i="3"/>
  <c r="AR52" i="3"/>
  <c r="BA31" i="3"/>
  <c r="BL21" i="9"/>
  <c r="BL97" i="9" s="1"/>
  <c r="BM21" i="9"/>
  <c r="BM97" i="9" s="1"/>
  <c r="BN27" i="9"/>
  <c r="BN103" i="9" s="1"/>
  <c r="BY83" i="3" l="1"/>
  <c r="BQ79" i="3"/>
  <c r="BS83" i="3"/>
  <c r="BP79" i="3"/>
  <c r="BP73" i="3"/>
  <c r="BQ73" i="3"/>
  <c r="AR72" i="3"/>
  <c r="AR73" i="3" s="1"/>
  <c r="BE7" i="3"/>
  <c r="BB31" i="3"/>
  <c r="BN21" i="9"/>
  <c r="BN97" i="9" s="1"/>
  <c r="BN31" i="3"/>
  <c r="BR1" i="3" l="1"/>
  <c r="CE3" i="3"/>
  <c r="BY82" i="3"/>
  <c r="BZ83" i="3"/>
  <c r="BE1" i="3"/>
  <c r="BO31" i="3"/>
  <c r="BE72" i="3"/>
  <c r="BE73" i="3" s="1"/>
  <c r="BO27" i="9"/>
  <c r="BO103" i="9" s="1"/>
  <c r="BC31" i="3"/>
  <c r="BP27" i="9"/>
  <c r="BP103" i="9" s="1"/>
  <c r="BZ82" i="3" l="1"/>
  <c r="CA83" i="3"/>
  <c r="BP21" i="9"/>
  <c r="BP97" i="9" s="1"/>
  <c r="BO21" i="9"/>
  <c r="BO97" i="9" s="1"/>
  <c r="BD31" i="3"/>
  <c r="AR31" i="3" s="1"/>
  <c r="CA82" i="3" l="1"/>
  <c r="CB83" i="3"/>
  <c r="BP31" i="3"/>
  <c r="CB82" i="3" l="1"/>
  <c r="CC83" i="3"/>
  <c r="BQ31" i="3"/>
  <c r="BE31" i="3" s="1"/>
  <c r="BE27" i="9"/>
  <c r="CC82" i="3" l="1"/>
  <c r="BR66" i="3"/>
  <c r="BE21" i="9"/>
  <c r="BE97" i="9" s="1"/>
  <c r="BE103" i="9"/>
  <c r="BD27" i="9"/>
  <c r="CG40" i="4" l="1"/>
  <c r="CF83" i="3"/>
  <c r="BR68" i="3"/>
  <c r="BS40" i="4"/>
  <c r="BE20" i="9"/>
  <c r="BE96" i="9" s="1"/>
  <c r="BD103" i="9"/>
  <c r="BD21" i="9"/>
  <c r="CG66" i="3" l="1"/>
  <c r="CG83" i="3"/>
  <c r="CF82" i="3"/>
  <c r="BD97" i="9"/>
  <c r="CG82" i="3" l="1"/>
  <c r="CH40" i="4"/>
  <c r="CH66" i="3"/>
  <c r="CI40" i="4" s="1"/>
  <c r="BJ5" i="4"/>
  <c r="BW22" i="9"/>
  <c r="BW98" i="9" s="1"/>
  <c r="BU22" i="9"/>
  <c r="BU98" i="9" s="1"/>
  <c r="BH5" i="4"/>
  <c r="CA22" i="9"/>
  <c r="CA98" i="9" s="1"/>
  <c r="BR5" i="4"/>
  <c r="BN5" i="4"/>
  <c r="BP5" i="4"/>
  <c r="BL5" i="4"/>
  <c r="BF6" i="4"/>
  <c r="BF5" i="4" s="1"/>
  <c r="CI66" i="3" l="1"/>
  <c r="CJ40" i="4" s="1"/>
  <c r="BO49" i="10"/>
  <c r="BO31" i="10"/>
  <c r="BO27" i="10"/>
  <c r="BO37" i="10"/>
  <c r="BO45" i="10"/>
  <c r="BO33" i="10"/>
  <c r="BO42" i="10"/>
  <c r="BQ27" i="10"/>
  <c r="BQ33" i="10"/>
  <c r="BQ49" i="10"/>
  <c r="BQ31" i="10"/>
  <c r="BQ42" i="10"/>
  <c r="BQ45" i="10"/>
  <c r="BQ37" i="10"/>
  <c r="BK42" i="10"/>
  <c r="BK49" i="10"/>
  <c r="BK31" i="10"/>
  <c r="BK27" i="10"/>
  <c r="BK33" i="10"/>
  <c r="BK45" i="10"/>
  <c r="BK37" i="10"/>
  <c r="BG33" i="10"/>
  <c r="BG42" i="10"/>
  <c r="BG45" i="10"/>
  <c r="BG37" i="10"/>
  <c r="BG49" i="10"/>
  <c r="BG31" i="10"/>
  <c r="BG27" i="10"/>
  <c r="BM49" i="10"/>
  <c r="BM31" i="10"/>
  <c r="BM27" i="10"/>
  <c r="BM33" i="10"/>
  <c r="BM42" i="10"/>
  <c r="BM45" i="10"/>
  <c r="BM37" i="10"/>
  <c r="BI45" i="10"/>
  <c r="BI49" i="10"/>
  <c r="BI31" i="10"/>
  <c r="BI42" i="10"/>
  <c r="BI27" i="10"/>
  <c r="BI33" i="10"/>
  <c r="BI37" i="10"/>
  <c r="CC42" i="9"/>
  <c r="CC118" i="9" s="1"/>
  <c r="BY42" i="9"/>
  <c r="BY118" i="9" s="1"/>
  <c r="BW42" i="9"/>
  <c r="BW118" i="9" s="1"/>
  <c r="BU42" i="9"/>
  <c r="BU118" i="9" s="1"/>
  <c r="CA42" i="9"/>
  <c r="CA118" i="9" s="1"/>
  <c r="BW43" i="9"/>
  <c r="BW119" i="9" s="1"/>
  <c r="BS43" i="9"/>
  <c r="BS119" i="9" s="1"/>
  <c r="BU43" i="9"/>
  <c r="BU119" i="9" s="1"/>
  <c r="CA43" i="9"/>
  <c r="CA119" i="9" s="1"/>
  <c r="BY43" i="9"/>
  <c r="BP28" i="4"/>
  <c r="BP24" i="4" s="1"/>
  <c r="BJ28" i="4"/>
  <c r="BJ24" i="4" s="1"/>
  <c r="BN28" i="4"/>
  <c r="BN24" i="4" s="1"/>
  <c r="BY22" i="9"/>
  <c r="BY98" i="9" s="1"/>
  <c r="BH28" i="4"/>
  <c r="BH24" i="4" s="1"/>
  <c r="BS22" i="9"/>
  <c r="BS98" i="9" s="1"/>
  <c r="BR28" i="4"/>
  <c r="BR35" i="4" s="1"/>
  <c r="CC22" i="9"/>
  <c r="CC98" i="9" s="1"/>
  <c r="BL28" i="4"/>
  <c r="CJ66" i="3" l="1"/>
  <c r="CK40" i="4" s="1"/>
  <c r="BY119" i="9"/>
  <c r="BE31" i="10"/>
  <c r="BE33" i="10"/>
  <c r="BE42" i="10"/>
  <c r="BE41" i="10"/>
  <c r="BS42" i="9"/>
  <c r="BS118" i="9" s="1"/>
  <c r="BE30" i="10"/>
  <c r="BE32" i="10"/>
  <c r="CC43" i="9"/>
  <c r="CC119" i="9" s="1"/>
  <c r="BE49" i="10"/>
  <c r="BR24" i="4"/>
  <c r="BL24" i="4"/>
  <c r="BJ35" i="4"/>
  <c r="BH35" i="4"/>
  <c r="BN35" i="4"/>
  <c r="BP35" i="4"/>
  <c r="BL35" i="4"/>
  <c r="BF36" i="4"/>
  <c r="AZ27" i="10"/>
  <c r="AZ20" i="10"/>
  <c r="BL40" i="9" s="1"/>
  <c r="BL116" i="9" s="1"/>
  <c r="CK66" i="3" l="1"/>
  <c r="CL40" i="4" s="1"/>
  <c r="BQ42" i="9"/>
  <c r="BQ43" i="9"/>
  <c r="BA27" i="10"/>
  <c r="BA20" i="10"/>
  <c r="BM40" i="9" s="1"/>
  <c r="BM116" i="9" s="1"/>
  <c r="DG43" i="9" l="1"/>
  <c r="DJ43" i="9"/>
  <c r="DK42" i="9"/>
  <c r="DJ42" i="9"/>
  <c r="DH42" i="9"/>
  <c r="DG42" i="9"/>
  <c r="CL66" i="3"/>
  <c r="CM40" i="4" s="1"/>
  <c r="BQ119" i="9"/>
  <c r="BQ118" i="9"/>
  <c r="DH118" i="9" s="1"/>
  <c r="AR22" i="10"/>
  <c r="AR20" i="10" s="1"/>
  <c r="BC27" i="10"/>
  <c r="BC20" i="10"/>
  <c r="BO40" i="9" s="1"/>
  <c r="BO116" i="9" s="1"/>
  <c r="BB27" i="10"/>
  <c r="BB20" i="10"/>
  <c r="BN40" i="9" s="1"/>
  <c r="BN116" i="9" s="1"/>
  <c r="BD20" i="10"/>
  <c r="BP40" i="9" s="1"/>
  <c r="BP116" i="9" s="1"/>
  <c r="BD27" i="10"/>
  <c r="CM66" i="3" l="1"/>
  <c r="CN40" i="4" s="1"/>
  <c r="AR27" i="10"/>
  <c r="BD40" i="9"/>
  <c r="CN66" i="3" l="1"/>
  <c r="CO40" i="4" s="1"/>
  <c r="BD116" i="9"/>
  <c r="CO66" i="3" l="1"/>
  <c r="CP40" i="4" s="1"/>
  <c r="BF24" i="10"/>
  <c r="CP66" i="3" l="1"/>
  <c r="CQ40" i="4" s="1"/>
  <c r="BK24" i="10"/>
  <c r="BO24" i="10"/>
  <c r="BG24" i="10"/>
  <c r="BM24" i="10"/>
  <c r="BI24" i="10"/>
  <c r="BQ24" i="10"/>
  <c r="BE78" i="3"/>
  <c r="BE79" i="3" s="1"/>
  <c r="CQ66" i="3" l="1"/>
  <c r="CR40" i="4" s="1"/>
  <c r="CF40" i="4" s="1"/>
  <c r="BE24" i="10"/>
  <c r="CE66" i="3" l="1"/>
  <c r="BE27" i="10"/>
  <c r="CE68" i="3" l="1"/>
  <c r="BE22" i="10"/>
  <c r="AR28" i="10"/>
  <c r="BA29" i="10"/>
  <c r="BM41" i="9"/>
  <c r="BM117" i="9" s="1"/>
  <c r="BC29" i="10"/>
  <c r="BO41" i="9"/>
  <c r="BO117" i="9" s="1"/>
  <c r="BN41" i="9"/>
  <c r="BN117" i="9" s="1"/>
  <c r="BB29" i="10"/>
  <c r="BD29" i="10"/>
  <c r="BP41" i="9"/>
  <c r="BP117" i="9" s="1"/>
  <c r="AZ29" i="10"/>
  <c r="BL41" i="9"/>
  <c r="BL117" i="9" s="1"/>
  <c r="AR29" i="10" l="1"/>
  <c r="BD41" i="9"/>
  <c r="BD117" i="9" l="1"/>
  <c r="AZ37" i="10" l="1"/>
  <c r="BL44" i="9"/>
  <c r="BL120" i="9" s="1"/>
  <c r="BB34" i="10" l="1"/>
  <c r="BN44" i="9" s="1"/>
  <c r="BN120" i="9" s="1"/>
  <c r="BD37" i="10"/>
  <c r="BD34" i="10"/>
  <c r="BP44" i="9" s="1"/>
  <c r="BP120" i="9" s="1"/>
  <c r="BB37" i="10"/>
  <c r="BC37" i="10"/>
  <c r="BC34" i="10"/>
  <c r="BO44" i="9" s="1"/>
  <c r="BO120" i="9" s="1"/>
  <c r="BA34" i="10"/>
  <c r="BM44" i="9" s="1"/>
  <c r="BM120" i="9" s="1"/>
  <c r="BA37" i="10"/>
  <c r="AR36" i="10"/>
  <c r="AR34" i="10" s="1"/>
  <c r="AR37" i="10" l="1"/>
  <c r="BD44" i="9"/>
  <c r="BD120" i="9" l="1"/>
  <c r="BS44" i="9"/>
  <c r="BS120" i="9" s="1"/>
  <c r="BR44" i="9"/>
  <c r="BR120" i="9" s="1"/>
  <c r="BU44" i="9" l="1"/>
  <c r="BU120" i="9" s="1"/>
  <c r="BT44" i="9"/>
  <c r="BT120" i="9" s="1"/>
  <c r="BW44" i="9" l="1"/>
  <c r="BW120" i="9" s="1"/>
  <c r="BV44" i="9"/>
  <c r="BV120" i="9" s="1"/>
  <c r="BX44" i="9" l="1"/>
  <c r="BX120" i="9" s="1"/>
  <c r="BZ44" i="9" l="1"/>
  <c r="BZ120" i="9" s="1"/>
  <c r="BY44" i="9"/>
  <c r="BY120" i="9" s="1"/>
  <c r="CA44" i="9" l="1"/>
  <c r="CA120" i="9" s="1"/>
  <c r="CB44" i="9" l="1"/>
  <c r="CB120" i="9" s="1"/>
  <c r="BE37" i="10" l="1"/>
  <c r="CC44" i="9" l="1"/>
  <c r="CC120" i="9" s="1"/>
  <c r="BE36" i="10"/>
  <c r="BE34" i="10" s="1"/>
  <c r="BN48" i="9"/>
  <c r="BN124" i="9" s="1"/>
  <c r="BB45" i="10"/>
  <c r="BM48" i="9"/>
  <c r="BM124" i="9" s="1"/>
  <c r="AR44" i="10"/>
  <c r="BL48" i="9"/>
  <c r="BL124" i="9" s="1"/>
  <c r="BP48" i="9"/>
  <c r="BP124" i="9" s="1"/>
  <c r="AZ45" i="10"/>
  <c r="BA45" i="10"/>
  <c r="BC45" i="10"/>
  <c r="BO48" i="9"/>
  <c r="BO124" i="9" s="1"/>
  <c r="BD45" i="10"/>
  <c r="BR48" i="9" l="1"/>
  <c r="BR124" i="9" s="1"/>
  <c r="BQ44" i="9"/>
  <c r="BD48" i="9"/>
  <c r="AR45" i="10"/>
  <c r="DG44" i="9" l="1"/>
  <c r="DJ44" i="9"/>
  <c r="BQ120" i="9"/>
  <c r="BD124" i="9"/>
  <c r="BS48" i="9" l="1"/>
  <c r="BS124" i="9" s="1"/>
  <c r="BT48" i="9"/>
  <c r="BT124" i="9" s="1"/>
  <c r="BU48" i="9" l="1"/>
  <c r="BU124" i="9" s="1"/>
  <c r="BV48" i="9" l="1"/>
  <c r="BV124" i="9" s="1"/>
  <c r="BW48" i="9" l="1"/>
  <c r="BW124" i="9" s="1"/>
  <c r="BX48" i="9" l="1"/>
  <c r="BX124" i="9" s="1"/>
  <c r="BY48" i="9" l="1"/>
  <c r="BY124" i="9" s="1"/>
  <c r="BZ48" i="9" l="1"/>
  <c r="BZ124" i="9" s="1"/>
  <c r="CA48" i="9" l="1"/>
  <c r="CA124" i="9" s="1"/>
  <c r="CB48" i="9" l="1"/>
  <c r="CB124" i="9" s="1"/>
  <c r="BE45" i="10" l="1"/>
  <c r="BC39" i="10"/>
  <c r="BO46" i="9" s="1"/>
  <c r="BA39" i="10"/>
  <c r="BM46" i="9" s="1"/>
  <c r="BM122" i="9" s="1"/>
  <c r="BD39" i="10"/>
  <c r="BP46" i="9" s="1"/>
  <c r="BP122" i="9" s="1"/>
  <c r="AR40" i="10"/>
  <c r="AR39" i="10" s="1"/>
  <c r="BB39" i="10"/>
  <c r="BN46" i="9" s="1"/>
  <c r="BN122" i="9" s="1"/>
  <c r="AZ39" i="10"/>
  <c r="BL46" i="9" s="1"/>
  <c r="BL122" i="9" l="1"/>
  <c r="BL38" i="9"/>
  <c r="BL114" i="9" s="1"/>
  <c r="BO38" i="9"/>
  <c r="BO114" i="9" s="1"/>
  <c r="BO122" i="9"/>
  <c r="BE44" i="10"/>
  <c r="CC48" i="9"/>
  <c r="CC124" i="9" s="1"/>
  <c r="BP38" i="9"/>
  <c r="BP114" i="9" s="1"/>
  <c r="BS46" i="9"/>
  <c r="BS122" i="9" s="1"/>
  <c r="BM38" i="9"/>
  <c r="BM114" i="9" s="1"/>
  <c r="BD46" i="9"/>
  <c r="BN38" i="9"/>
  <c r="BN114" i="9" s="1"/>
  <c r="BD122" i="9" l="1"/>
  <c r="BQ48" i="9"/>
  <c r="BT46" i="9"/>
  <c r="BT122" i="9" s="1"/>
  <c r="BD38" i="9"/>
  <c r="DK48" i="9" l="1"/>
  <c r="DJ48" i="9"/>
  <c r="DH48" i="9"/>
  <c r="DG48" i="9"/>
  <c r="BQ124" i="9"/>
  <c r="DH124" i="9" s="1"/>
  <c r="BD114" i="9"/>
  <c r="BU46" i="9"/>
  <c r="BU122" i="9" s="1"/>
  <c r="BV46" i="9" l="1"/>
  <c r="BV122" i="9" s="1"/>
  <c r="BW46" i="9" l="1"/>
  <c r="BW122" i="9" s="1"/>
  <c r="BX46" i="9" l="1"/>
  <c r="BX122" i="9" s="1"/>
  <c r="BY46" i="9" l="1"/>
  <c r="BY122" i="9" s="1"/>
  <c r="BZ46" i="9" l="1"/>
  <c r="BZ122" i="9" s="1"/>
  <c r="CA46" i="9" l="1"/>
  <c r="CA122" i="9" s="1"/>
  <c r="CB46" i="9" l="1"/>
  <c r="CB122" i="9" s="1"/>
  <c r="CC46" i="9" l="1"/>
  <c r="CC122" i="9" s="1"/>
  <c r="BF16" i="9"/>
  <c r="BF92" i="9" s="1"/>
  <c r="BG16" i="9"/>
  <c r="BG92" i="9" s="1"/>
  <c r="AS190" i="2"/>
  <c r="BE16" i="9"/>
  <c r="BE92" i="9" s="1"/>
  <c r="BG14" i="9" l="1"/>
  <c r="BG90" i="9" s="1"/>
  <c r="BF14" i="9"/>
  <c r="BF90" i="9" s="1"/>
  <c r="BE14" i="9"/>
  <c r="BE90" i="9" s="1"/>
  <c r="BH16" i="9" l="1"/>
  <c r="BH92" i="9" s="1"/>
  <c r="BH14" i="9" l="1"/>
  <c r="BH90" i="9" s="1"/>
  <c r="BI16" i="9"/>
  <c r="BI92" i="9" s="1"/>
  <c r="BI14" i="9" l="1"/>
  <c r="BI90" i="9" s="1"/>
  <c r="BJ16" i="9"/>
  <c r="BJ92" i="9" s="1"/>
  <c r="BJ14" i="9" l="1"/>
  <c r="BJ90" i="9" s="1"/>
  <c r="AR291" i="2" l="1"/>
  <c r="AR293" i="2" s="1"/>
  <c r="BA292" i="2"/>
  <c r="BA289" i="2"/>
  <c r="BM30" i="9" s="1"/>
  <c r="BM106" i="9" s="1"/>
  <c r="AZ293" i="2"/>
  <c r="BB292" i="2"/>
  <c r="BB289" i="2"/>
  <c r="BN30" i="9" s="1"/>
  <c r="BN106" i="9" s="1"/>
  <c r="BC292" i="2"/>
  <c r="BC289" i="2"/>
  <c r="BO30" i="9" s="1"/>
  <c r="BO106" i="9" s="1"/>
  <c r="BD292" i="2"/>
  <c r="BD289" i="2"/>
  <c r="BP30" i="9" s="1"/>
  <c r="BP106" i="9" s="1"/>
  <c r="AZ289" i="2"/>
  <c r="AR290" i="2"/>
  <c r="AR292" i="2" s="1"/>
  <c r="AZ292" i="2"/>
  <c r="AR289" i="2" l="1"/>
  <c r="BO28" i="9"/>
  <c r="BP28" i="9"/>
  <c r="BP104" i="9" s="1"/>
  <c r="BL30" i="9"/>
  <c r="BL106" i="9" s="1"/>
  <c r="BM28" i="9"/>
  <c r="BM104" i="9" s="1"/>
  <c r="BN28" i="9"/>
  <c r="BN104" i="9" s="1"/>
  <c r="BO20" i="9" l="1"/>
  <c r="BO96" i="9" s="1"/>
  <c r="BO104" i="9"/>
  <c r="BN20" i="9"/>
  <c r="BN96" i="9" s="1"/>
  <c r="BM20" i="9"/>
  <c r="BM96" i="9" s="1"/>
  <c r="BP20" i="9"/>
  <c r="BP96" i="9" s="1"/>
  <c r="BD30" i="9"/>
  <c r="BL28" i="9"/>
  <c r="BL104" i="9" s="1"/>
  <c r="BD106" i="9" l="1"/>
  <c r="BD28" i="9"/>
  <c r="BL20" i="9"/>
  <c r="BL96" i="9" s="1"/>
  <c r="BD104" i="9" l="1"/>
  <c r="BD20" i="9"/>
  <c r="BD96" i="9" l="1"/>
  <c r="BE283" i="2" l="1"/>
  <c r="BE126" i="2" l="1"/>
  <c r="BE5" i="5" l="1"/>
  <c r="BS17" i="9" l="1"/>
  <c r="BS93" i="9" s="1"/>
  <c r="BW17" i="9" l="1"/>
  <c r="BW93" i="9" s="1"/>
  <c r="BU17" i="9"/>
  <c r="BU93" i="9" s="1"/>
  <c r="BY17" i="9" l="1"/>
  <c r="BY93" i="9" l="1"/>
  <c r="CA17" i="9"/>
  <c r="CA93" i="9" s="1"/>
  <c r="CC17" i="9" l="1"/>
  <c r="CC93" i="9" s="1"/>
  <c r="BC40" i="13"/>
  <c r="BA82" i="3"/>
  <c r="BD82" i="3"/>
  <c r="AZ82" i="3"/>
  <c r="BC82" i="3"/>
  <c r="BB82" i="3"/>
  <c r="AR66" i="3"/>
  <c r="AR68" i="3" s="1"/>
  <c r="AR83" i="3" s="1"/>
  <c r="BC68" i="3"/>
  <c r="BD40" i="4"/>
  <c r="BD38" i="4" s="1"/>
  <c r="BD68" i="3"/>
  <c r="BE40" i="4"/>
  <c r="BE38" i="4" s="1"/>
  <c r="BA68" i="3"/>
  <c r="BB40" i="4"/>
  <c r="BB38" i="4" s="1"/>
  <c r="BB68" i="3"/>
  <c r="BC40" i="4"/>
  <c r="BC38" i="4" s="1"/>
  <c r="AZ68" i="3"/>
  <c r="BA40" i="4"/>
  <c r="BQ17" i="9" l="1"/>
  <c r="BC83" i="3"/>
  <c r="BD83" i="3"/>
  <c r="AZ83" i="3"/>
  <c r="BB83" i="3"/>
  <c r="BA83" i="3"/>
  <c r="AS40" i="4"/>
  <c r="BA38" i="4"/>
  <c r="BA43" i="4" s="1"/>
  <c r="BA44" i="4" s="1"/>
  <c r="BE42" i="4"/>
  <c r="BE43" i="4"/>
  <c r="BE44" i="4" s="1"/>
  <c r="BD43" i="4"/>
  <c r="BD44" i="4" s="1"/>
  <c r="BD42" i="4"/>
  <c r="BB42" i="4"/>
  <c r="BB43" i="4"/>
  <c r="BB44" i="4" s="1"/>
  <c r="BC43" i="4"/>
  <c r="BC44" i="4" s="1"/>
  <c r="BC42" i="4"/>
  <c r="AR82" i="3"/>
  <c r="DK17" i="9" l="1"/>
  <c r="DJ17" i="9"/>
  <c r="D22" i="24"/>
  <c r="DH17" i="9"/>
  <c r="DG17" i="9"/>
  <c r="BQ93" i="9"/>
  <c r="AS38" i="4"/>
  <c r="BA42" i="4"/>
  <c r="AS42" i="4" s="1"/>
  <c r="AS43" i="4"/>
  <c r="AS44" i="4"/>
  <c r="DG93" i="9" l="1"/>
  <c r="DH93" i="9"/>
  <c r="AS37" i="4"/>
  <c r="AR181" i="2" l="1"/>
  <c r="AR190" i="2"/>
  <c r="BE181" i="2" l="1"/>
  <c r="AZ231" i="2" l="1"/>
  <c r="AR220" i="2"/>
  <c r="AR232" i="2" s="1"/>
  <c r="AZ230" i="2"/>
  <c r="BL18" i="9"/>
  <c r="AR230" i="2" l="1"/>
  <c r="AR231" i="2"/>
  <c r="BD18" i="9"/>
  <c r="BL94" i="9"/>
  <c r="BD94" i="9" l="1"/>
  <c r="BE299" i="2" l="1"/>
  <c r="BE25" i="2"/>
  <c r="BE8" i="2"/>
  <c r="D4" i="24" s="1"/>
  <c r="CE2" i="2" l="1"/>
  <c r="BE3" i="2"/>
  <c r="BL25" i="2"/>
  <c r="BL24" i="2"/>
  <c r="BN24" i="2"/>
  <c r="BN25" i="2"/>
  <c r="BF8" i="2"/>
  <c r="BF231" i="2" s="1"/>
  <c r="BF25" i="2"/>
  <c r="BF24" i="2"/>
  <c r="BJ24" i="2"/>
  <c r="BJ25" i="2"/>
  <c r="BO25" i="2"/>
  <c r="BO24" i="2"/>
  <c r="BK25" i="2"/>
  <c r="BK24" i="2"/>
  <c r="BH25" i="2"/>
  <c r="BQ24" i="2"/>
  <c r="BQ25" i="2"/>
  <c r="BM25" i="2"/>
  <c r="BM24" i="2"/>
  <c r="BG25" i="2"/>
  <c r="BG24" i="2"/>
  <c r="BI25" i="2"/>
  <c r="BI24" i="2"/>
  <c r="BP25" i="2"/>
  <c r="BP24" i="2"/>
  <c r="BG8" i="2"/>
  <c r="BG231" i="2" s="1"/>
  <c r="BG209" i="2" l="1"/>
  <c r="BG232" i="2"/>
  <c r="BG303" i="2"/>
  <c r="BF209" i="2"/>
  <c r="BF232" i="2"/>
  <c r="D5" i="24"/>
  <c r="I5" i="24" s="1"/>
  <c r="I4" i="24"/>
  <c r="BG308" i="2"/>
  <c r="BH303" i="2"/>
  <c r="BF29" i="10"/>
  <c r="BF293" i="2"/>
  <c r="BF207" i="2"/>
  <c r="BF292" i="2"/>
  <c r="BG29" i="10"/>
  <c r="BG292" i="2"/>
  <c r="BG293" i="2"/>
  <c r="BG52" i="4"/>
  <c r="BG51" i="4"/>
  <c r="BH52" i="4"/>
  <c r="BH51" i="4"/>
  <c r="BE262" i="2"/>
  <c r="BE275" i="2" s="1"/>
  <c r="BS41" i="9"/>
  <c r="BS117" i="9" s="1"/>
  <c r="BE265" i="2"/>
  <c r="BE278" i="2" s="1"/>
  <c r="BE24" i="2"/>
  <c r="BE261" i="2"/>
  <c r="BE274" i="2" s="1"/>
  <c r="BE257" i="2"/>
  <c r="BF289" i="2" l="1"/>
  <c r="BE270" i="2"/>
  <c r="BI39" i="4"/>
  <c r="BH39" i="4"/>
  <c r="BH8" i="2"/>
  <c r="BH231" i="2" s="1"/>
  <c r="BR41" i="9"/>
  <c r="BR117" i="9" s="1"/>
  <c r="BH268" i="2" l="1"/>
  <c r="BH209" i="2"/>
  <c r="BH232" i="2"/>
  <c r="BI303" i="2"/>
  <c r="BH308" i="2"/>
  <c r="BH29" i="10"/>
  <c r="BH292" i="2"/>
  <c r="BH293" i="2"/>
  <c r="BI52" i="4"/>
  <c r="BI51" i="4"/>
  <c r="BH267" i="2"/>
  <c r="BI8" i="2"/>
  <c r="BI231" i="2" s="1"/>
  <c r="BI209" i="2" l="1"/>
  <c r="BI232" i="2"/>
  <c r="BJ303" i="2"/>
  <c r="BI308" i="2"/>
  <c r="BI29" i="10"/>
  <c r="BI293" i="2"/>
  <c r="BI292" i="2"/>
  <c r="BJ52" i="4"/>
  <c r="BJ51" i="4"/>
  <c r="BJ8" i="2"/>
  <c r="BJ231" i="2" s="1"/>
  <c r="BJ39" i="4"/>
  <c r="BT41" i="9"/>
  <c r="BT117" i="9" s="1"/>
  <c r="BU41" i="9"/>
  <c r="BU117" i="9" s="1"/>
  <c r="BJ268" i="2" l="1"/>
  <c r="BJ232" i="2"/>
  <c r="BJ209" i="2"/>
  <c r="BK303" i="2"/>
  <c r="BJ308" i="2"/>
  <c r="BJ29" i="10"/>
  <c r="BJ292" i="2"/>
  <c r="BJ293" i="2"/>
  <c r="BK52" i="4"/>
  <c r="BK51" i="4"/>
  <c r="BJ267" i="2"/>
  <c r="BK39" i="4"/>
  <c r="BV41" i="9"/>
  <c r="BV117" i="9" s="1"/>
  <c r="BK8" i="2"/>
  <c r="BK231" i="2" s="1"/>
  <c r="BK268" i="2" l="1"/>
  <c r="BK209" i="2"/>
  <c r="BK232" i="2"/>
  <c r="BL303" i="2"/>
  <c r="BK308" i="2"/>
  <c r="BK29" i="10"/>
  <c r="BK293" i="2"/>
  <c r="BK292" i="2"/>
  <c r="BL52" i="4"/>
  <c r="BL51" i="4"/>
  <c r="BK267" i="2"/>
  <c r="BL39" i="4"/>
  <c r="BL8" i="2"/>
  <c r="BL231" i="2" s="1"/>
  <c r="BL268" i="2" l="1"/>
  <c r="BL232" i="2"/>
  <c r="BL209" i="2"/>
  <c r="BM303" i="2"/>
  <c r="BL308" i="2"/>
  <c r="BL292" i="2"/>
  <c r="BL293" i="2"/>
  <c r="BL29" i="10"/>
  <c r="BM52" i="4"/>
  <c r="BM51" i="4"/>
  <c r="BL267" i="2"/>
  <c r="BX41" i="9"/>
  <c r="BX117" i="9" s="1"/>
  <c r="BM39" i="4"/>
  <c r="BW41" i="9"/>
  <c r="BW117" i="9" s="1"/>
  <c r="BM8" i="2"/>
  <c r="BM231" i="2" s="1"/>
  <c r="BM232" i="2" l="1"/>
  <c r="BM209" i="2"/>
  <c r="BN303" i="2"/>
  <c r="BM308" i="2"/>
  <c r="BM29" i="10"/>
  <c r="BM293" i="2"/>
  <c r="BM292" i="2"/>
  <c r="BN52" i="4"/>
  <c r="BN51" i="4"/>
  <c r="BN39" i="4"/>
  <c r="BN8" i="2"/>
  <c r="BN231" i="2" s="1"/>
  <c r="BN268" i="2" l="1"/>
  <c r="BN232" i="2"/>
  <c r="BN209" i="2"/>
  <c r="BO303" i="2"/>
  <c r="BN267" i="2"/>
  <c r="BN308" i="2"/>
  <c r="BN29" i="10"/>
  <c r="BN293" i="2"/>
  <c r="BN292" i="2"/>
  <c r="BO52" i="4"/>
  <c r="BO51" i="4"/>
  <c r="BO39" i="4"/>
  <c r="BZ41" i="9"/>
  <c r="BZ117" i="9" s="1"/>
  <c r="BY41" i="9"/>
  <c r="BY117" i="9" s="1"/>
  <c r="BO8" i="2"/>
  <c r="BO231" i="2" s="1"/>
  <c r="BO232" i="2" l="1"/>
  <c r="BO209" i="2"/>
  <c r="BP303" i="2"/>
  <c r="BO308" i="2"/>
  <c r="BO29" i="10"/>
  <c r="BO293" i="2"/>
  <c r="BO292" i="2"/>
  <c r="BP52" i="4"/>
  <c r="BP51" i="4"/>
  <c r="BP39" i="4"/>
  <c r="BP8" i="2"/>
  <c r="BP231" i="2" s="1"/>
  <c r="CA41" i="9"/>
  <c r="CA117" i="9" s="1"/>
  <c r="BP232" i="2" l="1"/>
  <c r="BP209" i="2"/>
  <c r="BQ303" i="2"/>
  <c r="BP308" i="2"/>
  <c r="BP29" i="10"/>
  <c r="BP292" i="2"/>
  <c r="BP293" i="2"/>
  <c r="BQ52" i="4"/>
  <c r="BQ51" i="4"/>
  <c r="BQ39" i="4"/>
  <c r="CB41" i="9"/>
  <c r="CB117" i="9" s="1"/>
  <c r="BQ8" i="2"/>
  <c r="BQ231" i="2" s="1"/>
  <c r="BQ268" i="2" l="1"/>
  <c r="BQ232" i="2"/>
  <c r="BQ209" i="2"/>
  <c r="BS303" i="2"/>
  <c r="BQ293" i="2"/>
  <c r="BQ292" i="2"/>
  <c r="BQ308" i="2"/>
  <c r="BQ29" i="10"/>
  <c r="BE29" i="10" s="1"/>
  <c r="BR52" i="4"/>
  <c r="BF52" i="4" s="1"/>
  <c r="BR51" i="4"/>
  <c r="BF51" i="4" s="1"/>
  <c r="BQ267" i="2"/>
  <c r="BR39" i="4"/>
  <c r="BE263" i="2"/>
  <c r="BE276" i="2" l="1"/>
  <c r="CC41" i="9"/>
  <c r="CC117" i="9" s="1"/>
  <c r="BE28" i="10"/>
  <c r="BE290" i="2"/>
  <c r="BE292" i="2" s="1"/>
  <c r="CA38" i="4" l="1"/>
  <c r="CA42" i="4" s="1"/>
  <c r="BQ41" i="9"/>
  <c r="DJ41" i="9" s="1"/>
  <c r="DG41" i="9" l="1"/>
  <c r="CB38" i="4"/>
  <c r="CB42" i="4" s="1"/>
  <c r="BZ38" i="4"/>
  <c r="BQ117" i="9"/>
  <c r="BZ42" i="4" l="1"/>
  <c r="BM16" i="9"/>
  <c r="BM14" i="9" s="1"/>
  <c r="BC125" i="2"/>
  <c r="BC106" i="2" s="1"/>
  <c r="BO16" i="9"/>
  <c r="BO92" i="9" s="1"/>
  <c r="BB125" i="2"/>
  <c r="BB106" i="2" s="1"/>
  <c r="BN16" i="9"/>
  <c r="BN14" i="9" s="1"/>
  <c r="BA125" i="2"/>
  <c r="BA106" i="2" s="1"/>
  <c r="BD125" i="2"/>
  <c r="BD106" i="2" s="1"/>
  <c r="BP16" i="9"/>
  <c r="BP92" i="9" s="1"/>
  <c r="AY125" i="2"/>
  <c r="BK16" i="9"/>
  <c r="BK92" i="9" s="1"/>
  <c r="AZ125" i="2"/>
  <c r="AZ106" i="2" s="1"/>
  <c r="BL16" i="9"/>
  <c r="BL92" i="9" s="1"/>
  <c r="CD38" i="4" l="1"/>
  <c r="CD42" i="4" s="1"/>
  <c r="BP14" i="9"/>
  <c r="AR125" i="2"/>
  <c r="AR116" i="2" s="1"/>
  <c r="BN90" i="9"/>
  <c r="BM90" i="9"/>
  <c r="AY106" i="2"/>
  <c r="AR106" i="2" s="1"/>
  <c r="BM92" i="9"/>
  <c r="BO14" i="9"/>
  <c r="BD16" i="9"/>
  <c r="BL14" i="9"/>
  <c r="BN92" i="9"/>
  <c r="BK14" i="9"/>
  <c r="CG39" i="4" l="1"/>
  <c r="CG38" i="4" s="1"/>
  <c r="CH39" i="4"/>
  <c r="CH38" i="4" s="1"/>
  <c r="CE38" i="4"/>
  <c r="BR303" i="2"/>
  <c r="CC38" i="4"/>
  <c r="BP90" i="9"/>
  <c r="BK90" i="9"/>
  <c r="BD14" i="9"/>
  <c r="BL90" i="9"/>
  <c r="BO90" i="9"/>
  <c r="BD92" i="9"/>
  <c r="CH42" i="4" l="1"/>
  <c r="CE42" i="4"/>
  <c r="CE43" i="4"/>
  <c r="CE44" i="4" s="1"/>
  <c r="CI39" i="4"/>
  <c r="CI38" i="4" s="1"/>
  <c r="CI42" i="4" s="1"/>
  <c r="BS39" i="4"/>
  <c r="BR302" i="2"/>
  <c r="CC42" i="4"/>
  <c r="BS42" i="4" s="1"/>
  <c r="BS38" i="4"/>
  <c r="BD90" i="9"/>
  <c r="CJ39" i="4" l="1"/>
  <c r="CJ38" i="4" s="1"/>
  <c r="CJ42" i="4" s="1"/>
  <c r="BO52" i="3"/>
  <c r="BE52" i="3"/>
  <c r="BN52" i="3"/>
  <c r="BZ15" i="9"/>
  <c r="BZ91" i="9" s="1"/>
  <c r="BT15" i="9"/>
  <c r="BT91" i="9" s="1"/>
  <c r="BV15" i="9"/>
  <c r="BV91" i="9" s="1"/>
  <c r="BM52" i="3"/>
  <c r="BJ52" i="3"/>
  <c r="BW15" i="9"/>
  <c r="BW91" i="9" s="1"/>
  <c r="BP52" i="3"/>
  <c r="BG52" i="3"/>
  <c r="CJ302" i="2" l="1"/>
  <c r="CK39" i="4" s="1"/>
  <c r="CK38" i="4" s="1"/>
  <c r="CK42" i="4" s="1"/>
  <c r="CC15" i="9"/>
  <c r="CC91" i="9" s="1"/>
  <c r="BX15" i="9"/>
  <c r="BX91" i="9" s="1"/>
  <c r="BK52" i="3"/>
  <c r="BQ52" i="3"/>
  <c r="BI52" i="3"/>
  <c r="BL52" i="3"/>
  <c r="BH52" i="3"/>
  <c r="CK302" i="2" l="1"/>
  <c r="CL39" i="4" s="1"/>
  <c r="CL38" i="4" s="1"/>
  <c r="CL42" i="4" s="1"/>
  <c r="BE204" i="2"/>
  <c r="BE217" i="2" s="1"/>
  <c r="BE203" i="2"/>
  <c r="BE198" i="2"/>
  <c r="BW18" i="9"/>
  <c r="BE205" i="2"/>
  <c r="BE218" i="2" s="1"/>
  <c r="BE201" i="2"/>
  <c r="BE214" i="2" s="1"/>
  <c r="BE202" i="2"/>
  <c r="BE228" i="2"/>
  <c r="CC18" i="9"/>
  <c r="BE197" i="2"/>
  <c r="BE227" i="2"/>
  <c r="BE239" i="2" s="1"/>
  <c r="BE225" i="2"/>
  <c r="BY18" i="9"/>
  <c r="BE222" i="2"/>
  <c r="BE226" i="2"/>
  <c r="BE238" i="2" s="1"/>
  <c r="BU18" i="9"/>
  <c r="BE229" i="2"/>
  <c r="BS18" i="9"/>
  <c r="CA18" i="9"/>
  <c r="BE221" i="2"/>
  <c r="CA94" i="9" l="1"/>
  <c r="BS94" i="9"/>
  <c r="CC94" i="9"/>
  <c r="BY94" i="9"/>
  <c r="BW94" i="9"/>
  <c r="BU94" i="9"/>
  <c r="CM39" i="4"/>
  <c r="CM38" i="4" s="1"/>
  <c r="CM42" i="4" s="1"/>
  <c r="BE251" i="2"/>
  <c r="BE250" i="2"/>
  <c r="BE244" i="2"/>
  <c r="BE247" i="2"/>
  <c r="BE216" i="2"/>
  <c r="BE240" i="2"/>
  <c r="BE249" i="2"/>
  <c r="BE237" i="2"/>
  <c r="BE215" i="2"/>
  <c r="BE211" i="2"/>
  <c r="BE234" i="2"/>
  <c r="BT18" i="9"/>
  <c r="BX18" i="9"/>
  <c r="CB18" i="9"/>
  <c r="BE241" i="2"/>
  <c r="BE248" i="2"/>
  <c r="BV18" i="9"/>
  <c r="BE210" i="2"/>
  <c r="BZ18" i="9"/>
  <c r="BE233" i="2"/>
  <c r="BE243" i="2"/>
  <c r="CB94" i="9" l="1"/>
  <c r="BT94" i="9"/>
  <c r="BX94" i="9"/>
  <c r="BV94" i="9"/>
  <c r="BZ94" i="9"/>
  <c r="CN39" i="4"/>
  <c r="CN38" i="4" s="1"/>
  <c r="CN42" i="4" s="1"/>
  <c r="BO195" i="2"/>
  <c r="BO207" i="2"/>
  <c r="AY195" i="2"/>
  <c r="AY207" i="2"/>
  <c r="AV195" i="2"/>
  <c r="AV207" i="2"/>
  <c r="AS207" i="2"/>
  <c r="BP207" i="2"/>
  <c r="BP208" i="2"/>
  <c r="BP195" i="2"/>
  <c r="AT207" i="2"/>
  <c r="AT195" i="2"/>
  <c r="AU207" i="2"/>
  <c r="AU195" i="2"/>
  <c r="AW207" i="2"/>
  <c r="AW195" i="2"/>
  <c r="BA242" i="2"/>
  <c r="BA195" i="2"/>
  <c r="BA207" i="2"/>
  <c r="BA208" i="2"/>
  <c r="BQ207" i="2"/>
  <c r="BQ195" i="2"/>
  <c r="AX207" i="2"/>
  <c r="AX195" i="2"/>
  <c r="BD242" i="2"/>
  <c r="BD207" i="2"/>
  <c r="BD208" i="2"/>
  <c r="BD195" i="2"/>
  <c r="BC242" i="2"/>
  <c r="BC207" i="2"/>
  <c r="BC195" i="2"/>
  <c r="BC208" i="2"/>
  <c r="BN207" i="2"/>
  <c r="BN195" i="2"/>
  <c r="BB242" i="2"/>
  <c r="BB207" i="2"/>
  <c r="BB208" i="2"/>
  <c r="BB195" i="2"/>
  <c r="AS195" i="2"/>
  <c r="BJ13" i="9"/>
  <c r="BO13" i="9"/>
  <c r="BK13" i="9"/>
  <c r="BN208" i="2"/>
  <c r="BH13" i="9"/>
  <c r="BI13" i="9"/>
  <c r="BN13" i="9"/>
  <c r="BQ208" i="2"/>
  <c r="BM13" i="9"/>
  <c r="CB13" i="9"/>
  <c r="CB89" i="9" s="1"/>
  <c r="BO208" i="2"/>
  <c r="BP13" i="9"/>
  <c r="BP89" i="9" s="1"/>
  <c r="BZ13" i="9"/>
  <c r="BZ89" i="9" s="1"/>
  <c r="BF13" i="9"/>
  <c r="BF89" i="9" s="1"/>
  <c r="CA13" i="9"/>
  <c r="CC13" i="9"/>
  <c r="CC3" i="9" s="1"/>
  <c r="BG13" i="9"/>
  <c r="BG12" i="9" s="1"/>
  <c r="BL195" i="2"/>
  <c r="BE13" i="9"/>
  <c r="BE12" i="9" s="1"/>
  <c r="BZ84" i="9" l="1"/>
  <c r="CB84" i="9"/>
  <c r="CA89" i="9"/>
  <c r="CA84" i="9" s="1"/>
  <c r="CA3" i="9"/>
  <c r="CB3" i="9"/>
  <c r="BZ3" i="9"/>
  <c r="CN302" i="2"/>
  <c r="CO39" i="4" s="1"/>
  <c r="CO38" i="4" s="1"/>
  <c r="CO42" i="4" s="1"/>
  <c r="CC89" i="9"/>
  <c r="CC84" i="9" s="1"/>
  <c r="BJ12" i="9"/>
  <c r="BJ88" i="9" s="1"/>
  <c r="BG88" i="9"/>
  <c r="BG19" i="9"/>
  <c r="BG52" i="9" s="1"/>
  <c r="BG75" i="9" s="1"/>
  <c r="BG77" i="9" s="1"/>
  <c r="BJ89" i="9"/>
  <c r="BM89" i="9"/>
  <c r="BM12" i="9"/>
  <c r="BX13" i="9"/>
  <c r="BE88" i="9"/>
  <c r="BE19" i="9"/>
  <c r="AS208" i="2"/>
  <c r="AS242" i="2"/>
  <c r="AT242" i="2"/>
  <c r="AT208" i="2"/>
  <c r="AV242" i="2"/>
  <c r="AV208" i="2"/>
  <c r="AW208" i="2"/>
  <c r="AW242" i="2"/>
  <c r="AU208" i="2"/>
  <c r="AU242" i="2"/>
  <c r="BE89" i="9"/>
  <c r="AY242" i="2"/>
  <c r="AY208" i="2"/>
  <c r="BH12" i="9"/>
  <c r="BH89" i="9"/>
  <c r="BO12" i="9"/>
  <c r="BO89" i="9"/>
  <c r="BP12" i="9"/>
  <c r="BK207" i="2"/>
  <c r="BK195" i="2"/>
  <c r="BK208" i="2"/>
  <c r="AX208" i="2"/>
  <c r="AX242" i="2"/>
  <c r="BG89" i="9"/>
  <c r="BN12" i="9"/>
  <c r="BN89" i="9"/>
  <c r="BL207" i="2"/>
  <c r="BL208" i="2"/>
  <c r="BF12" i="9"/>
  <c r="BW13" i="9"/>
  <c r="BI12" i="9"/>
  <c r="BI89" i="9"/>
  <c r="BK12" i="9"/>
  <c r="BK89" i="9"/>
  <c r="BW89" i="9" l="1"/>
  <c r="BW84" i="9" s="1"/>
  <c r="BW3" i="9"/>
  <c r="BX89" i="9"/>
  <c r="BX84" i="9" s="1"/>
  <c r="BX3" i="9"/>
  <c r="BJ19" i="9"/>
  <c r="BJ52" i="9" s="1"/>
  <c r="CO302" i="2"/>
  <c r="CP39" i="4" s="1"/>
  <c r="CP38" i="4" s="1"/>
  <c r="CP42" i="4" s="1"/>
  <c r="BG95" i="9"/>
  <c r="BG79" i="9"/>
  <c r="BG128" i="9"/>
  <c r="BM88" i="9"/>
  <c r="BM19" i="9"/>
  <c r="BO19" i="9"/>
  <c r="BO88" i="9"/>
  <c r="BJ95" i="9"/>
  <c r="BG195" i="2"/>
  <c r="BG207" i="2"/>
  <c r="BG208" i="2"/>
  <c r="BS13" i="9"/>
  <c r="BH19" i="9"/>
  <c r="BH88" i="9"/>
  <c r="BE95" i="9"/>
  <c r="BE52" i="9"/>
  <c r="BP88" i="9"/>
  <c r="BP19" i="9"/>
  <c r="BN19" i="9"/>
  <c r="BN88" i="9"/>
  <c r="BF88" i="9"/>
  <c r="BF19" i="9"/>
  <c r="BJ195" i="2"/>
  <c r="BJ207" i="2"/>
  <c r="BV13" i="9"/>
  <c r="BJ208" i="2"/>
  <c r="BK88" i="9"/>
  <c r="BK19" i="9"/>
  <c r="BI88" i="9"/>
  <c r="BI19" i="9"/>
  <c r="BV89" i="9" l="1"/>
  <c r="BV84" i="9" s="1"/>
  <c r="BV3" i="9"/>
  <c r="BS89" i="9"/>
  <c r="BS84" i="9" s="1"/>
  <c r="BS3" i="9"/>
  <c r="CQ39" i="4"/>
  <c r="CQ38" i="4" s="1"/>
  <c r="CQ42" i="4" s="1"/>
  <c r="BM95" i="9"/>
  <c r="BM52" i="9"/>
  <c r="BI207" i="2"/>
  <c r="BI195" i="2"/>
  <c r="BI208" i="2"/>
  <c r="BU13" i="9"/>
  <c r="BP95" i="9"/>
  <c r="BP52" i="9"/>
  <c r="BH195" i="2"/>
  <c r="BH207" i="2"/>
  <c r="BH208" i="2"/>
  <c r="BT13" i="9"/>
  <c r="BE128" i="9"/>
  <c r="BE79" i="9"/>
  <c r="BE75" i="9"/>
  <c r="BE77" i="9" s="1"/>
  <c r="BJ75" i="9"/>
  <c r="BJ77" i="9" s="1"/>
  <c r="BJ79" i="9"/>
  <c r="BJ128" i="9"/>
  <c r="BI95" i="9"/>
  <c r="BI52" i="9"/>
  <c r="BF52" i="9"/>
  <c r="BF95" i="9"/>
  <c r="BO52" i="9"/>
  <c r="BO95" i="9"/>
  <c r="BH95" i="9"/>
  <c r="BH52" i="9"/>
  <c r="BK52" i="9"/>
  <c r="BK95" i="9"/>
  <c r="BN95" i="9"/>
  <c r="BN52" i="9"/>
  <c r="BU89" i="9" l="1"/>
  <c r="BU84" i="9" s="1"/>
  <c r="BU3" i="9"/>
  <c r="BT89" i="9"/>
  <c r="BT84" i="9" s="1"/>
  <c r="BT3" i="9"/>
  <c r="BM128" i="9"/>
  <c r="BM75" i="9"/>
  <c r="BM77" i="9" s="1"/>
  <c r="BM79" i="9"/>
  <c r="BI79" i="9"/>
  <c r="BI128" i="9"/>
  <c r="BI75" i="9"/>
  <c r="BI77" i="9" s="1"/>
  <c r="BK75" i="9"/>
  <c r="BK77" i="9" s="1"/>
  <c r="BK79" i="9"/>
  <c r="BK128" i="9"/>
  <c r="BP75" i="9"/>
  <c r="BP77" i="9" s="1"/>
  <c r="BP79" i="9"/>
  <c r="BP128" i="9"/>
  <c r="BN75" i="9"/>
  <c r="BN77" i="9" s="1"/>
  <c r="BN128" i="9"/>
  <c r="BN79" i="9"/>
  <c r="BF75" i="9"/>
  <c r="BF77" i="9" s="1"/>
  <c r="BF128" i="9"/>
  <c r="BF79" i="9"/>
  <c r="BH128" i="9"/>
  <c r="BH79" i="9"/>
  <c r="BH75" i="9"/>
  <c r="BH77" i="9" s="1"/>
  <c r="BO75" i="9"/>
  <c r="BO77" i="9" s="1"/>
  <c r="BO79" i="9"/>
  <c r="BO128" i="9"/>
  <c r="AZ207" i="2" l="1"/>
  <c r="AZ195" i="2"/>
  <c r="AR195" i="2" s="1"/>
  <c r="AR196" i="2"/>
  <c r="AR209" i="2" s="1"/>
  <c r="BL13" i="9"/>
  <c r="BL89" i="9" s="1"/>
  <c r="AR207" i="2" l="1"/>
  <c r="BL12" i="9"/>
  <c r="AR242" i="2"/>
  <c r="AR206" i="2"/>
  <c r="AR208" i="2" s="1"/>
  <c r="AZ242" i="2"/>
  <c r="BD13" i="9"/>
  <c r="AZ208" i="2"/>
  <c r="BD3" i="9" l="1"/>
  <c r="BL88" i="9"/>
  <c r="BL19" i="9"/>
  <c r="BD12" i="9"/>
  <c r="BD89" i="9"/>
  <c r="BM207" i="2"/>
  <c r="BY13" i="9"/>
  <c r="BM208" i="2"/>
  <c r="BM195" i="2"/>
  <c r="BY89" i="9" l="1"/>
  <c r="BY84" i="9" s="1"/>
  <c r="BY3" i="9"/>
  <c r="BL95" i="9"/>
  <c r="BL52" i="9"/>
  <c r="BD19" i="9"/>
  <c r="BD5" i="9"/>
  <c r="BD88" i="9"/>
  <c r="BD4" i="9" l="1"/>
  <c r="BD95" i="9"/>
  <c r="BD52" i="9"/>
  <c r="BL79" i="9"/>
  <c r="BL128" i="9"/>
  <c r="BL75" i="9"/>
  <c r="BL77" i="9" s="1"/>
  <c r="BD7" i="9" l="1"/>
  <c r="BD128" i="9"/>
  <c r="BD75" i="9"/>
  <c r="BD77" i="9" s="1"/>
  <c r="BD6" i="9"/>
  <c r="BD79" i="9"/>
  <c r="BD80" i="9" s="1"/>
  <c r="BP82" i="9" l="1"/>
  <c r="BD81" i="9"/>
  <c r="BD82" i="9" s="1"/>
  <c r="BR30" i="9" l="1"/>
  <c r="BR106" i="9" s="1"/>
  <c r="BH289" i="2" l="1"/>
  <c r="BT30" i="9" s="1"/>
  <c r="BT106" i="9" s="1"/>
  <c r="BG289" i="2"/>
  <c r="BS30" i="9" s="1"/>
  <c r="BS106" i="9" s="1"/>
  <c r="BI289" i="2" l="1"/>
  <c r="BU30" i="9" s="1"/>
  <c r="BU106" i="9" s="1"/>
  <c r="BJ289" i="2" l="1"/>
  <c r="BV30" i="9" s="1"/>
  <c r="BK289" i="2"/>
  <c r="BW30" i="9" s="1"/>
  <c r="BW106" i="9" s="1"/>
  <c r="BV106" i="9" l="1"/>
  <c r="BL289" i="2"/>
  <c r="BX30" i="9" s="1"/>
  <c r="BX106" i="9" s="1"/>
  <c r="BN289" i="2" l="1"/>
  <c r="BZ30" i="9" s="1"/>
  <c r="BZ106" i="9" s="1"/>
  <c r="BM289" i="2"/>
  <c r="BY30" i="9" s="1"/>
  <c r="BY106" i="9" s="1"/>
  <c r="BO289" i="2" l="1"/>
  <c r="CA30" i="9" s="1"/>
  <c r="CA106" i="9" s="1"/>
  <c r="BP289" i="2" l="1"/>
  <c r="CB30" i="9" s="1"/>
  <c r="CB106" i="9" s="1"/>
  <c r="BQ289" i="2" l="1"/>
  <c r="CC30" i="9" s="1"/>
  <c r="CC106" i="9" s="1"/>
  <c r="BE291" i="2"/>
  <c r="BE293" i="2" s="1"/>
  <c r="BE289" i="2" l="1"/>
  <c r="BQ30" i="9" l="1"/>
  <c r="DJ30" i="9" s="1"/>
  <c r="DG30" i="9" l="1"/>
  <c r="BQ106" i="9"/>
  <c r="DG106" i="9" l="1"/>
  <c r="BP111" i="2"/>
  <c r="BH111" i="2"/>
  <c r="BJ111" i="2"/>
  <c r="BL111" i="2"/>
  <c r="BN111" i="2"/>
  <c r="BF111" i="2"/>
  <c r="BJ106" i="2"/>
  <c r="CB92" i="9"/>
  <c r="BN106" i="2"/>
  <c r="BZ92" i="9"/>
  <c r="BE121" i="2"/>
  <c r="BY92" i="9" l="1"/>
  <c r="BX92" i="9"/>
  <c r="BT92" i="9"/>
  <c r="BW92" i="9"/>
  <c r="BW14" i="9"/>
  <c r="BV14" i="9"/>
  <c r="BV92" i="9"/>
  <c r="CC92" i="9"/>
  <c r="BX14" i="9"/>
  <c r="BT14" i="9"/>
  <c r="BZ14" i="9"/>
  <c r="BL106" i="2"/>
  <c r="BP106" i="2"/>
  <c r="CA92" i="9"/>
  <c r="BH106" i="2"/>
  <c r="BU92" i="9" l="1"/>
  <c r="BS92" i="9"/>
  <c r="BW12" i="9"/>
  <c r="BW90" i="9"/>
  <c r="BZ12" i="9"/>
  <c r="BZ90" i="9"/>
  <c r="BT12" i="9"/>
  <c r="BT90" i="9"/>
  <c r="BX12" i="9"/>
  <c r="BX90" i="9"/>
  <c r="BV12" i="9"/>
  <c r="BV90" i="9"/>
  <c r="CC14" i="9"/>
  <c r="CC12" i="9" l="1"/>
  <c r="CC90" i="9"/>
  <c r="BV19" i="9"/>
  <c r="BV95" i="9" s="1"/>
  <c r="BV88" i="9"/>
  <c r="BZ19" i="9"/>
  <c r="BZ95" i="9" s="1"/>
  <c r="BZ88" i="9"/>
  <c r="BX19" i="9"/>
  <c r="BX95" i="9" s="1"/>
  <c r="BX88" i="9"/>
  <c r="BW19" i="9"/>
  <c r="BW95" i="9" s="1"/>
  <c r="BW88" i="9"/>
  <c r="BT19" i="9"/>
  <c r="BT95" i="9" s="1"/>
  <c r="BT88" i="9"/>
  <c r="CC19" i="9" l="1"/>
  <c r="CC95" i="9" s="1"/>
  <c r="CC88" i="9"/>
  <c r="BO111" i="2"/>
  <c r="BI111" i="2"/>
  <c r="BM111" i="2"/>
  <c r="BM40" i="2"/>
  <c r="BM106" i="2" s="1"/>
  <c r="BQ111" i="2"/>
  <c r="BQ40" i="2"/>
  <c r="BQ106" i="2" s="1"/>
  <c r="BK111" i="2"/>
  <c r="BO40" i="2"/>
  <c r="BO106" i="2" s="1"/>
  <c r="BI40" i="2"/>
  <c r="BI106" i="2" s="1"/>
  <c r="BK40" i="2"/>
  <c r="BK106" i="2" s="1"/>
  <c r="BG111" i="2"/>
  <c r="BE111" i="2" s="1"/>
  <c r="BG40" i="2"/>
  <c r="BG106" i="2" s="1"/>
  <c r="BE40" i="2" l="1"/>
  <c r="BE116" i="2"/>
  <c r="BE125" i="2"/>
  <c r="D21" i="24" l="1"/>
  <c r="BQ16" i="9"/>
  <c r="DJ16" i="9" s="1"/>
  <c r="BR92" i="9"/>
  <c r="BF106" i="2"/>
  <c r="BE106" i="2" s="1"/>
  <c r="DG16" i="9" l="1"/>
  <c r="D20" i="24"/>
  <c r="BQ92" i="9"/>
  <c r="DG92" i="9" s="1"/>
  <c r="BE196" i="2" l="1"/>
  <c r="BE209" i="2" s="1"/>
  <c r="BF195" i="2"/>
  <c r="BE195" i="2" s="1"/>
  <c r="BF206" i="2"/>
  <c r="BR13" i="9"/>
  <c r="BQ13" i="9" l="1"/>
  <c r="DJ13" i="9" s="1"/>
  <c r="BR89" i="9"/>
  <c r="BE206" i="2"/>
  <c r="BF208" i="2"/>
  <c r="BE207" i="2"/>
  <c r="DG13" i="9" l="1"/>
  <c r="D16" i="24"/>
  <c r="BE208" i="2"/>
  <c r="BQ89" i="9"/>
  <c r="DG89" i="9" s="1"/>
  <c r="BE220" i="2" l="1"/>
  <c r="BF230" i="2"/>
  <c r="BR18" i="9"/>
  <c r="BR3" i="9" s="1"/>
  <c r="BE232" i="2" l="1"/>
  <c r="BE231" i="2"/>
  <c r="BE242" i="2"/>
  <c r="BR94" i="9"/>
  <c r="BR84" i="9" s="1"/>
  <c r="BE230" i="2"/>
  <c r="BF242" i="2"/>
  <c r="BQ18" i="9"/>
  <c r="DJ18" i="9" s="1"/>
  <c r="DG18" i="9" l="1"/>
  <c r="BQ9" i="9"/>
  <c r="BQ3" i="9"/>
  <c r="BQ94" i="9"/>
  <c r="BQ84" i="9" l="1"/>
  <c r="DG94" i="9"/>
  <c r="BF267" i="2"/>
  <c r="BF266" i="2"/>
  <c r="BF255" i="2" s="1"/>
  <c r="BF268" i="2" s="1"/>
  <c r="BR15" i="9"/>
  <c r="BR91" i="9" s="1"/>
  <c r="BR14" i="9" l="1"/>
  <c r="BR90" i="9" s="1"/>
  <c r="BR12" i="9" l="1"/>
  <c r="BR19" i="9" l="1"/>
  <c r="BR95" i="9" s="1"/>
  <c r="BR88" i="9"/>
  <c r="BF282" i="2" l="1"/>
  <c r="BR29" i="9" s="1"/>
  <c r="BR28" i="9" l="1"/>
  <c r="BR104" i="9" s="1"/>
  <c r="BR105" i="9"/>
  <c r="BH282" i="2"/>
  <c r="BT29" i="9" s="1"/>
  <c r="BT105" i="9" s="1"/>
  <c r="BG282" i="2"/>
  <c r="BT28" i="9" l="1"/>
  <c r="BT104" i="9" s="1"/>
  <c r="BS29" i="9"/>
  <c r="BS105" i="9" s="1"/>
  <c r="BI282" i="2"/>
  <c r="BU29" i="9" s="1"/>
  <c r="BU105" i="9" s="1"/>
  <c r="BJ282" i="2" l="1"/>
  <c r="BV29" i="9" s="1"/>
  <c r="BV105" i="9" s="1"/>
  <c r="BU28" i="9"/>
  <c r="BU104" i="9" s="1"/>
  <c r="BS28" i="9"/>
  <c r="BS104" i="9" s="1"/>
  <c r="BV28" i="9" l="1"/>
  <c r="BV104" i="9" l="1"/>
  <c r="BK282" i="2"/>
  <c r="BL282" i="2"/>
  <c r="BX29" i="9" s="1"/>
  <c r="BX105" i="9" s="1"/>
  <c r="BX28" i="9" l="1"/>
  <c r="BX104" i="9" s="1"/>
  <c r="BW29" i="9"/>
  <c r="BW105" i="9" s="1"/>
  <c r="BW28" i="9" l="1"/>
  <c r="BM282" i="2"/>
  <c r="BY29" i="9" s="1"/>
  <c r="BY105" i="9" s="1"/>
  <c r="BN282" i="2"/>
  <c r="BZ29" i="9" s="1"/>
  <c r="BZ105" i="9" s="1"/>
  <c r="BW104" i="9" l="1"/>
  <c r="BY28" i="9"/>
  <c r="BY104" i="9" s="1"/>
  <c r="BZ28" i="9"/>
  <c r="BZ104" i="9" s="1"/>
  <c r="BO282" i="2"/>
  <c r="CA29" i="9" s="1"/>
  <c r="CA105" i="9" s="1"/>
  <c r="BP282" i="2" l="1"/>
  <c r="CB29" i="9" s="1"/>
  <c r="CB105" i="9" s="1"/>
  <c r="CA28" i="9"/>
  <c r="CA104" i="9" s="1"/>
  <c r="BE284" i="2" l="1"/>
  <c r="BE286" i="2" s="1"/>
  <c r="CB28" i="9"/>
  <c r="CB104" i="9" s="1"/>
  <c r="CC29" i="9" l="1"/>
  <c r="CC105" i="9" s="1"/>
  <c r="BE282" i="2"/>
  <c r="CC28" i="9" l="1"/>
  <c r="CC104" i="9" s="1"/>
  <c r="BQ29" i="9"/>
  <c r="DJ29" i="9" s="1"/>
  <c r="DG29" i="9" l="1"/>
  <c r="BQ105" i="9"/>
  <c r="BQ28" i="9"/>
  <c r="DJ28" i="9" s="1"/>
  <c r="D27" i="24" l="1"/>
  <c r="DG28" i="9"/>
  <c r="DG105" i="9"/>
  <c r="BQ104" i="9"/>
  <c r="DG104" i="9" l="1"/>
  <c r="BE302" i="2"/>
  <c r="BF303" i="2"/>
  <c r="BE303" i="2" s="1"/>
  <c r="BG39" i="4"/>
  <c r="BF39" i="4" s="1"/>
  <c r="BE306" i="2" l="1"/>
  <c r="BE308" i="2" s="1"/>
  <c r="BI23" i="10"/>
  <c r="BI20" i="10" s="1"/>
  <c r="BU40" i="9" s="1"/>
  <c r="BU116" i="9" s="1"/>
  <c r="BG23" i="10"/>
  <c r="BG20" i="10" s="1"/>
  <c r="BS40" i="9" s="1"/>
  <c r="BS116" i="9" s="1"/>
  <c r="BJ23" i="10"/>
  <c r="BJ20" i="10" s="1"/>
  <c r="BV40" i="9" s="1"/>
  <c r="BV116" i="9" s="1"/>
  <c r="BM23" i="10"/>
  <c r="BM20" i="10" s="1"/>
  <c r="BY40" i="9" s="1"/>
  <c r="BY116" i="9" s="1"/>
  <c r="BO23" i="10"/>
  <c r="BO20" i="10" s="1"/>
  <c r="CA40" i="9" s="1"/>
  <c r="CA116" i="9" s="1"/>
  <c r="BP23" i="10"/>
  <c r="BP20" i="10" s="1"/>
  <c r="CB40" i="9" s="1"/>
  <c r="CB116" i="9" s="1"/>
  <c r="BL23" i="10"/>
  <c r="BL20" i="10" s="1"/>
  <c r="BX40" i="9" s="1"/>
  <c r="BX116" i="9" s="1"/>
  <c r="BQ23" i="10"/>
  <c r="BQ20" i="10" s="1"/>
  <c r="CC40" i="9" s="1"/>
  <c r="CC116" i="9" s="1"/>
  <c r="BN23" i="10"/>
  <c r="BN20" i="10" s="1"/>
  <c r="BZ40" i="9" s="1"/>
  <c r="BZ116" i="9" s="1"/>
  <c r="BK23" i="10"/>
  <c r="BK20" i="10" s="1"/>
  <c r="BW40" i="9" s="1"/>
  <c r="BW116" i="9" s="1"/>
  <c r="BH23" i="10"/>
  <c r="BH20" i="10" s="1"/>
  <c r="BT40" i="9" s="1"/>
  <c r="BF308" i="2"/>
  <c r="BF23" i="10"/>
  <c r="BE23" i="10" l="1"/>
  <c r="BE20" i="10" s="1"/>
  <c r="BT116" i="9"/>
  <c r="BF20" i="10"/>
  <c r="BR40" i="9" s="1"/>
  <c r="BR116" i="9" s="1"/>
  <c r="BQ40" i="9" l="1"/>
  <c r="DJ40" i="9" s="1"/>
  <c r="DG40" i="9" l="1"/>
  <c r="BQ116" i="9"/>
  <c r="BF82" i="3" l="1"/>
  <c r="BF68" i="3"/>
  <c r="BF83" i="3" s="1"/>
  <c r="BG40" i="4"/>
  <c r="BG38" i="4" l="1"/>
  <c r="BG42" i="4" l="1"/>
  <c r="BQ82" i="3" l="1"/>
  <c r="BL82" i="3"/>
  <c r="BG82" i="3"/>
  <c r="BI82" i="3"/>
  <c r="BJ82" i="3"/>
  <c r="BN82" i="3"/>
  <c r="BP82" i="3"/>
  <c r="BH82" i="3"/>
  <c r="BK82" i="3"/>
  <c r="BM82" i="3"/>
  <c r="BE66" i="3"/>
  <c r="BE82" i="3" s="1"/>
  <c r="BO82" i="3"/>
  <c r="BP68" i="3"/>
  <c r="BP83" i="3" s="1"/>
  <c r="BQ40" i="4"/>
  <c r="BQ38" i="4" s="1"/>
  <c r="BQ43" i="4" s="1"/>
  <c r="BQ44" i="4" s="1"/>
  <c r="BJ68" i="3"/>
  <c r="BJ83" i="3" s="1"/>
  <c r="BK40" i="4"/>
  <c r="BK38" i="4" s="1"/>
  <c r="BK43" i="4" s="1"/>
  <c r="BK44" i="4" s="1"/>
  <c r="BO68" i="3"/>
  <c r="BO83" i="3" s="1"/>
  <c r="BP40" i="4"/>
  <c r="BP38" i="4" s="1"/>
  <c r="BQ68" i="3"/>
  <c r="BQ83" i="3" s="1"/>
  <c r="BR40" i="4"/>
  <c r="BR38" i="4" s="1"/>
  <c r="BR43" i="4" s="1"/>
  <c r="BR44" i="4" s="1"/>
  <c r="BI68" i="3"/>
  <c r="BI83" i="3" s="1"/>
  <c r="BJ40" i="4"/>
  <c r="BJ38" i="4" s="1"/>
  <c r="BJ43" i="4" s="1"/>
  <c r="BJ44" i="4" s="1"/>
  <c r="BL68" i="3"/>
  <c r="BL83" i="3" s="1"/>
  <c r="BM40" i="4"/>
  <c r="BM38" i="4" s="1"/>
  <c r="BK68" i="3"/>
  <c r="BK83" i="3" s="1"/>
  <c r="BL40" i="4"/>
  <c r="BL38" i="4" s="1"/>
  <c r="BL43" i="4" s="1"/>
  <c r="BL44" i="4" s="1"/>
  <c r="BH68" i="3"/>
  <c r="BH83" i="3" s="1"/>
  <c r="BI40" i="4"/>
  <c r="BI38" i="4" s="1"/>
  <c r="BM68" i="3"/>
  <c r="BM83" i="3" s="1"/>
  <c r="BN40" i="4"/>
  <c r="BN38" i="4" s="1"/>
  <c r="BG68" i="3"/>
  <c r="BG83" i="3" s="1"/>
  <c r="BH40" i="4"/>
  <c r="BH38" i="4" s="1"/>
  <c r="BN68" i="3"/>
  <c r="BN83" i="3" s="1"/>
  <c r="BO40" i="4"/>
  <c r="BO38" i="4" s="1"/>
  <c r="BO43" i="4" s="1"/>
  <c r="BO44" i="4" s="1"/>
  <c r="BY27" i="9" l="1"/>
  <c r="BY103" i="9" s="1"/>
  <c r="BN43" i="4"/>
  <c r="BN44" i="4" s="1"/>
  <c r="BP42" i="4"/>
  <c r="BP43" i="4"/>
  <c r="BP44" i="4" s="1"/>
  <c r="BI42" i="4"/>
  <c r="BI43" i="4"/>
  <c r="BI44" i="4" s="1"/>
  <c r="BM42" i="4"/>
  <c r="BM43" i="4"/>
  <c r="BM44" i="4" s="1"/>
  <c r="BH42" i="4"/>
  <c r="BH43" i="4"/>
  <c r="BH44" i="4" s="1"/>
  <c r="BF40" i="4"/>
  <c r="CC27" i="9"/>
  <c r="CC103" i="9" s="1"/>
  <c r="BR42" i="4"/>
  <c r="CB27" i="9"/>
  <c r="CB103" i="9" s="1"/>
  <c r="BQ42" i="4"/>
  <c r="BU27" i="9"/>
  <c r="BU103" i="9" s="1"/>
  <c r="BJ42" i="4"/>
  <c r="BL42" i="4"/>
  <c r="BW27" i="9"/>
  <c r="BW103" i="9" s="1"/>
  <c r="BY21" i="9"/>
  <c r="BO42" i="4"/>
  <c r="BZ27" i="9"/>
  <c r="BZ103" i="9" s="1"/>
  <c r="BV27" i="9"/>
  <c r="BV103" i="9" s="1"/>
  <c r="BK42" i="4"/>
  <c r="CA27" i="9"/>
  <c r="CA103" i="9" s="1"/>
  <c r="BF38" i="4"/>
  <c r="BE68" i="3"/>
  <c r="BE83" i="3" s="1"/>
  <c r="BT27" i="9"/>
  <c r="BT103" i="9" s="1"/>
  <c r="BX27" i="9"/>
  <c r="BX103" i="9" s="1"/>
  <c r="BN42" i="4"/>
  <c r="BS27" i="9"/>
  <c r="BS103" i="9" s="1"/>
  <c r="BY97" i="9" l="1"/>
  <c r="BF42" i="4"/>
  <c r="BZ21" i="9"/>
  <c r="BS21" i="9"/>
  <c r="BX21" i="9"/>
  <c r="CB21" i="9"/>
  <c r="BV21" i="9"/>
  <c r="CA21" i="9"/>
  <c r="BU21" i="9"/>
  <c r="BT21" i="9"/>
  <c r="BW21" i="9"/>
  <c r="CC21" i="9"/>
  <c r="CB97" i="9" l="1"/>
  <c r="BW97" i="9"/>
  <c r="CC97" i="9"/>
  <c r="BT97" i="9"/>
  <c r="BS97" i="9"/>
  <c r="BZ97" i="9"/>
  <c r="BX97" i="9"/>
  <c r="BU97" i="9"/>
  <c r="CA97" i="9"/>
  <c r="BV97" i="9"/>
  <c r="BQ76" i="9" l="1"/>
  <c r="BF30" i="4" l="1"/>
  <c r="BG28" i="4"/>
  <c r="BG24" i="4" s="1"/>
  <c r="BF24" i="4" s="1"/>
  <c r="BG26" i="4"/>
  <c r="BF26" i="4" s="1"/>
  <c r="BR23" i="9"/>
  <c r="BQ23" i="9" s="1"/>
  <c r="BF29" i="4"/>
  <c r="BG25" i="4"/>
  <c r="BF25" i="4" s="1"/>
  <c r="BR22" i="9"/>
  <c r="DG23" i="9" l="1"/>
  <c r="DJ23" i="9"/>
  <c r="BF28" i="4"/>
  <c r="BF2" i="4" s="1"/>
  <c r="BQ99" i="9"/>
  <c r="DG99" i="9" s="1"/>
  <c r="BR99" i="9"/>
  <c r="BR98" i="9"/>
  <c r="BG35" i="4"/>
  <c r="BQ22" i="9"/>
  <c r="DG22" i="9" l="1"/>
  <c r="DJ22" i="9"/>
  <c r="BF35" i="4"/>
  <c r="BQ98" i="9"/>
  <c r="DG98" i="9" s="1"/>
  <c r="BG43" i="4" l="1"/>
  <c r="BR27" i="9"/>
  <c r="BR103" i="9" s="1"/>
  <c r="BR21" i="9" l="1"/>
  <c r="BR97" i="9" s="1"/>
  <c r="BG44" i="4"/>
  <c r="BQ27" i="9"/>
  <c r="DG27" i="9" l="1"/>
  <c r="DJ27" i="9"/>
  <c r="BQ103" i="9"/>
  <c r="DG103" i="9" s="1"/>
  <c r="BQ21" i="9"/>
  <c r="DJ21" i="9" s="1"/>
  <c r="DG21" i="9" l="1"/>
  <c r="D23" i="24"/>
  <c r="BQ97" i="9"/>
  <c r="DG97" i="9" s="1"/>
  <c r="BE32" i="5" l="1"/>
  <c r="BE33" i="5" s="1"/>
  <c r="CB34" i="9"/>
  <c r="CB110" i="9" s="1"/>
  <c r="BW34" i="9"/>
  <c r="BW110" i="9" s="1"/>
  <c r="BV34" i="9"/>
  <c r="BV32" i="9" s="1"/>
  <c r="BU34" i="9"/>
  <c r="BU110" i="9" s="1"/>
  <c r="BS34" i="9"/>
  <c r="BS110" i="9" s="1"/>
  <c r="BZ34" i="9"/>
  <c r="BZ32" i="9" s="1"/>
  <c r="BT34" i="9"/>
  <c r="BT110" i="9" s="1"/>
  <c r="CC34" i="9"/>
  <c r="CC110" i="9" s="1"/>
  <c r="BX34" i="9"/>
  <c r="BX110" i="9" s="1"/>
  <c r="CA34" i="9"/>
  <c r="CA110" i="9" s="1"/>
  <c r="BR34" i="9"/>
  <c r="BF33" i="5"/>
  <c r="BY34" i="9"/>
  <c r="BY110" i="9" s="1"/>
  <c r="CA32" i="9" l="1"/>
  <c r="CA108" i="9" s="1"/>
  <c r="BW32" i="9"/>
  <c r="BW108" i="9" s="1"/>
  <c r="BU32" i="9"/>
  <c r="BU108" i="9" s="1"/>
  <c r="CB32" i="9"/>
  <c r="CB108" i="9" s="1"/>
  <c r="BT32" i="9"/>
  <c r="BT108" i="9" s="1"/>
  <c r="BQ34" i="9"/>
  <c r="DJ34" i="9" s="1"/>
  <c r="BZ108" i="9"/>
  <c r="BV108" i="9"/>
  <c r="BY32" i="9"/>
  <c r="BS32" i="9"/>
  <c r="BV110" i="9"/>
  <c r="BR110" i="9"/>
  <c r="BZ110" i="9"/>
  <c r="CC32" i="9"/>
  <c r="BR32" i="9"/>
  <c r="BX32" i="9"/>
  <c r="DG34" i="9" l="1"/>
  <c r="BQ110" i="9"/>
  <c r="BS108" i="9"/>
  <c r="BQ32" i="9"/>
  <c r="DJ32" i="9" s="1"/>
  <c r="BR108" i="9"/>
  <c r="CC108" i="9"/>
  <c r="BX108" i="9"/>
  <c r="BY108" i="9"/>
  <c r="D28" i="24" l="1"/>
  <c r="I28" i="24" s="1"/>
  <c r="DG32" i="9"/>
  <c r="DG110" i="9"/>
  <c r="BQ108" i="9"/>
  <c r="DG108" i="9" l="1"/>
  <c r="BF40" i="10"/>
  <c r="BE40" i="10" s="1"/>
  <c r="BE39" i="10" s="1"/>
  <c r="BR46" i="9"/>
  <c r="BR122" i="9" l="1"/>
  <c r="BQ46" i="9"/>
  <c r="DK46" i="9" l="1"/>
  <c r="DJ46" i="9"/>
  <c r="DH46" i="9"/>
  <c r="DG46" i="9"/>
  <c r="BQ122" i="9"/>
  <c r="DH122" i="9" s="1"/>
  <c r="BE46" i="10" l="1"/>
  <c r="BT49" i="9"/>
  <c r="BT125" i="9" s="1"/>
  <c r="BV49" i="9"/>
  <c r="BV125" i="9" s="1"/>
  <c r="BZ49" i="9"/>
  <c r="BZ125" i="9" s="1"/>
  <c r="BN47" i="10"/>
  <c r="BP47" i="10"/>
  <c r="CB49" i="9"/>
  <c r="CB38" i="9" s="1"/>
  <c r="BM47" i="10"/>
  <c r="BY49" i="9"/>
  <c r="BY125" i="9" s="1"/>
  <c r="BK47" i="10"/>
  <c r="BW49" i="9"/>
  <c r="BW125" i="9" s="1"/>
  <c r="BS49" i="9"/>
  <c r="BS125" i="9" s="1"/>
  <c r="BQ47" i="10"/>
  <c r="CC49" i="9"/>
  <c r="CC125" i="9" s="1"/>
  <c r="BO47" i="10"/>
  <c r="CA49" i="9"/>
  <c r="CA38" i="9" s="1"/>
  <c r="BH47" i="10"/>
  <c r="BI47" i="10"/>
  <c r="BU49" i="9"/>
  <c r="BU38" i="9" s="1"/>
  <c r="BG47" i="10"/>
  <c r="BL47" i="10"/>
  <c r="BX49" i="9"/>
  <c r="BX125" i="9" s="1"/>
  <c r="BJ47" i="10"/>
  <c r="BF47" i="10"/>
  <c r="BR49" i="9"/>
  <c r="BR38" i="9" s="1"/>
  <c r="BY38" i="9" l="1"/>
  <c r="BY114" i="9" s="1"/>
  <c r="BX38" i="9"/>
  <c r="BX20" i="9" s="1"/>
  <c r="BZ38" i="9"/>
  <c r="BZ20" i="9" s="1"/>
  <c r="BZ96" i="9" s="1"/>
  <c r="BW38" i="9"/>
  <c r="BW20" i="9" s="1"/>
  <c r="BV38" i="9"/>
  <c r="BV114" i="9" s="1"/>
  <c r="BT38" i="9"/>
  <c r="BT20" i="9" s="1"/>
  <c r="BT52" i="9" s="1"/>
  <c r="BE47" i="10"/>
  <c r="BQ49" i="9"/>
  <c r="DJ49" i="9" s="1"/>
  <c r="BY20" i="9"/>
  <c r="CA114" i="9"/>
  <c r="CA20" i="9"/>
  <c r="CB20" i="9"/>
  <c r="CB114" i="9"/>
  <c r="BU20" i="9"/>
  <c r="BU114" i="9"/>
  <c r="BR20" i="9"/>
  <c r="BR114" i="9"/>
  <c r="BR125" i="9"/>
  <c r="BX114" i="9"/>
  <c r="BS38" i="9"/>
  <c r="CB125" i="9"/>
  <c r="BU125" i="9"/>
  <c r="CA125" i="9"/>
  <c r="BW114" i="9"/>
  <c r="CC38" i="9"/>
  <c r="BX96" i="9" l="1"/>
  <c r="BX52" i="9"/>
  <c r="BZ114" i="9"/>
  <c r="DG49" i="9"/>
  <c r="BZ52" i="9"/>
  <c r="BZ128" i="9" s="1"/>
  <c r="BQ38" i="9"/>
  <c r="DJ38" i="9" s="1"/>
  <c r="BY96" i="9"/>
  <c r="BW96" i="9"/>
  <c r="BW52" i="9"/>
  <c r="BV20" i="9"/>
  <c r="BQ125" i="9"/>
  <c r="BT96" i="9"/>
  <c r="BT114" i="9"/>
  <c r="BT79" i="9"/>
  <c r="BT75" i="9"/>
  <c r="BT77" i="9" s="1"/>
  <c r="BT128" i="9"/>
  <c r="BU96" i="9"/>
  <c r="CB96" i="9"/>
  <c r="BS114" i="9"/>
  <c r="BS20" i="9"/>
  <c r="CA96" i="9"/>
  <c r="BR52" i="9"/>
  <c r="BR96" i="9"/>
  <c r="CC20" i="9"/>
  <c r="CC114" i="9"/>
  <c r="BX79" i="9" l="1"/>
  <c r="BX75" i="9"/>
  <c r="BX128" i="9"/>
  <c r="BZ75" i="9"/>
  <c r="BZ77" i="9" s="1"/>
  <c r="D30" i="24"/>
  <c r="BQ20" i="9"/>
  <c r="DJ20" i="9" s="1"/>
  <c r="DG38" i="9"/>
  <c r="BZ79" i="9"/>
  <c r="BQ114" i="9"/>
  <c r="DG114" i="9" s="1"/>
  <c r="BV96" i="9"/>
  <c r="BV52" i="9"/>
  <c r="BV79" i="9" s="1"/>
  <c r="BX77" i="9"/>
  <c r="BW128" i="9"/>
  <c r="BW75" i="9"/>
  <c r="BW77" i="9" s="1"/>
  <c r="BW79" i="9"/>
  <c r="BR128" i="9"/>
  <c r="BR79" i="9"/>
  <c r="BR75" i="9"/>
  <c r="BR77" i="9" s="1"/>
  <c r="BS96" i="9"/>
  <c r="CC96" i="9"/>
  <c r="CC52" i="9"/>
  <c r="BQ96" i="9" l="1"/>
  <c r="DG96" i="9" s="1"/>
  <c r="DG20" i="9"/>
  <c r="BV128" i="9"/>
  <c r="BV75" i="9"/>
  <c r="BV77" i="9" s="1"/>
  <c r="CC128" i="9"/>
  <c r="CC79" i="9"/>
  <c r="CC75" i="9"/>
  <c r="CC77" i="9" s="1"/>
  <c r="BG267" i="2"/>
  <c r="BG266" i="2"/>
  <c r="BG255" i="2" s="1"/>
  <c r="BG268" i="2" s="1"/>
  <c r="BS15" i="9"/>
  <c r="BS14" i="9" s="1"/>
  <c r="BS12" i="9" l="1"/>
  <c r="BS90" i="9"/>
  <c r="BS91" i="9"/>
  <c r="BS88" i="9" l="1"/>
  <c r="BS19" i="9"/>
  <c r="BS95" i="9" l="1"/>
  <c r="BS52" i="9"/>
  <c r="C7" i="30" s="1"/>
  <c r="BS79" i="9" l="1"/>
  <c r="BS128" i="9"/>
  <c r="BS75" i="9"/>
  <c r="BS77" i="9" s="1"/>
  <c r="BF43" i="4" l="1"/>
  <c r="BF37" i="4" s="1"/>
  <c r="BF44" i="4"/>
  <c r="BU15" i="9" l="1"/>
  <c r="BI266" i="2"/>
  <c r="BI255" i="2" s="1"/>
  <c r="BI268" i="2" s="1"/>
  <c r="BI267" i="2"/>
  <c r="BU14" i="9" l="1"/>
  <c r="BU91" i="9"/>
  <c r="BU12" i="9" l="1"/>
  <c r="BU88" i="9" s="1"/>
  <c r="BU90" i="9"/>
  <c r="BU19" i="9" l="1"/>
  <c r="BU52" i="9" l="1"/>
  <c r="BU95" i="9"/>
  <c r="BU75" i="9" l="1"/>
  <c r="BU77" i="9" s="1"/>
  <c r="D7" i="30"/>
  <c r="C8" i="30" s="1"/>
  <c r="BU128" i="9"/>
  <c r="BU79" i="9"/>
  <c r="BY15" i="9"/>
  <c r="BM266" i="2"/>
  <c r="BM255" i="2" s="1"/>
  <c r="BM268" i="2" s="1"/>
  <c r="BM267" i="2"/>
  <c r="BY91" i="9" l="1"/>
  <c r="BY14" i="9"/>
  <c r="BY12" i="9" l="1"/>
  <c r="BY90" i="9"/>
  <c r="BY88" i="9" l="1"/>
  <c r="BY19" i="9"/>
  <c r="BY95" i="9" l="1"/>
  <c r="BY52" i="9"/>
  <c r="E7" i="30" s="1"/>
  <c r="BY75" i="9" l="1"/>
  <c r="BY77" i="9" s="1"/>
  <c r="BY128" i="9"/>
  <c r="BY79" i="9"/>
  <c r="CA15" i="9" l="1"/>
  <c r="CA91" i="9" s="1"/>
  <c r="BO266" i="2"/>
  <c r="BO255" i="2" s="1"/>
  <c r="BO268" i="2" s="1"/>
  <c r="BO267" i="2"/>
  <c r="CA14" i="9" l="1"/>
  <c r="CA90" i="9" s="1"/>
  <c r="CA12" i="9" l="1"/>
  <c r="CA19" i="9" s="1"/>
  <c r="CA88" i="9" l="1"/>
  <c r="CA52" i="9"/>
  <c r="CA95" i="9"/>
  <c r="CA128" i="9" l="1"/>
  <c r="CA75" i="9"/>
  <c r="CA77" i="9" s="1"/>
  <c r="CA79" i="9"/>
  <c r="BE253" i="2" l="1"/>
  <c r="BE267" i="2" s="1"/>
  <c r="CB15" i="9"/>
  <c r="BQ15" i="9" s="1"/>
  <c r="DJ15" i="9" s="1"/>
  <c r="BP266" i="2"/>
  <c r="BP267" i="2"/>
  <c r="D18" i="24" l="1"/>
  <c r="DG15" i="9"/>
  <c r="BE266" i="2"/>
  <c r="BE255" i="2" s="1"/>
  <c r="BE268" i="2" s="1"/>
  <c r="BP255" i="2"/>
  <c r="BP268" i="2" s="1"/>
  <c r="BQ91" i="9"/>
  <c r="CB91" i="9"/>
  <c r="CB14" i="9"/>
  <c r="D19" i="24" l="1"/>
  <c r="DG91" i="9"/>
  <c r="BQ14" i="9"/>
  <c r="DJ14" i="9" s="1"/>
  <c r="CB12" i="9"/>
  <c r="CB90" i="9"/>
  <c r="DG14" i="9" l="1"/>
  <c r="D17" i="24"/>
  <c r="BQ90" i="9"/>
  <c r="DG90" i="9" s="1"/>
  <c r="BQ12" i="9"/>
  <c r="DJ12" i="9" s="1"/>
  <c r="CB19" i="9"/>
  <c r="CB88" i="9"/>
  <c r="DG12" i="9" l="1"/>
  <c r="D12" i="24"/>
  <c r="BQ5" i="9"/>
  <c r="BQ88" i="9"/>
  <c r="DG88" i="9" s="1"/>
  <c r="CB52" i="9"/>
  <c r="BQ19" i="9"/>
  <c r="DJ19" i="9" s="1"/>
  <c r="CB95" i="9"/>
  <c r="BQ52" i="9" l="1"/>
  <c r="DJ52" i="9" s="1"/>
  <c r="F7" i="30"/>
  <c r="E8" i="30" s="1"/>
  <c r="D13" i="24"/>
  <c r="BQ4" i="9"/>
  <c r="DG19" i="9"/>
  <c r="CB79" i="9"/>
  <c r="CB75" i="9"/>
  <c r="CB77" i="9" s="1"/>
  <c r="CB128" i="9"/>
  <c r="BQ95" i="9"/>
  <c r="DG95" i="9" s="1"/>
  <c r="C9" i="30" l="1"/>
  <c r="BQ6" i="9"/>
  <c r="BQ7" i="9"/>
  <c r="BQ79" i="9"/>
  <c r="BQ128" i="9"/>
  <c r="BQ75" i="9"/>
  <c r="C10" i="30" l="1"/>
  <c r="D10" i="30"/>
  <c r="E10" i="30"/>
  <c r="F10" i="30"/>
  <c r="DG128" i="9"/>
  <c r="D14" i="24"/>
  <c r="CC82" i="9"/>
  <c r="BQ77" i="9"/>
  <c r="BQ80" i="9"/>
  <c r="BQ81" i="9"/>
  <c r="BQ82" i="9" s="1"/>
  <c r="BR228" i="2" l="1"/>
  <c r="BR225" i="2"/>
  <c r="BR247" i="2" l="1"/>
  <c r="BR237" i="2"/>
  <c r="BR250" i="2"/>
  <c r="BR240" i="2"/>
  <c r="BR227" i="2"/>
  <c r="BR226" i="2"/>
  <c r="BR248" i="2" l="1"/>
  <c r="BR238" i="2"/>
  <c r="BR249" i="2"/>
  <c r="BR239" i="2"/>
  <c r="BR229" i="2"/>
  <c r="BR241" i="2" l="1"/>
  <c r="BR251" i="2"/>
  <c r="BR49" i="2" l="1"/>
  <c r="BS195" i="2" l="1"/>
  <c r="BS207" i="2"/>
  <c r="BS206" i="2"/>
  <c r="BS208" i="2" l="1"/>
  <c r="CE12" i="9"/>
  <c r="CE88" i="9" s="1"/>
  <c r="CL13" i="9" l="1"/>
  <c r="BZ208" i="2"/>
  <c r="BZ195" i="2"/>
  <c r="BZ207" i="2"/>
  <c r="CE19" i="9"/>
  <c r="CE95" i="9" s="1"/>
  <c r="CM13" i="9" l="1"/>
  <c r="CA207" i="2"/>
  <c r="CA208" i="2"/>
  <c r="CA195" i="2"/>
  <c r="BS230" i="2"/>
  <c r="CN13" i="9" l="1"/>
  <c r="CB208" i="2"/>
  <c r="CB207" i="2"/>
  <c r="CB195" i="2"/>
  <c r="BS242" i="2"/>
  <c r="BS266" i="2"/>
  <c r="BS267" i="2"/>
  <c r="BS125" i="2"/>
  <c r="BS255" i="2" l="1"/>
  <c r="BS268" i="2" s="1"/>
  <c r="BS106" i="2"/>
  <c r="CO13" i="9"/>
  <c r="CC208" i="2"/>
  <c r="CC207" i="2"/>
  <c r="CC195" i="2"/>
  <c r="BR31" i="10"/>
  <c r="BR30" i="10"/>
  <c r="BY106" i="2" l="1"/>
  <c r="BR49" i="10"/>
  <c r="BR48" i="10"/>
  <c r="BZ106" i="2" l="1"/>
  <c r="CD51" i="9"/>
  <c r="BT28" i="4"/>
  <c r="BT25" i="4"/>
  <c r="DK51" i="9" l="1"/>
  <c r="DL51" i="9"/>
  <c r="D44" i="28"/>
  <c r="G44" i="28" s="1"/>
  <c r="CA106" i="2"/>
  <c r="CD127" i="9"/>
  <c r="BT24" i="4"/>
  <c r="CG29" i="4" l="1"/>
  <c r="CR98" i="9" s="1"/>
  <c r="CB106" i="2"/>
  <c r="CQ98" i="9" l="1"/>
  <c r="CR22" i="9"/>
  <c r="CQ22" i="9" s="1"/>
  <c r="CF29" i="4"/>
  <c r="CC106" i="2"/>
  <c r="CE21" i="9"/>
  <c r="CE97" i="9" s="1"/>
  <c r="BT35" i="4"/>
  <c r="BS36" i="4"/>
  <c r="E15" i="28" l="1"/>
  <c r="CE20" i="9"/>
  <c r="CD26" i="9"/>
  <c r="DK26" i="9" l="1"/>
  <c r="DL26" i="9"/>
  <c r="D19" i="28"/>
  <c r="G19" i="28" s="1"/>
  <c r="CD102" i="9"/>
  <c r="DH26" i="9"/>
  <c r="DI26" i="9"/>
  <c r="CE96" i="9"/>
  <c r="CE52" i="9"/>
  <c r="CE79" i="9" l="1"/>
  <c r="G7" i="30"/>
  <c r="DH102" i="9"/>
  <c r="DI102" i="9"/>
  <c r="CE128" i="9"/>
  <c r="CE75" i="9"/>
  <c r="CE77" i="9" s="1"/>
  <c r="CE82" i="9" l="1"/>
  <c r="CF82" i="9" l="1"/>
  <c r="CG82" i="9" l="1"/>
  <c r="CH82" i="9" l="1"/>
  <c r="CI82" i="9" l="1"/>
  <c r="BT43" i="4" l="1"/>
  <c r="BT44" i="4" s="1"/>
  <c r="BY43" i="4"/>
  <c r="BY44" i="4" s="1"/>
  <c r="BX43" i="4"/>
  <c r="BX44" i="4" s="1"/>
  <c r="BV43" i="4"/>
  <c r="BV44" i="4" s="1"/>
  <c r="BW43" i="4"/>
  <c r="BW44" i="4" s="1"/>
  <c r="BU43" i="4"/>
  <c r="BU44" i="4" s="1"/>
  <c r="BR33" i="3" l="1"/>
  <c r="BR41" i="3"/>
  <c r="BX31" i="3" l="1"/>
  <c r="CJ16" i="9"/>
  <c r="BR32" i="3"/>
  <c r="CL27" i="9" l="1"/>
  <c r="CJ92" i="9"/>
  <c r="CJ14" i="9"/>
  <c r="CJ90" i="9" s="1"/>
  <c r="CL103" i="9" l="1"/>
  <c r="CM27" i="9"/>
  <c r="CJ12" i="9"/>
  <c r="CJ19" i="9" s="1"/>
  <c r="CJ88" i="9" l="1"/>
  <c r="CN27" i="9"/>
  <c r="CM103" i="9"/>
  <c r="CM21" i="9"/>
  <c r="CJ52" i="9"/>
  <c r="CJ95" i="9"/>
  <c r="CJ79" i="9" l="1"/>
  <c r="H7" i="30"/>
  <c r="G8" i="30" s="1"/>
  <c r="CM97" i="9"/>
  <c r="CN103" i="9"/>
  <c r="CN21" i="9"/>
  <c r="CO27" i="9"/>
  <c r="CJ75" i="9"/>
  <c r="CJ77" i="9" s="1"/>
  <c r="CJ128" i="9"/>
  <c r="CP27" i="9" l="1"/>
  <c r="CO103" i="9"/>
  <c r="CO21" i="9"/>
  <c r="CN97" i="9"/>
  <c r="CJ82" i="9"/>
  <c r="CP103" i="9" l="1"/>
  <c r="CP21" i="9"/>
  <c r="CP97" i="9" s="1"/>
  <c r="CO97" i="9"/>
  <c r="AO10" i="14"/>
  <c r="CO137" i="9" s="1"/>
  <c r="AN75" i="14"/>
  <c r="AN10" i="14"/>
  <c r="CN137" i="9" s="1"/>
  <c r="AD76" i="14"/>
  <c r="AO75" i="14"/>
  <c r="AP75" i="14"/>
  <c r="AP10" i="14"/>
  <c r="AP9" i="14" s="1"/>
  <c r="AM75" i="14"/>
  <c r="AM10" i="14"/>
  <c r="AM9" i="14" s="1"/>
  <c r="AK10" i="14"/>
  <c r="AL75" i="14"/>
  <c r="AL10" i="14"/>
  <c r="CL137" i="9" s="1"/>
  <c r="AK75" i="14"/>
  <c r="CH43" i="4" l="1"/>
  <c r="AD75" i="14"/>
  <c r="AD10" i="14"/>
  <c r="CL136" i="9"/>
  <c r="CL89" i="9"/>
  <c r="CN136" i="9"/>
  <c r="CN89" i="9"/>
  <c r="CO89" i="9"/>
  <c r="CO136" i="9"/>
  <c r="AO9" i="14"/>
  <c r="AL9" i="14"/>
  <c r="AK9" i="14"/>
  <c r="CP137" i="9"/>
  <c r="AN9" i="14"/>
  <c r="CK137" i="9"/>
  <c r="CM137" i="9"/>
  <c r="CL44" i="4" l="1"/>
  <c r="CP136" i="9"/>
  <c r="CD137" i="9"/>
  <c r="CK136" i="9"/>
  <c r="AD9" i="14"/>
  <c r="AD6" i="14" s="1"/>
  <c r="CM89" i="9"/>
  <c r="CM136" i="9"/>
  <c r="DH137" i="9" l="1"/>
  <c r="CD136" i="9"/>
  <c r="DH136" i="9" l="1"/>
  <c r="E13" i="23"/>
  <c r="AO17" i="14"/>
  <c r="CO142" i="9" s="1"/>
  <c r="CO131" i="9" s="1"/>
  <c r="AN17" i="14"/>
  <c r="AN15" i="14" s="1"/>
  <c r="AN27" i="14" s="1"/>
  <c r="AL17" i="14"/>
  <c r="CL142" i="9" s="1"/>
  <c r="CL131" i="9" s="1"/>
  <c r="AP17" i="14"/>
  <c r="CP142" i="9" s="1"/>
  <c r="CP131" i="9" s="1"/>
  <c r="AM17" i="14"/>
  <c r="CM142" i="9" s="1"/>
  <c r="CM131" i="9" s="1"/>
  <c r="AK17" i="14"/>
  <c r="AD81" i="14"/>
  <c r="AK80" i="14"/>
  <c r="AK90" i="14" s="1"/>
  <c r="AL80" i="14"/>
  <c r="AL90" i="14" s="1"/>
  <c r="AM80" i="14"/>
  <c r="AM90" i="14" s="1"/>
  <c r="AN80" i="14"/>
  <c r="AN90" i="14" s="1"/>
  <c r="AO80" i="14"/>
  <c r="AO90" i="14" s="1"/>
  <c r="AP80" i="14"/>
  <c r="AP90" i="14" s="1"/>
  <c r="CN142" i="9" l="1"/>
  <c r="CN131" i="9" s="1"/>
  <c r="AL15" i="14"/>
  <c r="AL27" i="14" s="1"/>
  <c r="AD17" i="14"/>
  <c r="AD5" i="14" s="1"/>
  <c r="CK142" i="9"/>
  <c r="CK131" i="9" s="1"/>
  <c r="AM15" i="14"/>
  <c r="AM27" i="14" s="1"/>
  <c r="CM143" i="9"/>
  <c r="CP143" i="9"/>
  <c r="CL143" i="9"/>
  <c r="CO143" i="9"/>
  <c r="AP15" i="14"/>
  <c r="AP27" i="14" s="1"/>
  <c r="AO15" i="14"/>
  <c r="AO27" i="14" s="1"/>
  <c r="AD80" i="14"/>
  <c r="AD90" i="14" s="1"/>
  <c r="AK15" i="14"/>
  <c r="CN143" i="9"/>
  <c r="CD142" i="9" l="1"/>
  <c r="CK143" i="9"/>
  <c r="CK176" i="9" s="1"/>
  <c r="CO176" i="9"/>
  <c r="CN176" i="9"/>
  <c r="AD15" i="14"/>
  <c r="AD27" i="14" s="1"/>
  <c r="AD29" i="14" s="1"/>
  <c r="AK27" i="14"/>
  <c r="CL176" i="9"/>
  <c r="CP176" i="9"/>
  <c r="CM176" i="9"/>
  <c r="DH142" i="9" l="1"/>
  <c r="CD143" i="9"/>
  <c r="DH143" i="9" s="1"/>
  <c r="CD131" i="9"/>
  <c r="BA130" i="14"/>
  <c r="BA143" i="14" s="1"/>
  <c r="BC130" i="14"/>
  <c r="BC143" i="14" s="1"/>
  <c r="BB14" i="14"/>
  <c r="BB130" i="14"/>
  <c r="BB143" i="14" s="1"/>
  <c r="AY130" i="14"/>
  <c r="AY143" i="14" s="1"/>
  <c r="AW130" i="14"/>
  <c r="AW143" i="14" s="1"/>
  <c r="AZ14" i="14"/>
  <c r="AZ130" i="14"/>
  <c r="AZ143" i="14" s="1"/>
  <c r="AT130" i="14"/>
  <c r="AT143" i="14" s="1"/>
  <c r="AV130" i="14"/>
  <c r="AV143" i="14" s="1"/>
  <c r="AT14" i="14"/>
  <c r="AR130" i="14"/>
  <c r="AR143" i="14" s="1"/>
  <c r="AV14" i="14"/>
  <c r="AU130" i="14"/>
  <c r="AU143" i="14" s="1"/>
  <c r="AX130" i="14"/>
  <c r="AX143" i="14" s="1"/>
  <c r="AR14" i="14"/>
  <c r="AX14" i="14"/>
  <c r="AQ131" i="14"/>
  <c r="AS130" i="14"/>
  <c r="AS143" i="14" s="1"/>
  <c r="CD176" i="9" l="1"/>
  <c r="AT9" i="14"/>
  <c r="CT141" i="9"/>
  <c r="AZ9" i="14"/>
  <c r="CZ141" i="9"/>
  <c r="BB9" i="14"/>
  <c r="DB141" i="9"/>
  <c r="AR9" i="14"/>
  <c r="CR141" i="9"/>
  <c r="AV9" i="14"/>
  <c r="CV141" i="9"/>
  <c r="AX9" i="14"/>
  <c r="CX141" i="9"/>
  <c r="AQ130" i="14"/>
  <c r="AQ143" i="14"/>
  <c r="AS14" i="14"/>
  <c r="CS141" i="9" s="1"/>
  <c r="CS17" i="9" s="1"/>
  <c r="AW112" i="14"/>
  <c r="AU112" i="14"/>
  <c r="AS112" i="14"/>
  <c r="BA112" i="14"/>
  <c r="BC112" i="14"/>
  <c r="AY112" i="14"/>
  <c r="BC10" i="14"/>
  <c r="DC137" i="9" s="1"/>
  <c r="BC14" i="14"/>
  <c r="DC141" i="9" s="1"/>
  <c r="DC17" i="9" s="1"/>
  <c r="AS10" i="14"/>
  <c r="CS137" i="9" s="1"/>
  <c r="AS13" i="14"/>
  <c r="AU10" i="14"/>
  <c r="CU137" i="9" s="1"/>
  <c r="AU14" i="14"/>
  <c r="CU141" i="9" s="1"/>
  <c r="CU17" i="9" s="1"/>
  <c r="BA13" i="14"/>
  <c r="DA139" i="9" s="1"/>
  <c r="BC13" i="14"/>
  <c r="DC139" i="9" s="1"/>
  <c r="AW10" i="14"/>
  <c r="CW137" i="9" s="1"/>
  <c r="AW14" i="14"/>
  <c r="CW141" i="9" s="1"/>
  <c r="CW17" i="9" s="1"/>
  <c r="AY10" i="14"/>
  <c r="CY137" i="9" s="1"/>
  <c r="AY14" i="14"/>
  <c r="CY141" i="9" s="1"/>
  <c r="CY17" i="9" s="1"/>
  <c r="AY13" i="14"/>
  <c r="CY139" i="9" s="1"/>
  <c r="AU13" i="14"/>
  <c r="CU139" i="9" s="1"/>
  <c r="AQ114" i="14"/>
  <c r="AW13" i="14"/>
  <c r="CW139" i="9" s="1"/>
  <c r="AQ113" i="14"/>
  <c r="BA10" i="14"/>
  <c r="DA137" i="9" s="1"/>
  <c r="AQ115" i="14"/>
  <c r="BA14" i="14"/>
  <c r="DA141" i="9" s="1"/>
  <c r="DA17" i="9" s="1"/>
  <c r="E15" i="24" l="1"/>
  <c r="DH176" i="9"/>
  <c r="E14" i="23"/>
  <c r="DA138" i="9"/>
  <c r="CX17" i="9"/>
  <c r="CX138" i="9"/>
  <c r="CX136" i="9" s="1"/>
  <c r="CV17" i="9"/>
  <c r="CV138" i="9"/>
  <c r="CV136" i="9" s="1"/>
  <c r="DA136" i="9"/>
  <c r="CR17" i="9"/>
  <c r="CQ141" i="9"/>
  <c r="CR138" i="9"/>
  <c r="CR136" i="9" s="1"/>
  <c r="DC138" i="9"/>
  <c r="DC136" i="9" s="1"/>
  <c r="DB17" i="9"/>
  <c r="DB138" i="9"/>
  <c r="DB136" i="9" s="1"/>
  <c r="CQ137" i="9"/>
  <c r="CY138" i="9"/>
  <c r="CY136" i="9" s="1"/>
  <c r="CZ17" i="9"/>
  <c r="CZ138" i="9"/>
  <c r="CZ136" i="9" s="1"/>
  <c r="CU138" i="9"/>
  <c r="CU136" i="9" s="1"/>
  <c r="CT17" i="9"/>
  <c r="CT138" i="9"/>
  <c r="CT136" i="9" s="1"/>
  <c r="AQ13" i="14"/>
  <c r="CS139" i="9"/>
  <c r="CW138" i="9"/>
  <c r="CW136" i="9" s="1"/>
  <c r="AS9" i="14"/>
  <c r="BA9" i="14"/>
  <c r="AW9" i="14"/>
  <c r="AY9" i="14"/>
  <c r="AQ14" i="14"/>
  <c r="BC9" i="14"/>
  <c r="AQ10" i="14"/>
  <c r="AQ112" i="14"/>
  <c r="AU9" i="14"/>
  <c r="E15" i="23" l="1"/>
  <c r="DI141" i="9"/>
  <c r="DI137" i="9"/>
  <c r="CS138" i="9"/>
  <c r="CS136" i="9" s="1"/>
  <c r="CQ139" i="9"/>
  <c r="CQ17" i="9"/>
  <c r="AQ9" i="14"/>
  <c r="DL17" i="9" l="1"/>
  <c r="F22" i="24"/>
  <c r="E10" i="28"/>
  <c r="G10" i="28" s="1"/>
  <c r="DI139" i="9"/>
  <c r="CQ138" i="9"/>
  <c r="DI138" i="9" s="1"/>
  <c r="DI17" i="9"/>
  <c r="AQ6" i="14"/>
  <c r="I22" i="24" l="1"/>
  <c r="G22" i="24"/>
  <c r="H22" i="24"/>
  <c r="CQ136" i="9"/>
  <c r="CK16" i="9"/>
  <c r="BR181" i="2"/>
  <c r="BY190" i="2"/>
  <c r="BR190" i="2" s="1"/>
  <c r="F13" i="23" l="1"/>
  <c r="DI136" i="9"/>
  <c r="CK92" i="9"/>
  <c r="BY207" i="2" l="1"/>
  <c r="CK13" i="9"/>
  <c r="BY208" i="2"/>
  <c r="BY195" i="2"/>
  <c r="CK89" i="9" l="1"/>
  <c r="CA231" i="2" l="1"/>
  <c r="BZ231" i="2"/>
  <c r="CC231" i="2"/>
  <c r="BR230" i="2"/>
  <c r="CB231" i="2" l="1"/>
  <c r="BY231" i="2"/>
  <c r="CP18" i="9"/>
  <c r="CK220" i="2"/>
  <c r="CJ220" i="2"/>
  <c r="CI220" i="2"/>
  <c r="CH220" i="2"/>
  <c r="CG220" i="2"/>
  <c r="CF220" i="2"/>
  <c r="BR220" i="2"/>
  <c r="BR232" i="2" s="1"/>
  <c r="CM18" i="9"/>
  <c r="CM3" i="9" s="1"/>
  <c r="CN18" i="9"/>
  <c r="CN3" i="9" s="1"/>
  <c r="CK18" i="9"/>
  <c r="CK3" i="9" s="1"/>
  <c r="CO18" i="9"/>
  <c r="CO3" i="9" s="1"/>
  <c r="CL18" i="9"/>
  <c r="CL3" i="9" s="1"/>
  <c r="CG231" i="2" l="1"/>
  <c r="CG232" i="2"/>
  <c r="CH231" i="2"/>
  <c r="CH232" i="2"/>
  <c r="CI231" i="2"/>
  <c r="CI232" i="2"/>
  <c r="CJ231" i="2"/>
  <c r="CJ232" i="2"/>
  <c r="CF231" i="2"/>
  <c r="CF232" i="2"/>
  <c r="CK231" i="2"/>
  <c r="CK232" i="2"/>
  <c r="CP94" i="9"/>
  <c r="BR231" i="2"/>
  <c r="CV94" i="9"/>
  <c r="CW94" i="9"/>
  <c r="CU94" i="9"/>
  <c r="CR94" i="9"/>
  <c r="CS94" i="9"/>
  <c r="CT94" i="9"/>
  <c r="CM94" i="9"/>
  <c r="CM84" i="9" s="1"/>
  <c r="CN94" i="9"/>
  <c r="CN84" i="9" s="1"/>
  <c r="CL94" i="9"/>
  <c r="CL84" i="9" s="1"/>
  <c r="CO94" i="9"/>
  <c r="CO84" i="9" s="1"/>
  <c r="CD18" i="9"/>
  <c r="CK94" i="9"/>
  <c r="CK84" i="9" s="1"/>
  <c r="DK18" i="9" l="1"/>
  <c r="DH18" i="9"/>
  <c r="D11" i="28"/>
  <c r="CD94" i="9"/>
  <c r="DH94" i="9" l="1"/>
  <c r="CF55" i="2" l="1"/>
  <c r="CF43" i="2" l="1"/>
  <c r="CF119" i="2" l="1"/>
  <c r="CG88" i="2"/>
  <c r="CG68" i="2"/>
  <c r="CG55" i="2" l="1"/>
  <c r="CG43" i="2" s="1"/>
  <c r="CG119" i="2"/>
  <c r="CH88" i="2"/>
  <c r="CH68" i="2"/>
  <c r="CH55" i="2" l="1"/>
  <c r="CH43" i="2" s="1"/>
  <c r="CH119" i="2" s="1"/>
  <c r="CI68" i="2" l="1"/>
  <c r="CI88" i="2"/>
  <c r="CI55" i="2" s="1"/>
  <c r="CI43" i="2" s="1"/>
  <c r="CI119" i="2" l="1"/>
  <c r="CJ88" i="2"/>
  <c r="CJ68" i="2"/>
  <c r="CJ55" i="2" s="1"/>
  <c r="CJ43" i="2" s="1"/>
  <c r="CF54" i="2"/>
  <c r="CF42" i="2" s="1"/>
  <c r="CF118" i="2" s="1"/>
  <c r="CJ119" i="2" l="1"/>
  <c r="CK88" i="2"/>
  <c r="CK68" i="2"/>
  <c r="CK55" i="2" l="1"/>
  <c r="CK43" i="2" s="1"/>
  <c r="CK119" i="2" s="1"/>
  <c r="CL68" i="2"/>
  <c r="CL88" i="2"/>
  <c r="CL55" i="2" l="1"/>
  <c r="CL43" i="2" s="1"/>
  <c r="CL119" i="2" l="1"/>
  <c r="CM88" i="2"/>
  <c r="CM68" i="2"/>
  <c r="CM55" i="2" l="1"/>
  <c r="CM43" i="2" s="1"/>
  <c r="CM119" i="2" s="1"/>
  <c r="CN88" i="2" l="1"/>
  <c r="CN68" i="2"/>
  <c r="CN55" i="2" s="1"/>
  <c r="CN43" i="2" s="1"/>
  <c r="CN119" i="2" s="1"/>
  <c r="CO68" i="2" l="1"/>
  <c r="CO88" i="2"/>
  <c r="CO55" i="2" l="1"/>
  <c r="CO43" i="2" s="1"/>
  <c r="CO119" i="2" s="1"/>
  <c r="CP88" i="2"/>
  <c r="CP68" i="2"/>
  <c r="CP55" i="2" s="1"/>
  <c r="CP43" i="2" s="1"/>
  <c r="CP119" i="2" s="1"/>
  <c r="CF59" i="2"/>
  <c r="CF47" i="2" s="1"/>
  <c r="CQ68" i="2" l="1"/>
  <c r="CQ55" i="2" s="1"/>
  <c r="CQ88" i="2"/>
  <c r="CE88" i="2" s="1"/>
  <c r="CF123" i="2"/>
  <c r="CF116" i="2" s="1"/>
  <c r="CE68" i="2"/>
  <c r="CE55" i="2" l="1"/>
  <c r="CQ43" i="2"/>
  <c r="CE43" i="2" s="1"/>
  <c r="CQ119" i="2" l="1"/>
  <c r="CE119" i="2" s="1"/>
  <c r="CE109" i="2"/>
  <c r="CF53" i="2" l="1"/>
  <c r="CG66" i="2"/>
  <c r="CG41" i="2" l="1"/>
  <c r="CG67" i="2"/>
  <c r="CG87" i="2"/>
  <c r="CG117" i="2" l="1"/>
  <c r="CH66" i="2"/>
  <c r="CG53" i="2"/>
  <c r="CG54" i="2"/>
  <c r="CG42" i="2" s="1"/>
  <c r="CG118" i="2" s="1"/>
  <c r="CH67" i="2" l="1"/>
  <c r="CH87" i="2"/>
  <c r="CH41" i="2"/>
  <c r="CH54" i="2" l="1"/>
  <c r="CH42" i="2" s="1"/>
  <c r="CI87" i="2" s="1"/>
  <c r="CH117" i="2"/>
  <c r="CI66" i="2"/>
  <c r="CI41" i="2" s="1"/>
  <c r="CH53" i="2"/>
  <c r="CH118" i="2" l="1"/>
  <c r="CI67" i="2"/>
  <c r="CI54" i="2" s="1"/>
  <c r="CI42" i="2" s="1"/>
  <c r="CI118" i="2" s="1"/>
  <c r="CI117" i="2"/>
  <c r="CJ66" i="2"/>
  <c r="CJ41" i="2" s="1"/>
  <c r="CI53" i="2"/>
  <c r="CJ67" i="2" l="1"/>
  <c r="CJ87" i="2"/>
  <c r="CJ54" i="2" s="1"/>
  <c r="CJ42" i="2" s="1"/>
  <c r="CJ118" i="2" s="1"/>
  <c r="CJ117" i="2"/>
  <c r="CK66" i="2"/>
  <c r="CJ53" i="2"/>
  <c r="CK41" i="2" l="1"/>
  <c r="CK87" i="2"/>
  <c r="CK67" i="2"/>
  <c r="CK117" i="2" l="1"/>
  <c r="CL66" i="2"/>
  <c r="CL41" i="2" s="1"/>
  <c r="CK53" i="2"/>
  <c r="CK54" i="2"/>
  <c r="CK42" i="2" s="1"/>
  <c r="CK118" i="2" s="1"/>
  <c r="CL117" i="2" l="1"/>
  <c r="CM66" i="2"/>
  <c r="CM41" i="2" s="1"/>
  <c r="CL53" i="2"/>
  <c r="CL87" i="2"/>
  <c r="CL67" i="2"/>
  <c r="CM117" i="2" l="1"/>
  <c r="CN66" i="2"/>
  <c r="CN41" i="2" s="1"/>
  <c r="CM53" i="2"/>
  <c r="CL54" i="2"/>
  <c r="CL42" i="2" s="1"/>
  <c r="CL118" i="2" s="1"/>
  <c r="CN117" i="2" l="1"/>
  <c r="CN53" i="2"/>
  <c r="CO66" i="2"/>
  <c r="CO41" i="2" s="1"/>
  <c r="CO117" i="2" s="1"/>
  <c r="CM87" i="2"/>
  <c r="CM67" i="2"/>
  <c r="CM54" i="2" l="1"/>
  <c r="CM42" i="2" s="1"/>
  <c r="CM118" i="2" s="1"/>
  <c r="CP66" i="2"/>
  <c r="CP41" i="2" s="1"/>
  <c r="CO53" i="2"/>
  <c r="CN67" i="2" l="1"/>
  <c r="CN87" i="2"/>
  <c r="CP117" i="2"/>
  <c r="CQ66" i="2"/>
  <c r="CE66" i="2" s="1"/>
  <c r="CP53" i="2"/>
  <c r="CN54" i="2" l="1"/>
  <c r="CN42" i="2" s="1"/>
  <c r="CN118" i="2" s="1"/>
  <c r="CO67" i="2"/>
  <c r="CO87" i="2"/>
  <c r="CQ41" i="2"/>
  <c r="CO54" i="2" l="1"/>
  <c r="CO42" i="2" s="1"/>
  <c r="CO118" i="2" s="1"/>
  <c r="CQ117" i="2"/>
  <c r="CE41" i="2"/>
  <c r="CQ53" i="2"/>
  <c r="CE53" i="2" s="1"/>
  <c r="CP67" i="2"/>
  <c r="CP87" i="2"/>
  <c r="CP54" i="2" l="1"/>
  <c r="CP42" i="2" l="1"/>
  <c r="CP118" i="2" s="1"/>
  <c r="CQ87" i="2" l="1"/>
  <c r="CQ67" i="2"/>
  <c r="CQ54" i="2" l="1"/>
  <c r="CE67" i="2"/>
  <c r="CE87" i="2"/>
  <c r="CE54" i="2" l="1"/>
  <c r="CQ42" i="2"/>
  <c r="CE42" i="2" s="1"/>
  <c r="CQ118" i="2" l="1"/>
  <c r="CE108" i="2"/>
  <c r="CE118" i="2" l="1"/>
  <c r="CE111" i="2"/>
  <c r="CF57" i="2"/>
  <c r="CF52" i="2" s="1"/>
  <c r="CG90" i="2"/>
  <c r="CG70" i="2"/>
  <c r="CG45" i="2" l="1"/>
  <c r="CG72" i="2"/>
  <c r="CG92" i="2"/>
  <c r="CG121" i="2" l="1"/>
  <c r="CH90" i="2"/>
  <c r="CH70" i="2"/>
  <c r="CG57" i="2"/>
  <c r="CG59" i="2"/>
  <c r="CG47" i="2" s="1"/>
  <c r="CH45" i="2" l="1"/>
  <c r="CH92" i="2"/>
  <c r="CG123" i="2"/>
  <c r="CH72" i="2"/>
  <c r="CH121" i="2" l="1"/>
  <c r="CI70" i="2"/>
  <c r="CI90" i="2"/>
  <c r="CH57" i="2"/>
  <c r="CH59" i="2"/>
  <c r="CH47" i="2" s="1"/>
  <c r="CH123" i="2" s="1"/>
  <c r="CI45" i="2" l="1"/>
  <c r="CI121" i="2" s="1"/>
  <c r="CJ70" i="2"/>
  <c r="CJ90" i="2"/>
  <c r="CI57" i="2"/>
  <c r="CI92" i="2"/>
  <c r="CI72" i="2"/>
  <c r="CJ45" i="2" l="1"/>
  <c r="CJ121" i="2"/>
  <c r="CK70" i="2"/>
  <c r="CK90" i="2"/>
  <c r="CJ57" i="2"/>
  <c r="CI59" i="2"/>
  <c r="CI47" i="2" s="1"/>
  <c r="CI123" i="2" s="1"/>
  <c r="CK45" i="2" l="1"/>
  <c r="CJ92" i="2"/>
  <c r="CJ72" i="2"/>
  <c r="CK121" i="2" l="1"/>
  <c r="CL70" i="2"/>
  <c r="CL90" i="2"/>
  <c r="CL45" i="2" s="1"/>
  <c r="CK57" i="2"/>
  <c r="CJ59" i="2"/>
  <c r="CJ47" i="2" s="1"/>
  <c r="CJ123" i="2" s="1"/>
  <c r="CL121" i="2" l="1"/>
  <c r="CM70" i="2"/>
  <c r="CM90" i="2"/>
  <c r="CL57" i="2"/>
  <c r="CK92" i="2"/>
  <c r="CK72" i="2"/>
  <c r="CK59" i="2" s="1"/>
  <c r="CK47" i="2" s="1"/>
  <c r="CK123" i="2" s="1"/>
  <c r="CM45" i="2" l="1"/>
  <c r="CM121" i="2"/>
  <c r="CN70" i="2"/>
  <c r="CN90" i="2"/>
  <c r="CM57" i="2"/>
  <c r="CL92" i="2"/>
  <c r="CL72" i="2"/>
  <c r="CL59" i="2" l="1"/>
  <c r="CL47" i="2" s="1"/>
  <c r="CL123" i="2" s="1"/>
  <c r="CN45" i="2"/>
  <c r="CN121" i="2" s="1"/>
  <c r="CO70" i="2"/>
  <c r="CN57" i="2"/>
  <c r="CO90" i="2"/>
  <c r="CM92" i="2"/>
  <c r="CM72" i="2"/>
  <c r="CM59" i="2" l="1"/>
  <c r="CM47" i="2" s="1"/>
  <c r="CM123" i="2" s="1"/>
  <c r="CO45" i="2"/>
  <c r="CN72" i="2"/>
  <c r="CN92" i="2" l="1"/>
  <c r="CN59" i="2"/>
  <c r="CN47" i="2" s="1"/>
  <c r="CN123" i="2" s="1"/>
  <c r="CO121" i="2"/>
  <c r="CP70" i="2"/>
  <c r="CP90" i="2"/>
  <c r="CO57" i="2"/>
  <c r="CO72" i="2" l="1"/>
  <c r="CO92" i="2"/>
  <c r="CP45" i="2"/>
  <c r="CO59" i="2" l="1"/>
  <c r="CO47" i="2" s="1"/>
  <c r="CP121" i="2"/>
  <c r="CQ90" i="2"/>
  <c r="CE90" i="2" s="1"/>
  <c r="CP57" i="2"/>
  <c r="CQ70" i="2"/>
  <c r="CO123" i="2" l="1"/>
  <c r="CP92" i="2"/>
  <c r="CP72" i="2"/>
  <c r="CP59" i="2" s="1"/>
  <c r="CP47" i="2" s="1"/>
  <c r="CQ45" i="2"/>
  <c r="CE45" i="2" s="1"/>
  <c r="CE70" i="2"/>
  <c r="CP123" i="2" l="1"/>
  <c r="CQ92" i="2"/>
  <c r="CE92" i="2" s="1"/>
  <c r="CQ72" i="2"/>
  <c r="CQ121" i="2"/>
  <c r="CE121" i="2" s="1"/>
  <c r="CQ57" i="2"/>
  <c r="CE57" i="2" s="1"/>
  <c r="CE113" i="2"/>
  <c r="CQ59" i="2" l="1"/>
  <c r="CE72" i="2"/>
  <c r="CF40" i="2"/>
  <c r="CF106" i="2" s="1"/>
  <c r="CG73" i="2"/>
  <c r="CG93" i="2"/>
  <c r="CQ47" i="2" l="1"/>
  <c r="CE59" i="2"/>
  <c r="CG60" i="2"/>
  <c r="CG48" i="2" s="1"/>
  <c r="CG85" i="2"/>
  <c r="CE47" i="2" l="1"/>
  <c r="CQ123" i="2"/>
  <c r="CE123" i="2" s="1"/>
  <c r="CG124" i="2"/>
  <c r="CG116" i="2" s="1"/>
  <c r="CH93" i="2"/>
  <c r="CH85" i="2" s="1"/>
  <c r="CG40" i="2"/>
  <c r="CG52" i="2"/>
  <c r="CH73" i="2"/>
  <c r="CH60" i="2" l="1"/>
  <c r="CH52" i="2" l="1"/>
  <c r="CH48" i="2"/>
  <c r="CI73" i="2" l="1"/>
  <c r="CH124" i="2"/>
  <c r="CH116" i="2" s="1"/>
  <c r="CI93" i="2"/>
  <c r="CH40" i="2"/>
  <c r="CI85" i="2" l="1"/>
  <c r="CI60" i="2"/>
  <c r="CH106" i="2" l="1"/>
  <c r="CI52" i="2"/>
  <c r="CI48" i="2"/>
  <c r="CI124" i="2" s="1"/>
  <c r="CI116" i="2" s="1"/>
  <c r="CJ93" i="2" l="1"/>
  <c r="CI40" i="2"/>
  <c r="CJ73" i="2"/>
  <c r="CJ60" i="2" l="1"/>
  <c r="CJ52" i="2" s="1"/>
  <c r="CI106" i="2"/>
  <c r="CJ85" i="2"/>
  <c r="CJ48" i="2" l="1"/>
  <c r="CJ124" i="2" s="1"/>
  <c r="CJ116" i="2" s="1"/>
  <c r="CK93" i="2"/>
  <c r="CJ40" i="2"/>
  <c r="CK73" i="2"/>
  <c r="CK60" i="2" l="1"/>
  <c r="CK52" i="2" s="1"/>
  <c r="CK85" i="2"/>
  <c r="CJ106" i="2"/>
  <c r="CK48" i="2"/>
  <c r="CK124" i="2" s="1"/>
  <c r="CK116" i="2" l="1"/>
  <c r="CL93" i="2"/>
  <c r="CK40" i="2"/>
  <c r="CL73" i="2"/>
  <c r="CL60" i="2" l="1"/>
  <c r="CL52" i="2" s="1"/>
  <c r="CK106" i="2"/>
  <c r="CL85" i="2"/>
  <c r="CL48" i="2"/>
  <c r="CL124" i="2" s="1"/>
  <c r="CL116" i="2" l="1"/>
  <c r="CX92" i="9" s="1"/>
  <c r="CM93" i="2"/>
  <c r="CM85" i="2" s="1"/>
  <c r="CL40" i="2"/>
  <c r="CM73" i="2"/>
  <c r="CX16" i="9" l="1"/>
  <c r="CM60" i="2"/>
  <c r="CL106" i="2"/>
  <c r="CM52" i="2" l="1"/>
  <c r="CM48" i="2"/>
  <c r="CM124" i="2" s="1"/>
  <c r="CM116" i="2" l="1"/>
  <c r="CN93" i="2"/>
  <c r="CN85" i="2" s="1"/>
  <c r="CM40" i="2"/>
  <c r="CN73" i="2"/>
  <c r="CM106" i="2" l="1"/>
  <c r="CN60" i="2"/>
  <c r="CN52" i="2" l="1"/>
  <c r="CN48" i="2"/>
  <c r="CN124" i="2" s="1"/>
  <c r="CN116" i="2" l="1"/>
  <c r="CZ92" i="9" s="1"/>
  <c r="CO93" i="2"/>
  <c r="CO85" i="2" s="1"/>
  <c r="CN40" i="2"/>
  <c r="CN106" i="2" s="1"/>
  <c r="CO73" i="2"/>
  <c r="CZ16" i="9" l="1"/>
  <c r="CO60" i="2"/>
  <c r="CO52" i="2" l="1"/>
  <c r="CO48" i="2"/>
  <c r="CO124" i="2" s="1"/>
  <c r="CO116" i="2" l="1"/>
  <c r="CP93" i="2"/>
  <c r="CP85" i="2" s="1"/>
  <c r="CO40" i="2"/>
  <c r="CP73" i="2"/>
  <c r="CO106" i="2" l="1"/>
  <c r="CP60" i="2"/>
  <c r="CP52" i="2" l="1"/>
  <c r="CP48" i="2"/>
  <c r="CP124" i="2" s="1"/>
  <c r="CP116" i="2" l="1"/>
  <c r="DB92" i="9" s="1"/>
  <c r="CQ93" i="2"/>
  <c r="CP40" i="2"/>
  <c r="CQ73" i="2"/>
  <c r="CP106" i="2" l="1"/>
  <c r="DB16" i="9"/>
  <c r="CQ60" i="2"/>
  <c r="CE73" i="2"/>
  <c r="CQ85" i="2"/>
  <c r="CE85" i="2" s="1"/>
  <c r="CE93" i="2"/>
  <c r="CQ52" i="2" l="1"/>
  <c r="CE60" i="2"/>
  <c r="CE52" i="2" s="1"/>
  <c r="CQ48" i="2"/>
  <c r="CE48" i="2" s="1"/>
  <c r="CQ124" i="2" l="1"/>
  <c r="CE124" i="2" s="1"/>
  <c r="CE114" i="2"/>
  <c r="CQ40" i="2"/>
  <c r="CE40" i="2" s="1"/>
  <c r="CQ116" i="2" l="1"/>
  <c r="CE126" i="2"/>
  <c r="CE117" i="2"/>
  <c r="CQ106" i="2" l="1"/>
  <c r="F21" i="24"/>
  <c r="CE116" i="2"/>
  <c r="CE125" i="2"/>
  <c r="I21" i="24" l="1"/>
  <c r="H21" i="24"/>
  <c r="G21" i="24"/>
  <c r="CG106" i="2"/>
  <c r="CE106" i="2" s="1"/>
  <c r="CE182" i="2"/>
  <c r="CE185" i="2"/>
  <c r="CE188" i="2"/>
  <c r="CE187" i="2"/>
  <c r="CE184" i="2"/>
  <c r="CE189" i="2"/>
  <c r="CE186" i="2"/>
  <c r="CE190" i="2"/>
  <c r="CE183" i="2"/>
  <c r="CE181" i="2" l="1"/>
  <c r="CE197" i="2"/>
  <c r="CE210" i="2" s="1"/>
  <c r="CE243" i="2" l="1"/>
  <c r="CE198" i="2" l="1"/>
  <c r="CE211" i="2" s="1"/>
  <c r="CF244" i="2"/>
  <c r="CE244" i="2" l="1"/>
  <c r="CL220" i="2"/>
  <c r="CL232" i="2" s="1"/>
  <c r="CL231" i="2" l="1"/>
  <c r="CX94" i="9"/>
  <c r="CM220" i="2"/>
  <c r="CM232" i="2" s="1"/>
  <c r="CM231" i="2" l="1"/>
  <c r="CY94" i="9"/>
  <c r="CN220" i="2"/>
  <c r="CN232" i="2" s="1"/>
  <c r="CN231" i="2" l="1"/>
  <c r="CZ94" i="9"/>
  <c r="CO220" i="2"/>
  <c r="CO232" i="2" s="1"/>
  <c r="CO231" i="2" l="1"/>
  <c r="DA94" i="9"/>
  <c r="CP220" i="2"/>
  <c r="CP232" i="2" s="1"/>
  <c r="CP231" i="2" l="1"/>
  <c r="DB94" i="9"/>
  <c r="CQ220" i="2"/>
  <c r="CQ232" i="2" s="1"/>
  <c r="CE230" i="2"/>
  <c r="CQ231" i="2" l="1"/>
  <c r="DC94" i="9"/>
  <c r="CE220" i="2"/>
  <c r="CE232" i="2" s="1"/>
  <c r="CE231" i="2" l="1"/>
  <c r="CQ94" i="9"/>
  <c r="CE294" i="2"/>
  <c r="DI94" i="9" l="1"/>
  <c r="CE32" i="5" l="1"/>
  <c r="CE33" i="5" s="1"/>
  <c r="CH32" i="3" l="1"/>
  <c r="CE41" i="3"/>
  <c r="CF32" i="3"/>
  <c r="CJ32" i="3"/>
  <c r="CG32" i="3"/>
  <c r="CS92" i="9" s="1"/>
  <c r="CS16" i="9" s="1"/>
  <c r="CJ31" i="3" l="1"/>
  <c r="CV92" i="9"/>
  <c r="CV16" i="9" s="1"/>
  <c r="CF31" i="3"/>
  <c r="CE31" i="3" s="1"/>
  <c r="CR92" i="9"/>
  <c r="CH31" i="3"/>
  <c r="CT92" i="9"/>
  <c r="CT16" i="9" s="1"/>
  <c r="CG31" i="3"/>
  <c r="CI32" i="3"/>
  <c r="CI31" i="3" l="1"/>
  <c r="CU92" i="9"/>
  <c r="CU16" i="9" s="1"/>
  <c r="CR16" i="9"/>
  <c r="CK32" i="3"/>
  <c r="CK31" i="3" l="1"/>
  <c r="CW92" i="9"/>
  <c r="CW16" i="9" s="1"/>
  <c r="CM32" i="3"/>
  <c r="CM31" i="3" l="1"/>
  <c r="CY92" i="9"/>
  <c r="CY16" i="9" s="1"/>
  <c r="CO32" i="3"/>
  <c r="CQ32" i="3"/>
  <c r="CE33" i="3"/>
  <c r="CE32" i="3"/>
  <c r="CQ78" i="3"/>
  <c r="CP78" i="3"/>
  <c r="CO78" i="3"/>
  <c r="CN78" i="3"/>
  <c r="CM78" i="3"/>
  <c r="CL78" i="3"/>
  <c r="CH83" i="3"/>
  <c r="CJ78" i="3"/>
  <c r="CJ83" i="3"/>
  <c r="CI78" i="3"/>
  <c r="CI83" i="3"/>
  <c r="CK78" i="3"/>
  <c r="CK83" i="3"/>
  <c r="CL83" i="3"/>
  <c r="CM83" i="3"/>
  <c r="CN83" i="3"/>
  <c r="CO83" i="3"/>
  <c r="CP83" i="3"/>
  <c r="CH78" i="3"/>
  <c r="CQ83" i="3"/>
  <c r="CJ82" i="3" l="1"/>
  <c r="CJ24" i="10"/>
  <c r="CO31" i="3"/>
  <c r="DA92" i="9"/>
  <c r="CO82" i="3"/>
  <c r="CO24" i="10"/>
  <c r="CM82" i="3"/>
  <c r="CM24" i="10"/>
  <c r="CH82" i="3"/>
  <c r="CH24" i="10"/>
  <c r="CE24" i="10" s="1"/>
  <c r="CN82" i="3"/>
  <c r="CN24" i="10"/>
  <c r="CP82" i="3"/>
  <c r="CP24" i="10"/>
  <c r="CK82" i="3"/>
  <c r="CK24" i="10"/>
  <c r="CI82" i="3"/>
  <c r="CI24" i="10"/>
  <c r="CL82" i="3"/>
  <c r="CL24" i="10"/>
  <c r="CQ82" i="3"/>
  <c r="CQ24" i="10"/>
  <c r="CQ31" i="3"/>
  <c r="DC92" i="9"/>
  <c r="DC16" i="9" s="1"/>
  <c r="CE78" i="3"/>
  <c r="DA16" i="9" l="1"/>
  <c r="CQ16" i="9" s="1"/>
  <c r="CQ92" i="9"/>
  <c r="H13" i="23" s="1"/>
  <c r="CE79" i="3"/>
  <c r="CE83" i="3" s="1"/>
  <c r="CE82" i="3"/>
  <c r="BS44" i="4"/>
  <c r="BS43" i="4"/>
  <c r="BS37" i="4" s="1"/>
  <c r="CK27" i="9"/>
  <c r="CD27" i="9" s="1"/>
  <c r="DK27" i="9" s="1"/>
  <c r="F20" i="24" l="1"/>
  <c r="I20" i="24" s="1"/>
  <c r="E9" i="28"/>
  <c r="DH27" i="9"/>
  <c r="D20" i="28"/>
  <c r="CD103" i="9"/>
  <c r="DH103" i="9" s="1"/>
  <c r="CK103" i="9"/>
  <c r="CG14" i="4" l="1"/>
  <c r="CG8" i="4" l="1"/>
  <c r="CG47" i="4"/>
  <c r="CF47" i="4" s="1"/>
  <c r="CF14" i="4"/>
  <c r="CF15" i="4"/>
  <c r="CF8" i="4" l="1"/>
  <c r="CG7" i="4"/>
  <c r="CG30" i="4" l="1"/>
  <c r="CR99" i="9" s="1"/>
  <c r="CG28" i="4"/>
  <c r="CG35" i="4" s="1"/>
  <c r="CG52" i="4"/>
  <c r="CF52" i="4" s="1"/>
  <c r="CG5" i="4"/>
  <c r="CG42" i="4"/>
  <c r="CF7" i="4"/>
  <c r="CF5" i="4" s="1"/>
  <c r="CF30" i="4" l="1"/>
  <c r="CF28" i="4" s="1"/>
  <c r="CF35" i="4" s="1"/>
  <c r="CR23" i="9"/>
  <c r="CQ23" i="9" s="1"/>
  <c r="CQ99" i="9"/>
  <c r="CF44" i="10"/>
  <c r="CF41" i="10"/>
  <c r="CF36" i="10"/>
  <c r="CF30" i="10"/>
  <c r="CF46" i="10"/>
  <c r="CF48" i="10"/>
  <c r="CF22" i="10"/>
  <c r="CE22" i="10" s="1"/>
  <c r="CF32" i="10"/>
  <c r="CG43" i="4"/>
  <c r="CG51" i="4"/>
  <c r="CF51" i="4" s="1"/>
  <c r="CG24" i="4"/>
  <c r="CF24" i="4" s="1"/>
  <c r="CH37" i="4"/>
  <c r="CS103" i="9" s="1"/>
  <c r="CK43" i="4"/>
  <c r="CK37" i="4" s="1"/>
  <c r="CV103" i="9" s="1"/>
  <c r="CJ43" i="4"/>
  <c r="CJ37" i="4" s="1"/>
  <c r="CU103" i="9" s="1"/>
  <c r="CI43" i="4"/>
  <c r="CG37" i="4" l="1"/>
  <c r="CR103" i="9" s="1"/>
  <c r="CR27" i="9" s="1"/>
  <c r="E16" i="28"/>
  <c r="CR125" i="9"/>
  <c r="CE46" i="10"/>
  <c r="CR118" i="9"/>
  <c r="CE30" i="10"/>
  <c r="CR119" i="9"/>
  <c r="CE32" i="10"/>
  <c r="CF34" i="10"/>
  <c r="CR120" i="9" s="1"/>
  <c r="CE36" i="10"/>
  <c r="CE34" i="10" s="1"/>
  <c r="CF39" i="10"/>
  <c r="CR122" i="9" s="1"/>
  <c r="CE41" i="10"/>
  <c r="CE39" i="10" s="1"/>
  <c r="CR126" i="9"/>
  <c r="CE48" i="10"/>
  <c r="CR124" i="9"/>
  <c r="CE44" i="10"/>
  <c r="CS27" i="9"/>
  <c r="CS21" i="9" s="1"/>
  <c r="CS97" i="9"/>
  <c r="CV27" i="9"/>
  <c r="CV97" i="9"/>
  <c r="CU27" i="9"/>
  <c r="CU21" i="9" s="1"/>
  <c r="CU97" i="9"/>
  <c r="CI37" i="4"/>
  <c r="CT103" i="9" s="1"/>
  <c r="CM43" i="4"/>
  <c r="CL37" i="4"/>
  <c r="CW103" i="9" s="1"/>
  <c r="CR97" i="9" l="1"/>
  <c r="CR21" i="9"/>
  <c r="CR50" i="9"/>
  <c r="CQ50" i="9" s="1"/>
  <c r="CQ126" i="9"/>
  <c r="DI126" i="9" s="1"/>
  <c r="CR48" i="9"/>
  <c r="CQ48" i="9" s="1"/>
  <c r="CQ124" i="9"/>
  <c r="DI124" i="9" s="1"/>
  <c r="CR44" i="9"/>
  <c r="CQ44" i="9" s="1"/>
  <c r="CQ120" i="9"/>
  <c r="CR42" i="9"/>
  <c r="CQ42" i="9" s="1"/>
  <c r="CQ118" i="9"/>
  <c r="DI118" i="9" s="1"/>
  <c r="CR46" i="9"/>
  <c r="CQ46" i="9" s="1"/>
  <c r="CQ122" i="9"/>
  <c r="DI122" i="9" s="1"/>
  <c r="CR43" i="9"/>
  <c r="CQ43" i="9" s="1"/>
  <c r="CQ119" i="9"/>
  <c r="CR49" i="9"/>
  <c r="CQ49" i="9" s="1"/>
  <c r="CQ125" i="9"/>
  <c r="CT27" i="9"/>
  <c r="CT21" i="9" s="1"/>
  <c r="CT97" i="9"/>
  <c r="CW27" i="9"/>
  <c r="CW21" i="9" s="1"/>
  <c r="CW97" i="9"/>
  <c r="CV21" i="9"/>
  <c r="CM37" i="4"/>
  <c r="CX103" i="9" s="1"/>
  <c r="CO43" i="4"/>
  <c r="CO37" i="4" s="1"/>
  <c r="CZ103" i="9" s="1"/>
  <c r="CN43" i="4"/>
  <c r="CN37" i="4" s="1"/>
  <c r="CY103" i="9" s="1"/>
  <c r="E42" i="28" l="1"/>
  <c r="DL48" i="9"/>
  <c r="E36" i="28"/>
  <c r="DL46" i="9"/>
  <c r="E37" i="28"/>
  <c r="DL42" i="9"/>
  <c r="DL50" i="9"/>
  <c r="E39" i="28"/>
  <c r="G39" i="28" s="1"/>
  <c r="DI46" i="9"/>
  <c r="E41" i="28"/>
  <c r="G41" i="28" s="1"/>
  <c r="DI48" i="9"/>
  <c r="DI42" i="9"/>
  <c r="E35" i="28"/>
  <c r="G35" i="28" s="1"/>
  <c r="DI50" i="9"/>
  <c r="E43" i="28"/>
  <c r="G43" i="28" s="1"/>
  <c r="CY27" i="9"/>
  <c r="CY21" i="9" s="1"/>
  <c r="CY97" i="9"/>
  <c r="CZ27" i="9"/>
  <c r="CZ21" i="9" s="1"/>
  <c r="CZ97" i="9"/>
  <c r="CX27" i="9"/>
  <c r="CX97" i="9"/>
  <c r="CP43" i="4"/>
  <c r="CP37" i="4" s="1"/>
  <c r="DA103" i="9" s="1"/>
  <c r="CX21" i="9" l="1"/>
  <c r="DA27" i="9"/>
  <c r="DA21" i="9" s="1"/>
  <c r="DA97" i="9"/>
  <c r="CQ43" i="4"/>
  <c r="CF43" i="4" s="1"/>
  <c r="CQ37" i="4" l="1"/>
  <c r="DB103" i="9" s="1"/>
  <c r="DB27" i="9" l="1"/>
  <c r="DB97" i="9"/>
  <c r="BR37" i="10"/>
  <c r="CK44" i="9"/>
  <c r="BR36" i="10"/>
  <c r="BR34" i="10" s="1"/>
  <c r="DB21" i="9" l="1"/>
  <c r="CK38" i="9"/>
  <c r="CD44" i="9"/>
  <c r="CK120" i="9"/>
  <c r="DK44" i="9" l="1"/>
  <c r="DL44" i="9"/>
  <c r="D37" i="28"/>
  <c r="G37" i="28" s="1"/>
  <c r="CD120" i="9"/>
  <c r="DH44" i="9"/>
  <c r="DI44" i="9"/>
  <c r="CK114" i="9"/>
  <c r="DH120" i="9" l="1"/>
  <c r="DI120" i="9"/>
  <c r="CH6" i="10" l="1"/>
  <c r="CN6" i="10"/>
  <c r="CN7" i="10" s="1"/>
  <c r="CZ115" i="9" s="1"/>
  <c r="CZ39" i="9" l="1"/>
  <c r="CH7" i="10"/>
  <c r="CT115" i="9" s="1"/>
  <c r="CT39" i="9" l="1"/>
  <c r="CE11" i="10"/>
  <c r="CM6" i="10"/>
  <c r="CM7" i="10" s="1"/>
  <c r="CY115" i="9" s="1"/>
  <c r="CQ6" i="10"/>
  <c r="CQ7" i="10" s="1"/>
  <c r="DC115" i="9" s="1"/>
  <c r="CG6" i="10"/>
  <c r="CI6" i="10"/>
  <c r="CI7" i="10" s="1"/>
  <c r="CU115" i="9" s="1"/>
  <c r="CK6" i="10"/>
  <c r="CK7" i="10" s="1"/>
  <c r="CW115" i="9" s="1"/>
  <c r="CE12" i="10"/>
  <c r="CO6" i="10"/>
  <c r="CO7" i="10" s="1"/>
  <c r="DA115" i="9" s="1"/>
  <c r="DA39" i="9" l="1"/>
  <c r="CU39" i="9"/>
  <c r="DC39" i="9"/>
  <c r="CY39" i="9"/>
  <c r="CW39" i="9"/>
  <c r="CE6" i="10"/>
  <c r="CE7" i="10" s="1"/>
  <c r="CG7" i="10"/>
  <c r="CS115" i="9" s="1"/>
  <c r="CS39" i="9" l="1"/>
  <c r="CQ115" i="9"/>
  <c r="CE27" i="10"/>
  <c r="DI115" i="9" l="1"/>
  <c r="CQ39" i="9"/>
  <c r="DL39" i="9" l="1"/>
  <c r="E32" i="28"/>
  <c r="G32" i="28" s="1"/>
  <c r="DI39" i="9"/>
  <c r="AU16" i="14" l="1"/>
  <c r="AY16" i="14"/>
  <c r="AS124" i="14"/>
  <c r="BC124" i="14"/>
  <c r="BA124" i="14"/>
  <c r="AW124" i="14"/>
  <c r="BC16" i="14"/>
  <c r="BA16" i="14"/>
  <c r="AS16" i="14"/>
  <c r="CS142" i="9" s="1"/>
  <c r="AW16" i="14"/>
  <c r="AY124" i="14"/>
  <c r="AU124" i="14"/>
  <c r="AV124" i="14"/>
  <c r="AX124" i="14"/>
  <c r="BB124" i="14"/>
  <c r="AZ124" i="14"/>
  <c r="AT124" i="14"/>
  <c r="BB16" i="14"/>
  <c r="DB142" i="9" s="1"/>
  <c r="AZ16" i="14"/>
  <c r="AX16" i="14"/>
  <c r="AV16" i="14"/>
  <c r="AT16" i="14"/>
  <c r="CT142" i="9" s="1"/>
  <c r="AQ118" i="14"/>
  <c r="AR16" i="14"/>
  <c r="CR142" i="9" s="1"/>
  <c r="CW142" i="9" l="1"/>
  <c r="CW143" i="9" s="1"/>
  <c r="AQ116" i="14"/>
  <c r="AQ124" i="14" s="1"/>
  <c r="CX142" i="9"/>
  <c r="CX143" i="9" s="1"/>
  <c r="AR124" i="14"/>
  <c r="DB143" i="9"/>
  <c r="DB18" i="9"/>
  <c r="DB131" i="9"/>
  <c r="CR143" i="9"/>
  <c r="CR18" i="9"/>
  <c r="CR131" i="9"/>
  <c r="CS143" i="9"/>
  <c r="CS131" i="9"/>
  <c r="CS18" i="9"/>
  <c r="CT143" i="9"/>
  <c r="CT131" i="9"/>
  <c r="CT18" i="9"/>
  <c r="CV142" i="9"/>
  <c r="CZ142" i="9"/>
  <c r="DA142" i="9"/>
  <c r="CU142" i="9"/>
  <c r="CW131" i="9"/>
  <c r="DC142" i="9"/>
  <c r="AQ16" i="14"/>
  <c r="AQ5" i="14" s="1"/>
  <c r="CW18" i="9"/>
  <c r="CY142" i="9"/>
  <c r="CX131" i="9"/>
  <c r="CX18" i="9"/>
  <c r="CY18" i="9" l="1"/>
  <c r="CY143" i="9"/>
  <c r="CY131" i="9"/>
  <c r="CV131" i="9"/>
  <c r="CV143" i="9"/>
  <c r="CV18" i="9"/>
  <c r="DC18" i="9"/>
  <c r="DC143" i="9"/>
  <c r="DC131" i="9"/>
  <c r="CZ131" i="9"/>
  <c r="CZ143" i="9"/>
  <c r="CZ18" i="9"/>
  <c r="CU18" i="9"/>
  <c r="CU143" i="9"/>
  <c r="CU131" i="9"/>
  <c r="DA131" i="9"/>
  <c r="DA18" i="9"/>
  <c r="DA143" i="9"/>
  <c r="CQ142" i="9"/>
  <c r="CQ131" i="9" l="1"/>
  <c r="DI142" i="9"/>
  <c r="CQ143" i="9"/>
  <c r="CQ18" i="9"/>
  <c r="DL18" i="9" l="1"/>
  <c r="E11" i="28"/>
  <c r="DI18" i="9"/>
  <c r="DI143" i="9"/>
  <c r="G11" i="28" l="1"/>
  <c r="CR39" i="4" l="1"/>
  <c r="CR38" i="4" s="1"/>
  <c r="CF38" i="4" s="1"/>
  <c r="CQ303" i="2"/>
  <c r="CE303" i="2" s="1"/>
  <c r="CE302" i="2"/>
  <c r="CF39" i="4" l="1"/>
  <c r="CR42" i="4"/>
  <c r="CF42" i="4" s="1"/>
  <c r="BR116" i="2" l="1"/>
  <c r="CD125" i="2"/>
  <c r="CD106" i="2" s="1"/>
  <c r="BR106" i="2" s="1"/>
  <c r="CP16" i="9"/>
  <c r="CD16" i="9" s="1"/>
  <c r="DK16" i="9" l="1"/>
  <c r="DL16" i="9"/>
  <c r="BR125" i="2"/>
  <c r="CP92" i="9"/>
  <c r="CD92" i="9"/>
  <c r="DH16" i="9"/>
  <c r="DI16" i="9"/>
  <c r="D9" i="28"/>
  <c r="G9" i="28" s="1"/>
  <c r="E20" i="24"/>
  <c r="CP14" i="9"/>
  <c r="G20" i="24" l="1"/>
  <c r="H20" i="24"/>
  <c r="CP90" i="9"/>
  <c r="DI92" i="9"/>
  <c r="DH92" i="9"/>
  <c r="BR196" i="2" l="1"/>
  <c r="CD195" i="2"/>
  <c r="BR195" i="2" s="1"/>
  <c r="CP13" i="9"/>
  <c r="CP12" i="9" s="1"/>
  <c r="CD207" i="2"/>
  <c r="CD206" i="2"/>
  <c r="CD242" i="2" l="1"/>
  <c r="CD209" i="2"/>
  <c r="CD208" i="2"/>
  <c r="CP19" i="9"/>
  <c r="CP88" i="9"/>
  <c r="BR242" i="2"/>
  <c r="BR207" i="2"/>
  <c r="CD13" i="9"/>
  <c r="BR206" i="2"/>
  <c r="A230" i="2" s="1"/>
  <c r="CP3" i="9"/>
  <c r="CP89" i="9"/>
  <c r="CP84" i="9" s="1"/>
  <c r="DK13" i="9" l="1"/>
  <c r="CD9" i="9"/>
  <c r="BR209" i="2"/>
  <c r="CD3" i="9"/>
  <c r="DH13" i="9"/>
  <c r="E16" i="24"/>
  <c r="CD89" i="9"/>
  <c r="D6" i="28"/>
  <c r="BR208" i="2"/>
  <c r="CP95" i="9"/>
  <c r="D1" i="28" l="1"/>
  <c r="DH89" i="9"/>
  <c r="CD84" i="9"/>
  <c r="CO15" i="9"/>
  <c r="CO91" i="9" s="1"/>
  <c r="CN15" i="9"/>
  <c r="CN91" i="9" s="1"/>
  <c r="CM15" i="9"/>
  <c r="CM14" i="9" s="1"/>
  <c r="CL15" i="9"/>
  <c r="CL14" i="9" s="1"/>
  <c r="CK15" i="9"/>
  <c r="CK91" i="9" s="1"/>
  <c r="CB255" i="2"/>
  <c r="CB268" i="2" s="1"/>
  <c r="BZ255" i="2"/>
  <c r="BZ268" i="2" s="1"/>
  <c r="BY255" i="2"/>
  <c r="BY268" i="2" s="1"/>
  <c r="CA266" i="2"/>
  <c r="CA255" i="2" s="1"/>
  <c r="CA268" i="2" s="1"/>
  <c r="CA267" i="2"/>
  <c r="BZ266" i="2"/>
  <c r="BZ267" i="2"/>
  <c r="CC266" i="2"/>
  <c r="CC255" i="2" s="1"/>
  <c r="CC268" i="2" s="1"/>
  <c r="CC267" i="2"/>
  <c r="CB266" i="2"/>
  <c r="CB267" i="2"/>
  <c r="BR253" i="2"/>
  <c r="BR267" i="2" s="1"/>
  <c r="BY266" i="2"/>
  <c r="BY267" i="2"/>
  <c r="CM91" i="9" l="1"/>
  <c r="CL91" i="9"/>
  <c r="CN14" i="9"/>
  <c r="CD15" i="9"/>
  <c r="CO14" i="9"/>
  <c r="CL90" i="9"/>
  <c r="CL12" i="9"/>
  <c r="D8" i="28"/>
  <c r="CD91" i="9"/>
  <c r="CM90" i="9"/>
  <c r="CM12" i="9"/>
  <c r="CK14" i="9"/>
  <c r="DH15" i="9" l="1"/>
  <c r="DK15" i="9"/>
  <c r="E18" i="24"/>
  <c r="CO12" i="9"/>
  <c r="CO90" i="9"/>
  <c r="CN12" i="9"/>
  <c r="CN90" i="9"/>
  <c r="CM19" i="9"/>
  <c r="CM88" i="9"/>
  <c r="DH91" i="9"/>
  <c r="CD14" i="9"/>
  <c r="DK14" i="9" s="1"/>
  <c r="CK12" i="9"/>
  <c r="CK90" i="9"/>
  <c r="CL88" i="9"/>
  <c r="CL19" i="9"/>
  <c r="CN19" i="9" l="1"/>
  <c r="CN95" i="9" s="1"/>
  <c r="CN88" i="9"/>
  <c r="CO19" i="9"/>
  <c r="CO95" i="9" s="1"/>
  <c r="CO88" i="9"/>
  <c r="CL95" i="9"/>
  <c r="CK88" i="9"/>
  <c r="CK19" i="9"/>
  <c r="D7" i="28"/>
  <c r="DH14" i="9"/>
  <c r="CD90" i="9"/>
  <c r="CD12" i="9"/>
  <c r="DK12" i="9" s="1"/>
  <c r="E17" i="24"/>
  <c r="E25" i="23"/>
  <c r="CM95" i="9"/>
  <c r="CD88" i="9" l="1"/>
  <c r="E12" i="24"/>
  <c r="E5" i="23"/>
  <c r="D4" i="28"/>
  <c r="DH12" i="9"/>
  <c r="DH90" i="9"/>
  <c r="CD19" i="9"/>
  <c r="DK19" i="9" s="1"/>
  <c r="CK95" i="9"/>
  <c r="E18" i="23" l="1"/>
  <c r="CD4" i="9"/>
  <c r="CD95" i="9"/>
  <c r="D12" i="28"/>
  <c r="DH19" i="9"/>
  <c r="E9" i="23"/>
  <c r="DH88" i="9"/>
  <c r="DH95" i="9" l="1"/>
  <c r="E17" i="23"/>
  <c r="CG269" i="2" l="1"/>
  <c r="CH269" i="2" s="1"/>
  <c r="CF256" i="2"/>
  <c r="BR256" i="2"/>
  <c r="BR269" i="2"/>
  <c r="CF261" i="2"/>
  <c r="CG271" i="2"/>
  <c r="CD271" i="2"/>
  <c r="BR258" i="2"/>
  <c r="BR271" i="2" s="1"/>
  <c r="CD276" i="2"/>
  <c r="BR263" i="2"/>
  <c r="BR276" i="2" s="1"/>
  <c r="CD277" i="2"/>
  <c r="BR264" i="2"/>
  <c r="BR277" i="2" s="1"/>
  <c r="CD269" i="2"/>
  <c r="CD266" i="2"/>
  <c r="BR266" i="2" s="1"/>
  <c r="CD270" i="2"/>
  <c r="BR257" i="2"/>
  <c r="BR270" i="2" s="1"/>
  <c r="CD274" i="2"/>
  <c r="BR261" i="2"/>
  <c r="BR274" i="2" s="1"/>
  <c r="CD278" i="2"/>
  <c r="BR265" i="2"/>
  <c r="BR278" i="2" s="1"/>
  <c r="BR255" i="2" l="1"/>
  <c r="BR268" i="2" s="1"/>
  <c r="CD255" i="2"/>
  <c r="CD268" i="2" s="1"/>
  <c r="CG256" i="2"/>
  <c r="CF263" i="2"/>
  <c r="CF265" i="2"/>
  <c r="CG261" i="2"/>
  <c r="E19" i="24"/>
  <c r="CG258" i="2"/>
  <c r="CH271" i="2"/>
  <c r="CI269" i="2"/>
  <c r="CH256" i="2"/>
  <c r="CF257" i="2"/>
  <c r="CF264" i="2"/>
  <c r="CF258" i="2"/>
  <c r="CF255" i="2" l="1"/>
  <c r="CF268" i="2" s="1"/>
  <c r="CF253" i="2"/>
  <c r="CR91" i="9" s="1"/>
  <c r="CI271" i="2"/>
  <c r="CH258" i="2"/>
  <c r="CJ269" i="2"/>
  <c r="CI256" i="2"/>
  <c r="CH261" i="2"/>
  <c r="CG257" i="2"/>
  <c r="CG265" i="2"/>
  <c r="CG264" i="2"/>
  <c r="CG263" i="2"/>
  <c r="CF267" i="2" l="1"/>
  <c r="CG255" i="2"/>
  <c r="CG268" i="2" s="1"/>
  <c r="CG253" i="2"/>
  <c r="CI258" i="2"/>
  <c r="CJ271" i="2"/>
  <c r="CH263" i="2"/>
  <c r="CR90" i="9"/>
  <c r="CR15" i="9"/>
  <c r="CH264" i="2"/>
  <c r="CI261" i="2"/>
  <c r="CJ256" i="2"/>
  <c r="CK269" i="2"/>
  <c r="CH265" i="2"/>
  <c r="CH257" i="2"/>
  <c r="CH253" i="2" l="1"/>
  <c r="CH255" i="2"/>
  <c r="CH268" i="2" s="1"/>
  <c r="CG267" i="2"/>
  <c r="CS91" i="9"/>
  <c r="CJ261" i="2"/>
  <c r="CR14" i="9"/>
  <c r="CI265" i="2"/>
  <c r="CI263" i="2"/>
  <c r="CK256" i="2"/>
  <c r="CL269" i="2"/>
  <c r="CI257" i="2"/>
  <c r="CI264" i="2"/>
  <c r="CK271" i="2"/>
  <c r="CJ258" i="2"/>
  <c r="CI255" i="2" l="1"/>
  <c r="CI268" i="2" s="1"/>
  <c r="CI253" i="2"/>
  <c r="CS15" i="9"/>
  <c r="CS90" i="9"/>
  <c r="CH267" i="2"/>
  <c r="CT91" i="9"/>
  <c r="CL256" i="2"/>
  <c r="CM269" i="2"/>
  <c r="CJ257" i="2"/>
  <c r="CL271" i="2"/>
  <c r="CK258" i="2"/>
  <c r="CK261" i="2"/>
  <c r="CJ263" i="2"/>
  <c r="CJ265" i="2"/>
  <c r="CJ264" i="2"/>
  <c r="CS14" i="9" l="1"/>
  <c r="CJ255" i="2"/>
  <c r="CJ268" i="2" s="1"/>
  <c r="CJ253" i="2"/>
  <c r="CT90" i="9"/>
  <c r="CT15" i="9"/>
  <c r="CT14" i="9" s="1"/>
  <c r="CU91" i="9"/>
  <c r="CI267" i="2"/>
  <c r="CK264" i="2"/>
  <c r="CL261" i="2"/>
  <c r="CL258" i="2"/>
  <c r="CM271" i="2"/>
  <c r="CK265" i="2"/>
  <c r="CN269" i="2"/>
  <c r="CM256" i="2"/>
  <c r="CK263" i="2"/>
  <c r="CK257" i="2"/>
  <c r="CU15" i="9" l="1"/>
  <c r="CU14" i="9" s="1"/>
  <c r="CU90" i="9"/>
  <c r="CJ267" i="2"/>
  <c r="CV91" i="9"/>
  <c r="CK255" i="2"/>
  <c r="CK268" i="2" s="1"/>
  <c r="CK253" i="2"/>
  <c r="CL265" i="2"/>
  <c r="CL264" i="2"/>
  <c r="CM258" i="2"/>
  <c r="CN271" i="2"/>
  <c r="CL263" i="2"/>
  <c r="CM261" i="2"/>
  <c r="CN256" i="2"/>
  <c r="CO269" i="2"/>
  <c r="CL257" i="2"/>
  <c r="CV90" i="9" l="1"/>
  <c r="CV15" i="9"/>
  <c r="CV14" i="9" s="1"/>
  <c r="CK267" i="2"/>
  <c r="CW91" i="9"/>
  <c r="CL253" i="2"/>
  <c r="CL255" i="2"/>
  <c r="CL268" i="2" s="1"/>
  <c r="CM257" i="2"/>
  <c r="CM264" i="2"/>
  <c r="CO256" i="2"/>
  <c r="CP269" i="2"/>
  <c r="CO271" i="2"/>
  <c r="CN258" i="2"/>
  <c r="CN261" i="2"/>
  <c r="CM263" i="2"/>
  <c r="CM265" i="2"/>
  <c r="CW15" i="9" l="1"/>
  <c r="CW14" i="9" s="1"/>
  <c r="CW90" i="9"/>
  <c r="CM255" i="2"/>
  <c r="CM268" i="2" s="1"/>
  <c r="CM253" i="2"/>
  <c r="CL267" i="2"/>
  <c r="CX91" i="9"/>
  <c r="CN264" i="2"/>
  <c r="CN265" i="2"/>
  <c r="CN257" i="2"/>
  <c r="CO261" i="2"/>
  <c r="CP256" i="2"/>
  <c r="CQ269" i="2"/>
  <c r="CQ256" i="2" s="1"/>
  <c r="CE256" i="2" s="1"/>
  <c r="CO258" i="2"/>
  <c r="CP271" i="2"/>
  <c r="CN263" i="2"/>
  <c r="CN255" i="2" l="1"/>
  <c r="CN268" i="2" s="1"/>
  <c r="CN253" i="2"/>
  <c r="CM267" i="2"/>
  <c r="CY91" i="9"/>
  <c r="CX15" i="9"/>
  <c r="CX14" i="9" s="1"/>
  <c r="CX90" i="9"/>
  <c r="CE269" i="2"/>
  <c r="CQ271" i="2"/>
  <c r="CQ258" i="2" s="1"/>
  <c r="CE258" i="2" s="1"/>
  <c r="CE271" i="2" s="1"/>
  <c r="CP258" i="2"/>
  <c r="CO265" i="2"/>
  <c r="CO263" i="2"/>
  <c r="CQ261" i="2"/>
  <c r="CP261" i="2"/>
  <c r="CO264" i="2"/>
  <c r="CO257" i="2"/>
  <c r="CE261" i="2" l="1"/>
  <c r="CE274" i="2" s="1"/>
  <c r="CO255" i="2"/>
  <c r="CO268" i="2" s="1"/>
  <c r="CO253" i="2"/>
  <c r="CY90" i="9"/>
  <c r="CY15" i="9"/>
  <c r="CY14" i="9" s="1"/>
  <c r="CN267" i="2"/>
  <c r="CZ91" i="9"/>
  <c r="CP265" i="2"/>
  <c r="CQ265" i="2"/>
  <c r="CE265" i="2" s="1"/>
  <c r="CE278" i="2" s="1"/>
  <c r="CP263" i="2"/>
  <c r="CQ263" i="2"/>
  <c r="CE263" i="2" s="1"/>
  <c r="CE276" i="2" s="1"/>
  <c r="CQ257" i="2"/>
  <c r="CP257" i="2"/>
  <c r="CP264" i="2"/>
  <c r="CQ264" i="2"/>
  <c r="CE264" i="2" s="1"/>
  <c r="CE277" i="2" s="1"/>
  <c r="CZ90" i="9" l="1"/>
  <c r="CZ15" i="9"/>
  <c r="CZ14" i="9" s="1"/>
  <c r="CP253" i="2"/>
  <c r="CP255" i="2"/>
  <c r="CP268" i="2" s="1"/>
  <c r="DA91" i="9"/>
  <c r="CO267" i="2"/>
  <c r="CE257" i="2"/>
  <c r="CQ255" i="2"/>
  <c r="CQ268" i="2" s="1"/>
  <c r="CQ253" i="2"/>
  <c r="CE253" i="2" s="1"/>
  <c r="CE267" i="2" s="1"/>
  <c r="CK29" i="9"/>
  <c r="CK28" i="9" s="1"/>
  <c r="BR282" i="2"/>
  <c r="CL29" i="9"/>
  <c r="CL105" i="9" s="1"/>
  <c r="CO29" i="9"/>
  <c r="CO28" i="9" s="1"/>
  <c r="CN29" i="9"/>
  <c r="CN28" i="9" s="1"/>
  <c r="CN105" i="9"/>
  <c r="CM29" i="9"/>
  <c r="CM105" i="9" s="1"/>
  <c r="CF284" i="2"/>
  <c r="CP29" i="9"/>
  <c r="BR284" i="2"/>
  <c r="BR286" i="2" s="1"/>
  <c r="DC91" i="9" l="1"/>
  <c r="CQ267" i="2"/>
  <c r="DB91" i="9"/>
  <c r="CP267" i="2"/>
  <c r="CE270" i="2"/>
  <c r="CE255" i="2"/>
  <c r="CE268" i="2" s="1"/>
  <c r="DA90" i="9"/>
  <c r="DA15" i="9"/>
  <c r="DA14" i="9" s="1"/>
  <c r="CP105" i="9"/>
  <c r="CO104" i="9"/>
  <c r="CK105" i="9"/>
  <c r="CL28" i="9"/>
  <c r="CL104" i="9" s="1"/>
  <c r="CO105" i="9"/>
  <c r="CN104" i="9"/>
  <c r="CK104" i="9"/>
  <c r="CD29" i="9"/>
  <c r="DK29" i="9" s="1"/>
  <c r="CF282" i="2"/>
  <c r="CM28" i="9"/>
  <c r="CQ91" i="9" l="1"/>
  <c r="DI91" i="9" s="1"/>
  <c r="DB90" i="9"/>
  <c r="DB15" i="9"/>
  <c r="DB14" i="9" s="1"/>
  <c r="F19" i="24"/>
  <c r="DC90" i="9"/>
  <c r="DC15" i="9"/>
  <c r="CR105" i="9"/>
  <c r="CD105" i="9"/>
  <c r="DH105" i="9" s="1"/>
  <c r="D22" i="28"/>
  <c r="DH29" i="9"/>
  <c r="CM104" i="9"/>
  <c r="CG282" i="2" l="1"/>
  <c r="CQ90" i="9"/>
  <c r="DC14" i="9"/>
  <c r="CQ15" i="9"/>
  <c r="I19" i="24"/>
  <c r="G19" i="24"/>
  <c r="H19" i="24"/>
  <c r="CH284" i="2"/>
  <c r="CH282" i="2" s="1"/>
  <c r="CT105" i="9" s="1"/>
  <c r="CR29" i="9"/>
  <c r="DL15" i="9" l="1"/>
  <c r="CS105" i="9"/>
  <c r="CQ14" i="9"/>
  <c r="DI90" i="9"/>
  <c r="F18" i="24"/>
  <c r="E8" i="28"/>
  <c r="G8" i="28" s="1"/>
  <c r="DI15" i="9"/>
  <c r="CT29" i="9"/>
  <c r="CI284" i="2"/>
  <c r="CI282" i="2" s="1"/>
  <c r="CU105" i="9" s="1"/>
  <c r="DL14" i="9" l="1"/>
  <c r="CS29" i="9"/>
  <c r="H18" i="24"/>
  <c r="I18" i="24"/>
  <c r="G18" i="24"/>
  <c r="F25" i="23"/>
  <c r="H25" i="23" s="1"/>
  <c r="DI14" i="9"/>
  <c r="E7" i="28"/>
  <c r="G7" i="28" s="1"/>
  <c r="F17" i="24"/>
  <c r="CU29" i="9"/>
  <c r="CJ284" i="2"/>
  <c r="CJ282" i="2" s="1"/>
  <c r="CV105" i="9" s="1"/>
  <c r="H17" i="24" l="1"/>
  <c r="I17" i="24"/>
  <c r="G17" i="24"/>
  <c r="CK284" i="2"/>
  <c r="CK282" i="2" s="1"/>
  <c r="CW105" i="9" s="1"/>
  <c r="CV29" i="9"/>
  <c r="CL284" i="2" l="1"/>
  <c r="CL282" i="2" s="1"/>
  <c r="CX105" i="9" s="1"/>
  <c r="CW29" i="9"/>
  <c r="CX29" i="9" l="1"/>
  <c r="CM282" i="2"/>
  <c r="CY105" i="9" s="1"/>
  <c r="CY29" i="9" l="1"/>
  <c r="CN284" i="2"/>
  <c r="CN282" i="2" s="1"/>
  <c r="CZ105" i="9" s="1"/>
  <c r="CZ29" i="9" l="1"/>
  <c r="CO284" i="2"/>
  <c r="CO282" i="2" s="1"/>
  <c r="DA105" i="9" s="1"/>
  <c r="DA29" i="9" l="1"/>
  <c r="CP284" i="2"/>
  <c r="CP282" i="2" s="1"/>
  <c r="DB105" i="9" s="1"/>
  <c r="BR289" i="2"/>
  <c r="CQ282" i="2" l="1"/>
  <c r="CE284" i="2"/>
  <c r="CE286" i="2" s="1"/>
  <c r="DB29" i="9"/>
  <c r="DC105" i="9" l="1"/>
  <c r="CE282" i="2"/>
  <c r="CQ105" i="9" l="1"/>
  <c r="DC29" i="9"/>
  <c r="CQ29" i="9" l="1"/>
  <c r="DI105" i="9"/>
  <c r="DL29" i="9" l="1"/>
  <c r="E22" i="28"/>
  <c r="G22" i="28" s="1"/>
  <c r="DI29" i="9"/>
  <c r="BR290" i="2"/>
  <c r="BR292" i="2" s="1"/>
  <c r="CD292" i="2"/>
  <c r="CF290" i="2" l="1"/>
  <c r="CG290" i="2" l="1"/>
  <c r="CH290" i="2" l="1"/>
  <c r="CI290" i="2" l="1"/>
  <c r="CJ290" i="2" l="1"/>
  <c r="CK290" i="2" l="1"/>
  <c r="CL290" i="2" l="1"/>
  <c r="CM290" i="2" l="1"/>
  <c r="CN290" i="2" l="1"/>
  <c r="CO290" i="2" l="1"/>
  <c r="CQ290" i="2" l="1"/>
  <c r="CP290" i="2"/>
  <c r="BR291" i="2"/>
  <c r="BR293" i="2" s="1"/>
  <c r="CD293" i="2"/>
  <c r="CE290" i="2" l="1"/>
  <c r="CE292" i="2" s="1"/>
  <c r="CF291" i="2"/>
  <c r="CF289" i="2" l="1"/>
  <c r="CG291" i="2"/>
  <c r="CG289" i="2" s="1"/>
  <c r="CS106" i="9" s="1"/>
  <c r="CR106" i="9" l="1"/>
  <c r="CS104" i="9"/>
  <c r="CH291" i="2"/>
  <c r="CH289" i="2" s="1"/>
  <c r="CT106" i="9" s="1"/>
  <c r="CT104" i="9" l="1"/>
  <c r="CR104" i="9"/>
  <c r="CI291" i="2"/>
  <c r="CI289" i="2" s="1"/>
  <c r="CU106" i="9" s="1"/>
  <c r="CU104" i="9" l="1"/>
  <c r="CJ291" i="2"/>
  <c r="CJ289" i="2" s="1"/>
  <c r="CV106" i="9" s="1"/>
  <c r="CV104" i="9" l="1"/>
  <c r="CK291" i="2"/>
  <c r="CK289" i="2" s="1"/>
  <c r="CW106" i="9" s="1"/>
  <c r="CW104" i="9" l="1"/>
  <c r="CL291" i="2"/>
  <c r="CL289" i="2" s="1"/>
  <c r="CX106" i="9" s="1"/>
  <c r="CX104" i="9" l="1"/>
  <c r="CM291" i="2"/>
  <c r="CM289" i="2" s="1"/>
  <c r="CY106" i="9" s="1"/>
  <c r="CY104" i="9" l="1"/>
  <c r="CN291" i="2"/>
  <c r="CN289" i="2" s="1"/>
  <c r="CZ106" i="9" s="1"/>
  <c r="CZ104" i="9" l="1"/>
  <c r="CO291" i="2"/>
  <c r="CO289" i="2" s="1"/>
  <c r="DA106" i="9" s="1"/>
  <c r="DA104" i="9" l="1"/>
  <c r="CP291" i="2"/>
  <c r="CP289" i="2" s="1"/>
  <c r="DB106" i="9" s="1"/>
  <c r="CD23" i="10"/>
  <c r="BR23" i="10" s="1"/>
  <c r="BR20" i="10" s="1"/>
  <c r="CD308" i="2"/>
  <c r="BR306" i="2"/>
  <c r="BR308" i="2" s="1"/>
  <c r="CD20" i="10" l="1"/>
  <c r="CP40" i="9" s="1"/>
  <c r="DB104" i="9"/>
  <c r="CQ289" i="2"/>
  <c r="CE291" i="2"/>
  <c r="CE293" i="2" s="1"/>
  <c r="CF306" i="2"/>
  <c r="CD40" i="9" l="1"/>
  <c r="DK40" i="9" s="1"/>
  <c r="CP116" i="9"/>
  <c r="DC106" i="9"/>
  <c r="CE289" i="2"/>
  <c r="CF23" i="10"/>
  <c r="CG306" i="2"/>
  <c r="CG23" i="10" s="1"/>
  <c r="CG20" i="10" s="1"/>
  <c r="CS116" i="9" s="1"/>
  <c r="CD116" i="9" l="1"/>
  <c r="DH116" i="9" s="1"/>
  <c r="D33" i="28"/>
  <c r="DH40" i="9"/>
  <c r="DC104" i="9"/>
  <c r="CQ106" i="9"/>
  <c r="CS114" i="9"/>
  <c r="CS96" i="9" s="1"/>
  <c r="CS40" i="9"/>
  <c r="CS38" i="9" s="1"/>
  <c r="CH306" i="2"/>
  <c r="CF20" i="10"/>
  <c r="CR116" i="9" s="1"/>
  <c r="CH23" i="10" l="1"/>
  <c r="CQ104" i="9"/>
  <c r="CR40" i="9"/>
  <c r="CR114" i="9"/>
  <c r="CI306" i="2"/>
  <c r="CI23" i="10" s="1"/>
  <c r="CI20" i="10" s="1"/>
  <c r="CU116" i="9" s="1"/>
  <c r="CH20" i="10" l="1"/>
  <c r="CT116" i="9" s="1"/>
  <c r="CU114" i="9"/>
  <c r="CU96" i="9" s="1"/>
  <c r="CU40" i="9"/>
  <c r="CU38" i="9" s="1"/>
  <c r="CR96" i="9"/>
  <c r="CJ306" i="2"/>
  <c r="CJ23" i="10" s="1"/>
  <c r="CJ20" i="10" s="1"/>
  <c r="CV116" i="9" s="1"/>
  <c r="CR38" i="9"/>
  <c r="CT40" i="9" l="1"/>
  <c r="CT114" i="9"/>
  <c r="CV114" i="9"/>
  <c r="CV96" i="9" s="1"/>
  <c r="CV40" i="9"/>
  <c r="CV38" i="9" s="1"/>
  <c r="CK306" i="2"/>
  <c r="CK23" i="10" s="1"/>
  <c r="CK20" i="10" s="1"/>
  <c r="CW116" i="9" s="1"/>
  <c r="CT96" i="9" l="1"/>
  <c r="CT38" i="9"/>
  <c r="CL306" i="2"/>
  <c r="CL23" i="10" s="1"/>
  <c r="CL20" i="10" s="1"/>
  <c r="CX116" i="9" s="1"/>
  <c r="CW40" i="9"/>
  <c r="CW38" i="9" s="1"/>
  <c r="CW114" i="9"/>
  <c r="CW96" i="9" s="1"/>
  <c r="CM306" i="2" l="1"/>
  <c r="CM23" i="10" s="1"/>
  <c r="CM20" i="10" s="1"/>
  <c r="CY116" i="9" s="1"/>
  <c r="CX114" i="9"/>
  <c r="CX96" i="9" s="1"/>
  <c r="CX40" i="9"/>
  <c r="CX38" i="9" s="1"/>
  <c r="CY114" i="9" l="1"/>
  <c r="CY96" i="9" s="1"/>
  <c r="CY40" i="9"/>
  <c r="CY38" i="9" s="1"/>
  <c r="CN306" i="2"/>
  <c r="CN23" i="10" s="1"/>
  <c r="CN20" i="10" s="1"/>
  <c r="CZ116" i="9" s="1"/>
  <c r="CO306" i="2" l="1"/>
  <c r="CO23" i="10" s="1"/>
  <c r="CO20" i="10" s="1"/>
  <c r="DA116" i="9" s="1"/>
  <c r="CZ114" i="9"/>
  <c r="CZ96" i="9" s="1"/>
  <c r="CZ40" i="9"/>
  <c r="CZ38" i="9" s="1"/>
  <c r="DA114" i="9" l="1"/>
  <c r="DA96" i="9" s="1"/>
  <c r="DA40" i="9"/>
  <c r="DA38" i="9" s="1"/>
  <c r="CP306" i="2"/>
  <c r="CP23" i="10" s="1"/>
  <c r="CP20" i="10" s="1"/>
  <c r="DB116" i="9" s="1"/>
  <c r="CQ306" i="2"/>
  <c r="CQ23" i="10" l="1"/>
  <c r="CE306" i="2"/>
  <c r="CE308" i="2" s="1"/>
  <c r="DB114" i="9"/>
  <c r="DB96" i="9" s="1"/>
  <c r="DB40" i="9"/>
  <c r="DB38" i="9" s="1"/>
  <c r="CQ20" i="10" l="1"/>
  <c r="DC116" i="9" s="1"/>
  <c r="CE23" i="10"/>
  <c r="CE20" i="10" s="1"/>
  <c r="CQ116" i="9" l="1"/>
  <c r="DI116" i="9" s="1"/>
  <c r="DC40" i="9"/>
  <c r="DC114" i="9"/>
  <c r="DC38" i="9" l="1"/>
  <c r="CQ40" i="9"/>
  <c r="CQ114" i="9"/>
  <c r="DL40" i="9" l="1"/>
  <c r="CQ38" i="9"/>
  <c r="DI40" i="9"/>
  <c r="E33" i="28"/>
  <c r="G33" i="28" s="1"/>
  <c r="F30" i="24" l="1"/>
  <c r="E31" i="28"/>
  <c r="I30" i="24" l="1"/>
  <c r="CQ76" i="9" l="1"/>
  <c r="CP41" i="9" l="1"/>
  <c r="CP117" i="9" s="1"/>
  <c r="CD29" i="10"/>
  <c r="BR29" i="10" s="1"/>
  <c r="BR28" i="10"/>
  <c r="CD41" i="9" l="1"/>
  <c r="DH41" i="9"/>
  <c r="D34" i="28"/>
  <c r="G34" i="28" s="1"/>
  <c r="CD117" i="9"/>
  <c r="DI41" i="9" l="1"/>
  <c r="DK41" i="9"/>
  <c r="DL41" i="9"/>
  <c r="DH117" i="9"/>
  <c r="DI117" i="9"/>
  <c r="CP43" i="9"/>
  <c r="CP119" i="9" s="1"/>
  <c r="CD33" i="10"/>
  <c r="BR33" i="10" s="1"/>
  <c r="BR32" i="10"/>
  <c r="CD43" i="9" l="1"/>
  <c r="DI43" i="9" s="1"/>
  <c r="CD119" i="9"/>
  <c r="DH43" i="9"/>
  <c r="D36" i="28" l="1"/>
  <c r="G36" i="28" s="1"/>
  <c r="DK43" i="9"/>
  <c r="DL43" i="9"/>
  <c r="DH119" i="9"/>
  <c r="DI119" i="9"/>
  <c r="CP49" i="9"/>
  <c r="CP125" i="9" s="1"/>
  <c r="CD47" i="10"/>
  <c r="BR47" i="10" s="1"/>
  <c r="BR46" i="10"/>
  <c r="CD49" i="9" l="1"/>
  <c r="CP38" i="9"/>
  <c r="CD125" i="9"/>
  <c r="D42" i="28"/>
  <c r="G42" i="28" s="1"/>
  <c r="DH49" i="9"/>
  <c r="DI49" i="9" l="1"/>
  <c r="DK49" i="9"/>
  <c r="DL49" i="9"/>
  <c r="DI125" i="9"/>
  <c r="DH125" i="9"/>
  <c r="CP114" i="9"/>
  <c r="CD38" i="9"/>
  <c r="DK38" i="9" l="1"/>
  <c r="DL38" i="9"/>
  <c r="CD114" i="9"/>
  <c r="E30" i="24"/>
  <c r="DH38" i="9"/>
  <c r="DI38" i="9"/>
  <c r="D31" i="28"/>
  <c r="G31" i="28" s="1"/>
  <c r="DH114" i="9" l="1"/>
  <c r="DI114" i="9"/>
  <c r="G30" i="24"/>
  <c r="H30" i="24"/>
  <c r="CC36" i="5" l="1"/>
  <c r="BZ36" i="5"/>
  <c r="CM34" i="9"/>
  <c r="CL34" i="9"/>
  <c r="CL110" i="9" s="1"/>
  <c r="BR29" i="5"/>
  <c r="BY36" i="5"/>
  <c r="CO34" i="9"/>
  <c r="BR23" i="5"/>
  <c r="BY23" i="5"/>
  <c r="CB36" i="5"/>
  <c r="CB25" i="5"/>
  <c r="CN33" i="9" s="1"/>
  <c r="CA36" i="5"/>
  <c r="CA23" i="5"/>
  <c r="BR27" i="5"/>
  <c r="CN34" i="9"/>
  <c r="CN110" i="9" s="1"/>
  <c r="CC35" i="5"/>
  <c r="CC25" i="5"/>
  <c r="CO33" i="9"/>
  <c r="CO109" i="9"/>
  <c r="BZ25" i="5"/>
  <c r="CL33" i="9"/>
  <c r="CL32" i="9" s="1"/>
  <c r="CL108" i="9" s="1"/>
  <c r="CK34" i="9"/>
  <c r="BZ35" i="5"/>
  <c r="BZ23" i="5"/>
  <c r="CA35" i="5"/>
  <c r="CA25" i="5"/>
  <c r="CM33" i="9"/>
  <c r="CM109" i="9" s="1"/>
  <c r="CB35" i="5"/>
  <c r="CB23" i="5"/>
  <c r="BY35" i="5"/>
  <c r="BY25" i="5"/>
  <c r="BR25" i="5" s="1"/>
  <c r="CK33" i="9"/>
  <c r="CK32" i="9" l="1"/>
  <c r="CK108" i="9" s="1"/>
  <c r="CD33" i="9"/>
  <c r="CK110" i="9"/>
  <c r="CL109" i="9"/>
  <c r="CO110" i="9"/>
  <c r="CO32" i="9"/>
  <c r="DH33" i="9"/>
  <c r="CD109" i="9"/>
  <c r="D26" i="28"/>
  <c r="G26" i="28" s="1"/>
  <c r="DI33" i="9"/>
  <c r="CM32" i="9"/>
  <c r="CM110" i="9"/>
  <c r="CN32" i="9"/>
  <c r="CN109" i="9"/>
  <c r="CK109" i="9"/>
  <c r="DK33" i="9" l="1"/>
  <c r="DL33" i="9"/>
  <c r="CN20" i="9"/>
  <c r="CN108" i="9"/>
  <c r="CM108" i="9"/>
  <c r="CM20" i="9"/>
  <c r="DH109" i="9"/>
  <c r="DI109" i="9"/>
  <c r="CO108" i="9"/>
  <c r="CO20" i="9"/>
  <c r="CN96" i="9" l="1"/>
  <c r="CN52" i="9"/>
  <c r="CM52" i="9"/>
  <c r="CM96" i="9"/>
  <c r="CO96" i="9"/>
  <c r="CO52" i="9"/>
  <c r="CO128" i="9" l="1"/>
  <c r="CO79" i="9"/>
  <c r="CO75" i="9"/>
  <c r="CO77" i="9" s="1"/>
  <c r="CM128" i="9"/>
  <c r="CM75" i="9"/>
  <c r="CM79" i="9"/>
  <c r="CN128" i="9"/>
  <c r="CN79" i="9"/>
  <c r="CN75" i="9"/>
  <c r="CN77" i="9" s="1"/>
  <c r="CP34" i="9" l="1"/>
  <c r="CP110" i="9" s="1"/>
  <c r="CD33" i="5"/>
  <c r="BR32" i="5"/>
  <c r="BR33" i="5" s="1"/>
  <c r="CP32" i="9" l="1"/>
  <c r="CD34" i="9"/>
  <c r="CP108" i="9"/>
  <c r="DI34" i="9"/>
  <c r="D27" i="28"/>
  <c r="G27" i="28" s="1"/>
  <c r="DH34" i="9"/>
  <c r="CD32" i="9"/>
  <c r="DK32" i="9" l="1"/>
  <c r="DL32" i="9"/>
  <c r="CD110" i="9"/>
  <c r="DI110" i="9" s="1"/>
  <c r="DK34" i="9"/>
  <c r="DL34" i="9"/>
  <c r="DH110" i="9"/>
  <c r="DH32" i="9"/>
  <c r="CD108" i="9"/>
  <c r="E28" i="24"/>
  <c r="D25" i="28"/>
  <c r="G25" i="28" s="1"/>
  <c r="DI32" i="9"/>
  <c r="H28" i="24" l="1"/>
  <c r="G28" i="24"/>
  <c r="DI108" i="9"/>
  <c r="DH108" i="9"/>
  <c r="CL22" i="9"/>
  <c r="CL98" i="9" s="1"/>
  <c r="CK22" i="9"/>
  <c r="CD22" i="9" s="1"/>
  <c r="BS29" i="4"/>
  <c r="CK23" i="9"/>
  <c r="CK99" i="9" s="1"/>
  <c r="CL23" i="9"/>
  <c r="CL99" i="9" s="1"/>
  <c r="CA26" i="4"/>
  <c r="BZ26" i="4"/>
  <c r="BS30" i="4"/>
  <c r="BS28" i="4" s="1"/>
  <c r="BS35" i="4" s="1"/>
  <c r="BZ25" i="4"/>
  <c r="BZ28" i="4"/>
  <c r="BZ24" i="4" s="1"/>
  <c r="CA25" i="4"/>
  <c r="CA28" i="4"/>
  <c r="CA24" i="4" s="1"/>
  <c r="CK98" i="9" l="1"/>
  <c r="CD98" i="9"/>
  <c r="DK22" i="9"/>
  <c r="DL22" i="9"/>
  <c r="DH22" i="9"/>
  <c r="CL21" i="9"/>
  <c r="CL97" i="9" s="1"/>
  <c r="BZ35" i="4"/>
  <c r="CA35" i="4"/>
  <c r="BS2" i="4"/>
  <c r="DI98" i="9"/>
  <c r="DH98" i="9"/>
  <c r="BS24" i="4"/>
  <c r="CF2" i="4"/>
  <c r="D15" i="28"/>
  <c r="G15" i="28" s="1"/>
  <c r="CD23" i="9"/>
  <c r="CK21" i="9"/>
  <c r="DI22" i="9"/>
  <c r="DK23" i="9" l="1"/>
  <c r="DL23" i="9"/>
  <c r="CL20" i="9"/>
  <c r="CD99" i="9"/>
  <c r="D16" i="28"/>
  <c r="G16" i="28" s="1"/>
  <c r="DH23" i="9"/>
  <c r="DI23" i="9"/>
  <c r="CK20" i="9"/>
  <c r="CK97" i="9"/>
  <c r="CD21" i="9"/>
  <c r="DK21" i="9" s="1"/>
  <c r="CL52" i="9"/>
  <c r="CL96" i="9"/>
  <c r="CL75" i="9" l="1"/>
  <c r="CL77" i="9" s="1"/>
  <c r="CL128" i="9"/>
  <c r="CL79" i="9"/>
  <c r="CD5" i="9"/>
  <c r="DH21" i="9"/>
  <c r="D14" i="28"/>
  <c r="CD97" i="9"/>
  <c r="E23" i="24"/>
  <c r="CK96" i="9"/>
  <c r="CK52" i="9"/>
  <c r="I7" i="30" s="1"/>
  <c r="DI99" i="9"/>
  <c r="DH99" i="9"/>
  <c r="CK128" i="9" l="1"/>
  <c r="CK79" i="9"/>
  <c r="CK75" i="9"/>
  <c r="CK77" i="9" s="1"/>
  <c r="DH97" i="9"/>
  <c r="CM77" i="9" l="1"/>
  <c r="CD76" i="9"/>
  <c r="CK82" i="9"/>
  <c r="CL82" i="9" l="1"/>
  <c r="CM82" i="9" l="1"/>
  <c r="CN82" i="9" l="1"/>
  <c r="CO82" i="9" l="1"/>
  <c r="CP30" i="9"/>
  <c r="CP106" i="9" s="1"/>
  <c r="BR72" i="3"/>
  <c r="BR73" i="3" s="1"/>
  <c r="BR83" i="3" s="1"/>
  <c r="CD73" i="3"/>
  <c r="CD83" i="3" s="1"/>
  <c r="CD82" i="3"/>
  <c r="BR82" i="3" l="1"/>
  <c r="CD30" i="9"/>
  <c r="CP28" i="9"/>
  <c r="CP20" i="9" s="1"/>
  <c r="CP52" i="9" s="1"/>
  <c r="J7" i="30" s="1"/>
  <c r="I8" i="30" s="1"/>
  <c r="CD106" i="9"/>
  <c r="DH30" i="9"/>
  <c r="G9" i="30" l="1"/>
  <c r="D23" i="28"/>
  <c r="DK30" i="9"/>
  <c r="CP104" i="9"/>
  <c r="CD28" i="9"/>
  <c r="CP96" i="9"/>
  <c r="DI106" i="9"/>
  <c r="DH106" i="9"/>
  <c r="D21" i="28"/>
  <c r="CD20" i="9"/>
  <c r="DK20" i="9" s="1"/>
  <c r="DH28" i="9"/>
  <c r="E27" i="24"/>
  <c r="CP79" i="9"/>
  <c r="CP75" i="9"/>
  <c r="CP77" i="9" s="1"/>
  <c r="CP128" i="9"/>
  <c r="CD52" i="9"/>
  <c r="DK52" i="9" s="1"/>
  <c r="G10" i="30" l="1"/>
  <c r="H10" i="30"/>
  <c r="I10" i="30"/>
  <c r="J10" i="30"/>
  <c r="CD104" i="9"/>
  <c r="DK28" i="9"/>
  <c r="CP82" i="9"/>
  <c r="CD81" i="9"/>
  <c r="CD82" i="9" s="1"/>
  <c r="D5" i="28"/>
  <c r="CD128" i="9"/>
  <c r="CD79" i="9"/>
  <c r="CD80" i="9" s="1"/>
  <c r="CD75" i="9"/>
  <c r="CD77" i="9" s="1"/>
  <c r="E13" i="24"/>
  <c r="CD7" i="9"/>
  <c r="DH52" i="9"/>
  <c r="CD6" i="9"/>
  <c r="E26" i="23"/>
  <c r="E28" i="23"/>
  <c r="E6" i="23"/>
  <c r="DH20" i="9"/>
  <c r="CD96" i="9"/>
  <c r="D13" i="28"/>
  <c r="DI104" i="9"/>
  <c r="DH104" i="9"/>
  <c r="DH96" i="9" l="1"/>
  <c r="E22" i="23"/>
  <c r="E14" i="24"/>
  <c r="E10" i="23"/>
  <c r="DH128" i="9"/>
  <c r="E11" i="23" l="1"/>
  <c r="E21" i="23"/>
  <c r="AR40" i="14"/>
  <c r="AR51" i="14" s="1"/>
  <c r="AS40" i="14"/>
  <c r="AS51" i="14" s="1"/>
  <c r="AR24" i="14"/>
  <c r="CR154" i="9" s="1"/>
  <c r="CR30" i="9" s="1"/>
  <c r="AS24" i="14"/>
  <c r="AS15" i="14" s="1"/>
  <c r="AS27" i="14" s="1"/>
  <c r="CS154" i="9" l="1"/>
  <c r="CS152" i="9" s="1"/>
  <c r="CS144" i="9" s="1"/>
  <c r="CS176" i="9" s="1"/>
  <c r="CR28" i="9"/>
  <c r="AT24" i="14"/>
  <c r="AT40" i="14"/>
  <c r="AT51" i="14" s="1"/>
  <c r="CR152" i="9"/>
  <c r="CR144" i="9" s="1"/>
  <c r="CR176" i="9" s="1"/>
  <c r="AR15" i="14"/>
  <c r="CR20" i="9" l="1"/>
  <c r="CS30" i="9"/>
  <c r="CS28" i="9" s="1"/>
  <c r="AT15" i="14"/>
  <c r="AT27" i="14" s="1"/>
  <c r="CT154" i="9"/>
  <c r="AR27" i="14"/>
  <c r="AU40" i="14"/>
  <c r="AU24" i="14"/>
  <c r="CS20" i="9" l="1"/>
  <c r="AU15" i="14"/>
  <c r="CU154" i="9"/>
  <c r="CT30" i="9"/>
  <c r="CT152" i="9"/>
  <c r="CT144" i="9" s="1"/>
  <c r="CT176" i="9" s="1"/>
  <c r="AV24" i="14"/>
  <c r="AV40" i="14"/>
  <c r="AV51" i="14" s="1"/>
  <c r="AU51" i="14"/>
  <c r="CV154" i="9" l="1"/>
  <c r="AV15" i="14"/>
  <c r="AV27" i="14" s="1"/>
  <c r="AW24" i="14"/>
  <c r="AW40" i="14"/>
  <c r="CT28" i="9"/>
  <c r="CU30" i="9"/>
  <c r="CU28" i="9" s="1"/>
  <c r="CU20" i="9" s="1"/>
  <c r="CU152" i="9"/>
  <c r="CU144" i="9" s="1"/>
  <c r="CU176" i="9" s="1"/>
  <c r="AU27" i="14"/>
  <c r="CT20" i="9" l="1"/>
  <c r="AX24" i="14"/>
  <c r="AX40" i="14"/>
  <c r="AX51" i="14" s="1"/>
  <c r="AW51" i="14"/>
  <c r="CW154" i="9"/>
  <c r="AW15" i="14"/>
  <c r="CV152" i="9"/>
  <c r="CV144" i="9" s="1"/>
  <c r="CV176" i="9" s="1"/>
  <c r="CV30" i="9"/>
  <c r="CV28" i="9" s="1"/>
  <c r="CV20" i="9" s="1"/>
  <c r="CW30" i="9" l="1"/>
  <c r="CW28" i="9" s="1"/>
  <c r="CW152" i="9"/>
  <c r="CW144" i="9" s="1"/>
  <c r="CW176" i="9" s="1"/>
  <c r="CX154" i="9"/>
  <c r="AX15" i="14"/>
  <c r="AX27" i="14" s="1"/>
  <c r="AW27" i="14"/>
  <c r="AY40" i="14"/>
  <c r="AY24" i="14"/>
  <c r="CW20" i="9" l="1"/>
  <c r="AY51" i="14"/>
  <c r="AY15" i="14"/>
  <c r="CY154" i="9"/>
  <c r="AZ24" i="14"/>
  <c r="AZ40" i="14"/>
  <c r="AZ51" i="14" s="1"/>
  <c r="CX30" i="9"/>
  <c r="CX152" i="9"/>
  <c r="CX144" i="9" s="1"/>
  <c r="CX176" i="9" s="1"/>
  <c r="CX28" i="9" l="1"/>
  <c r="AY27" i="14"/>
  <c r="BA40" i="14"/>
  <c r="BA51" i="14" s="1"/>
  <c r="BA24" i="14"/>
  <c r="CZ154" i="9"/>
  <c r="AZ15" i="14"/>
  <c r="AZ27" i="14" s="1"/>
  <c r="CY152" i="9"/>
  <c r="CY144" i="9" s="1"/>
  <c r="CY176" i="9" s="1"/>
  <c r="CY30" i="9"/>
  <c r="CY28" i="9" s="1"/>
  <c r="CY20" i="9" l="1"/>
  <c r="CX20" i="9"/>
  <c r="BA15" i="14"/>
  <c r="BA27" i="14" s="1"/>
  <c r="DA154" i="9"/>
  <c r="CZ152" i="9"/>
  <c r="CZ144" i="9" s="1"/>
  <c r="CZ176" i="9" s="1"/>
  <c r="CZ30" i="9"/>
  <c r="CZ28" i="9" s="1"/>
  <c r="BB24" i="14"/>
  <c r="BB40" i="14"/>
  <c r="BB51" i="14" s="1"/>
  <c r="AQ47" i="14"/>
  <c r="CZ20" i="9" l="1"/>
  <c r="DB154" i="9"/>
  <c r="BB15" i="14"/>
  <c r="BB27" i="14" s="1"/>
  <c r="BC40" i="14"/>
  <c r="BC24" i="14"/>
  <c r="DA152" i="9"/>
  <c r="DA144" i="9" s="1"/>
  <c r="DA176" i="9" s="1"/>
  <c r="DA30" i="9"/>
  <c r="DA28" i="9" s="1"/>
  <c r="DA20" i="9" l="1"/>
  <c r="BC51" i="14"/>
  <c r="AQ51" i="14" s="1"/>
  <c r="AQ40" i="14"/>
  <c r="BC15" i="14"/>
  <c r="DC154" i="9"/>
  <c r="AQ24" i="14"/>
  <c r="DB152" i="9"/>
  <c r="DB144" i="9" s="1"/>
  <c r="DB176" i="9" s="1"/>
  <c r="DB30" i="9"/>
  <c r="DB28" i="9" s="1"/>
  <c r="DB20" i="9" l="1"/>
  <c r="DC30" i="9"/>
  <c r="DC152" i="9"/>
  <c r="DC144" i="9" s="1"/>
  <c r="DC176" i="9" s="1"/>
  <c r="CQ154" i="9"/>
  <c r="BC27" i="14"/>
  <c r="AQ15" i="14"/>
  <c r="AQ27" i="14" s="1"/>
  <c r="AQ29" i="14" s="1"/>
  <c r="DI154" i="9" l="1"/>
  <c r="CQ152" i="9"/>
  <c r="DC28" i="9"/>
  <c r="CQ30" i="9"/>
  <c r="DL30" i="9" l="1"/>
  <c r="CQ28" i="9"/>
  <c r="E23" i="28"/>
  <c r="G23" i="28" s="1"/>
  <c r="DI30" i="9"/>
  <c r="CQ144" i="9"/>
  <c r="DI152" i="9"/>
  <c r="DL28" i="9" l="1"/>
  <c r="DI144" i="9"/>
  <c r="CQ176" i="9"/>
  <c r="F27" i="24"/>
  <c r="E21" i="28"/>
  <c r="G21" i="28" s="1"/>
  <c r="DI28" i="9"/>
  <c r="F15" i="24" l="1"/>
  <c r="F14" i="23"/>
  <c r="DI176" i="9"/>
  <c r="G27" i="24"/>
  <c r="I27" i="24"/>
  <c r="H27" i="24"/>
  <c r="H14" i="23" l="1"/>
  <c r="F15" i="23"/>
  <c r="G15" i="24"/>
  <c r="H15" i="24"/>
  <c r="I15" i="24"/>
  <c r="CR37" i="4" l="1"/>
  <c r="DC103" i="9" s="1"/>
  <c r="CR44" i="4"/>
  <c r="CF44" i="4" s="1"/>
  <c r="CF37" i="4" l="1"/>
  <c r="DC97" i="9"/>
  <c r="DC96" i="9" s="1"/>
  <c r="DC27" i="9"/>
  <c r="CQ27" i="9" s="1"/>
  <c r="CQ103" i="9"/>
  <c r="DI103" i="9" l="1"/>
  <c r="CQ97" i="9"/>
  <c r="DC21" i="9"/>
  <c r="DC20" i="9" l="1"/>
  <c r="DL27" i="9"/>
  <c r="E20" i="28"/>
  <c r="G20" i="28" s="1"/>
  <c r="DI27" i="9"/>
  <c r="CQ21" i="9"/>
  <c r="DI97" i="9"/>
  <c r="CQ96" i="9"/>
  <c r="DI96" i="9" s="1"/>
  <c r="DL21" i="9" l="1"/>
  <c r="E14" i="28"/>
  <c r="G14" i="28" s="1"/>
  <c r="F23" i="24"/>
  <c r="DI21" i="9"/>
  <c r="CQ20" i="9"/>
  <c r="DL20" i="9" l="1"/>
  <c r="DI20" i="9"/>
  <c r="E13" i="28"/>
  <c r="G13" i="28" s="1"/>
  <c r="G23" i="24"/>
  <c r="H23" i="24"/>
  <c r="I23" i="24"/>
  <c r="CF196" i="2"/>
  <c r="CF242" i="2" s="1"/>
  <c r="CQ196" i="2"/>
  <c r="CQ208" i="2" s="1"/>
  <c r="CP196" i="2"/>
  <c r="CP209" i="2" s="1"/>
  <c r="CO196" i="2"/>
  <c r="CO242" i="2" s="1"/>
  <c r="CN196" i="2"/>
  <c r="CZ89" i="9" s="1"/>
  <c r="CM196" i="2"/>
  <c r="CM208" i="2" s="1"/>
  <c r="CK196" i="2"/>
  <c r="CK207" i="2" s="1"/>
  <c r="CL196" i="2"/>
  <c r="CL208" i="2" s="1"/>
  <c r="CJ196" i="2"/>
  <c r="CJ242" i="2" s="1"/>
  <c r="CH196" i="2"/>
  <c r="CH208" i="2" s="1"/>
  <c r="CI196" i="2"/>
  <c r="CI209" i="2" s="1"/>
  <c r="CE206" i="2"/>
  <c r="CG196" i="2"/>
  <c r="CS89" i="9" s="1"/>
  <c r="CV89" i="9" l="1"/>
  <c r="CV88" i="9" s="1"/>
  <c r="CV95" i="9" s="1"/>
  <c r="CV128" i="9" s="1"/>
  <c r="CF209" i="2"/>
  <c r="CO209" i="2"/>
  <c r="CH209" i="2"/>
  <c r="CG209" i="2"/>
  <c r="CJ209" i="2"/>
  <c r="CV84" i="9"/>
  <c r="CI242" i="2"/>
  <c r="CI195" i="2"/>
  <c r="CL209" i="2"/>
  <c r="CP208" i="2"/>
  <c r="CF207" i="2"/>
  <c r="CP195" i="2"/>
  <c r="DB89" i="9"/>
  <c r="DB13" i="9" s="1"/>
  <c r="DB9" i="9" s="1"/>
  <c r="CF195" i="2"/>
  <c r="CM195" i="2"/>
  <c r="CW89" i="9"/>
  <c r="CW88" i="9" s="1"/>
  <c r="CW95" i="9" s="1"/>
  <c r="CW128" i="9" s="1"/>
  <c r="CP207" i="2"/>
  <c r="CR89" i="9"/>
  <c r="CR84" i="9" s="1"/>
  <c r="CP242" i="2"/>
  <c r="CQ209" i="2"/>
  <c r="CK209" i="2"/>
  <c r="CM209" i="2"/>
  <c r="DC89" i="9"/>
  <c r="CI207" i="2"/>
  <c r="CM242" i="2"/>
  <c r="CJ208" i="2"/>
  <c r="CI208" i="2"/>
  <c r="CN209" i="2"/>
  <c r="DA89" i="9"/>
  <c r="DA88" i="9" s="1"/>
  <c r="DA95" i="9" s="1"/>
  <c r="DA128" i="9" s="1"/>
  <c r="CZ84" i="9"/>
  <c r="CZ88" i="9"/>
  <c r="CZ95" i="9" s="1"/>
  <c r="CZ128" i="9" s="1"/>
  <c r="CZ13" i="9"/>
  <c r="CZ9" i="9" s="1"/>
  <c r="CS84" i="9"/>
  <c r="CS13" i="9"/>
  <c r="CS9" i="9" s="1"/>
  <c r="CS88" i="9"/>
  <c r="CS95" i="9" s="1"/>
  <c r="CS128" i="9" s="1"/>
  <c r="CE196" i="2"/>
  <c r="CL242" i="2"/>
  <c r="CN195" i="2"/>
  <c r="CH207" i="2"/>
  <c r="CQ207" i="2"/>
  <c r="CK208" i="2"/>
  <c r="CH242" i="2"/>
  <c r="CT89" i="9"/>
  <c r="CG208" i="2"/>
  <c r="CK195" i="2"/>
  <c r="CG207" i="2"/>
  <c r="CK242" i="2"/>
  <c r="CO207" i="2"/>
  <c r="CU89" i="9"/>
  <c r="CN207" i="2"/>
  <c r="CQ195" i="2"/>
  <c r="CG195" i="2"/>
  <c r="CO195" i="2"/>
  <c r="CV13" i="9"/>
  <c r="CV9" i="9" s="1"/>
  <c r="CL207" i="2"/>
  <c r="CX89" i="9"/>
  <c r="CN208" i="2"/>
  <c r="CQ242" i="2"/>
  <c r="CO208" i="2"/>
  <c r="CY89" i="9"/>
  <c r="CF208" i="2"/>
  <c r="CL195" i="2"/>
  <c r="CN242" i="2"/>
  <c r="CH195" i="2"/>
  <c r="CG242" i="2"/>
  <c r="CJ207" i="2"/>
  <c r="CJ195" i="2"/>
  <c r="CM207" i="2"/>
  <c r="CR88" i="9" l="1"/>
  <c r="CR95" i="9" s="1"/>
  <c r="CR128" i="9" s="1"/>
  <c r="CE195" i="2"/>
  <c r="CW13" i="9"/>
  <c r="CW9" i="9" s="1"/>
  <c r="CW84" i="9"/>
  <c r="DB88" i="9"/>
  <c r="DB95" i="9" s="1"/>
  <c r="DB128" i="9" s="1"/>
  <c r="DB84" i="9"/>
  <c r="DC88" i="9"/>
  <c r="DC95" i="9" s="1"/>
  <c r="DC128" i="9" s="1"/>
  <c r="DC84" i="9"/>
  <c r="DC13" i="9"/>
  <c r="DC9" i="9" s="1"/>
  <c r="DA13" i="9"/>
  <c r="DA9" i="9" s="1"/>
  <c r="DA84" i="9"/>
  <c r="CQ89" i="9"/>
  <c r="CQ88" i="9" s="1"/>
  <c r="CR13" i="9"/>
  <c r="CR9" i="9" s="1"/>
  <c r="CS12" i="9"/>
  <c r="CS19" i="9" s="1"/>
  <c r="CS52" i="9" s="1"/>
  <c r="CS3" i="9"/>
  <c r="CX84" i="9"/>
  <c r="CX13" i="9"/>
  <c r="CX9" i="9" s="1"/>
  <c r="CX88" i="9"/>
  <c r="CX95" i="9" s="1"/>
  <c r="CX128" i="9" s="1"/>
  <c r="CV12" i="9"/>
  <c r="CV19" i="9" s="1"/>
  <c r="CV52" i="9" s="1"/>
  <c r="CV3" i="9"/>
  <c r="CE207" i="2"/>
  <c r="CE242" i="2"/>
  <c r="CE208" i="2"/>
  <c r="CE209" i="2"/>
  <c r="CU13" i="9"/>
  <c r="CU9" i="9" s="1"/>
  <c r="CU84" i="9"/>
  <c r="CU88" i="9"/>
  <c r="CU95" i="9" s="1"/>
  <c r="CU128" i="9" s="1"/>
  <c r="CZ3" i="9"/>
  <c r="CZ12" i="9"/>
  <c r="CZ19" i="9" s="1"/>
  <c r="CZ52" i="9" s="1"/>
  <c r="CT84" i="9"/>
  <c r="CT13" i="9"/>
  <c r="CT9" i="9" s="1"/>
  <c r="CT88" i="9"/>
  <c r="CT95" i="9" s="1"/>
  <c r="CT128" i="9" s="1"/>
  <c r="CY84" i="9"/>
  <c r="CY13" i="9"/>
  <c r="CY9" i="9" s="1"/>
  <c r="CY88" i="9"/>
  <c r="CY95" i="9" s="1"/>
  <c r="CY128" i="9" s="1"/>
  <c r="DB12" i="9"/>
  <c r="DB19" i="9" s="1"/>
  <c r="DB52" i="9" s="1"/>
  <c r="DB3" i="9"/>
  <c r="CW3" i="9" l="1"/>
  <c r="CR3" i="9"/>
  <c r="CR12" i="9"/>
  <c r="CR19" i="9" s="1"/>
  <c r="CR52" i="9" s="1"/>
  <c r="K7" i="30" s="1"/>
  <c r="CQ128" i="9"/>
  <c r="DI128" i="9" s="1"/>
  <c r="DC3" i="9"/>
  <c r="DC12" i="9"/>
  <c r="DC19" i="9" s="1"/>
  <c r="DC52" i="9" s="1"/>
  <c r="DI89" i="9"/>
  <c r="CQ13" i="9"/>
  <c r="DA12" i="9"/>
  <c r="DA19" i="9" s="1"/>
  <c r="DA52" i="9" s="1"/>
  <c r="DA3" i="9"/>
  <c r="CQ95" i="9"/>
  <c r="DI95" i="9" s="1"/>
  <c r="CQ84" i="9"/>
  <c r="CW12" i="9"/>
  <c r="CW19" i="9" s="1"/>
  <c r="CW52" i="9" s="1"/>
  <c r="CZ79" i="9"/>
  <c r="CZ75" i="9"/>
  <c r="CZ77" i="9" s="1"/>
  <c r="CV75" i="9"/>
  <c r="CV77" i="9" s="1"/>
  <c r="CV79" i="9"/>
  <c r="CT12" i="9"/>
  <c r="CT19" i="9" s="1"/>
  <c r="CT52" i="9" s="1"/>
  <c r="CT3" i="9"/>
  <c r="DB75" i="9"/>
  <c r="DB77" i="9" s="1"/>
  <c r="DB79" i="9"/>
  <c r="CU3" i="9"/>
  <c r="CU12" i="9"/>
  <c r="CU19" i="9" s="1"/>
  <c r="CU52" i="9" s="1"/>
  <c r="F9" i="23"/>
  <c r="DI88" i="9"/>
  <c r="CX12" i="9"/>
  <c r="CX19" i="9" s="1"/>
  <c r="CX52" i="9" s="1"/>
  <c r="CX3" i="9"/>
  <c r="CY3" i="9"/>
  <c r="CY12" i="9"/>
  <c r="CY19" i="9" s="1"/>
  <c r="CY52" i="9" s="1"/>
  <c r="CS79" i="9"/>
  <c r="CS75" i="9"/>
  <c r="CS77" i="9" s="1"/>
  <c r="N7" i="30" l="1"/>
  <c r="L7" i="30"/>
  <c r="K8" i="30" s="1"/>
  <c r="M7" i="30"/>
  <c r="M8" i="30" s="1"/>
  <c r="DI13" i="9"/>
  <c r="CQ3" i="9"/>
  <c r="CQ9" i="9"/>
  <c r="DL13" i="9"/>
  <c r="F14" i="24"/>
  <c r="G14" i="24" s="1"/>
  <c r="F10" i="23"/>
  <c r="H10" i="23" s="1"/>
  <c r="CW75" i="9"/>
  <c r="CW77" i="9" s="1"/>
  <c r="CW79" i="9"/>
  <c r="DA79" i="9"/>
  <c r="DA75" i="9"/>
  <c r="DA77" i="9" s="1"/>
  <c r="DC79" i="9"/>
  <c r="DC75" i="9"/>
  <c r="DC77" i="9" s="1"/>
  <c r="F16" i="24"/>
  <c r="H16" i="24" s="1"/>
  <c r="CQ12" i="9"/>
  <c r="E6" i="28"/>
  <c r="E1" i="28" s="1"/>
  <c r="CY79" i="9"/>
  <c r="CY75" i="9"/>
  <c r="CY77" i="9" s="1"/>
  <c r="CR75" i="9"/>
  <c r="CR77" i="9" s="1"/>
  <c r="CR79" i="9"/>
  <c r="CQ19" i="9"/>
  <c r="H9" i="23"/>
  <c r="CU79" i="9"/>
  <c r="CU75" i="9"/>
  <c r="CU77" i="9" s="1"/>
  <c r="CT79" i="9"/>
  <c r="CT75" i="9"/>
  <c r="CT77" i="9" s="1"/>
  <c r="CX79" i="9"/>
  <c r="CX75" i="9"/>
  <c r="CX77" i="9" s="1"/>
  <c r="K9" i="30" l="1"/>
  <c r="M10" i="30" s="1"/>
  <c r="H14" i="24"/>
  <c r="K10" i="30"/>
  <c r="I14" i="24"/>
  <c r="DL12" i="9"/>
  <c r="E4" i="28"/>
  <c r="G4" i="28" s="1"/>
  <c r="F5" i="23"/>
  <c r="F17" i="23" s="1"/>
  <c r="CQ5" i="9"/>
  <c r="DI12" i="9"/>
  <c r="F12" i="24"/>
  <c r="I12" i="24" s="1"/>
  <c r="G6" i="28"/>
  <c r="I16" i="24"/>
  <c r="G16" i="24"/>
  <c r="DI19" i="9"/>
  <c r="E12" i="28"/>
  <c r="G12" i="28" s="1"/>
  <c r="CQ4" i="9"/>
  <c r="DL19" i="9"/>
  <c r="CQ52" i="9"/>
  <c r="N10" i="30" l="1"/>
  <c r="L10" i="30"/>
  <c r="CQ75" i="9"/>
  <c r="F18" i="23"/>
  <c r="G12" i="24"/>
  <c r="H5" i="23"/>
  <c r="H12" i="24"/>
  <c r="F26" i="23"/>
  <c r="DL52" i="9"/>
  <c r="DI52" i="9"/>
  <c r="E5" i="28"/>
  <c r="G5" i="28" s="1"/>
  <c r="F13" i="24"/>
  <c r="CQ6" i="9"/>
  <c r="F28" i="23"/>
  <c r="F6" i="23"/>
  <c r="CQ79" i="9"/>
  <c r="CQ7" i="9"/>
  <c r="CQ80" i="9" l="1"/>
  <c r="H6" i="23"/>
  <c r="F22" i="23"/>
  <c r="F21" i="23"/>
  <c r="H13" i="24"/>
  <c r="G13" i="24"/>
  <c r="I13" i="24"/>
  <c r="CQ77" i="9"/>
</calcChain>
</file>

<file path=xl/sharedStrings.xml><?xml version="1.0" encoding="utf-8"?>
<sst xmlns="http://schemas.openxmlformats.org/spreadsheetml/2006/main" count="2951" uniqueCount="878">
  <si>
    <t>구분</t>
    <phoneticPr fontId="2" type="noConversion"/>
  </si>
  <si>
    <t>Total</t>
    <phoneticPr fontId="4" type="noConversion"/>
  </si>
  <si>
    <t>1월</t>
    <phoneticPr fontId="4" type="noConversion"/>
  </si>
  <si>
    <t>2월</t>
    <phoneticPr fontId="4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</si>
  <si>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</si>
  <si>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</si>
  <si>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</si>
  <si>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</si>
  <si>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</si>
  <si>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</si>
  <si>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</si>
  <si>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</si>
  <si>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</si>
  <si>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</si>
  <si>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전사</t>
    <phoneticPr fontId="2" type="noConversion"/>
  </si>
  <si>
    <t>도매</t>
  </si>
  <si>
    <t>소매</t>
  </si>
  <si>
    <t>제휴</t>
  </si>
  <si>
    <t>기업</t>
  </si>
  <si>
    <t>일반해지</t>
    <phoneticPr fontId="2" type="noConversion"/>
  </si>
  <si>
    <t>해지율
(%)</t>
    <phoneticPr fontId="2" type="noConversion"/>
  </si>
  <si>
    <t>만기도래
해지</t>
    <phoneticPr fontId="2" type="noConversion"/>
  </si>
  <si>
    <t>기타</t>
    <phoneticPr fontId="2" type="noConversion"/>
  </si>
  <si>
    <t>ㅇ 무선 실적</t>
    <phoneticPr fontId="4" type="noConversion"/>
  </si>
  <si>
    <t>순증</t>
    <phoneticPr fontId="2" type="noConversion"/>
  </si>
  <si>
    <t>해지</t>
    <phoneticPr fontId="2" type="noConversion"/>
  </si>
  <si>
    <t>해지율(%)</t>
    <phoneticPr fontId="2" type="noConversion"/>
  </si>
  <si>
    <t>구분</t>
    <phoneticPr fontId="2" type="noConversion"/>
  </si>
  <si>
    <t>인원수
(명)</t>
    <phoneticPr fontId="2" type="noConversion"/>
  </si>
  <si>
    <t>일반직</t>
    <phoneticPr fontId="2" type="noConversion"/>
  </si>
  <si>
    <t>영업직</t>
    <phoneticPr fontId="2" type="noConversion"/>
  </si>
  <si>
    <t>인당 급여
(백만원/인)</t>
    <phoneticPr fontId="2" type="noConversion"/>
  </si>
  <si>
    <t>전사</t>
    <phoneticPr fontId="2" type="noConversion"/>
  </si>
  <si>
    <t>급여 총액
(백만원)</t>
    <phoneticPr fontId="2" type="noConversion"/>
  </si>
  <si>
    <t>총액</t>
    <phoneticPr fontId="2" type="noConversion"/>
  </si>
  <si>
    <t>포상비(백만원)</t>
    <phoneticPr fontId="2" type="noConversion"/>
  </si>
  <si>
    <t>퇴직급여충당금
(백만원)</t>
    <phoneticPr fontId="2" type="noConversion"/>
  </si>
  <si>
    <t>급여비중</t>
    <phoneticPr fontId="2" type="noConversion"/>
  </si>
  <si>
    <t>복리후생비
(백만원)</t>
    <phoneticPr fontId="2" type="noConversion"/>
  </si>
  <si>
    <t>인센티브</t>
    <phoneticPr fontId="2" type="noConversion"/>
  </si>
  <si>
    <t>인당</t>
  </si>
  <si>
    <t>인당</t>
    <phoneticPr fontId="2" type="noConversion"/>
  </si>
  <si>
    <t>도매</t>
    <phoneticPr fontId="2" type="noConversion"/>
  </si>
  <si>
    <t>기말</t>
    <phoneticPr fontId="2" type="noConversion"/>
  </si>
  <si>
    <t>소매</t>
    <phoneticPr fontId="2" type="noConversion"/>
  </si>
  <si>
    <t>대형</t>
    <phoneticPr fontId="2" type="noConversion"/>
  </si>
  <si>
    <t>대형-홈플</t>
    <phoneticPr fontId="2" type="noConversion"/>
  </si>
  <si>
    <t>대형-이마트</t>
    <phoneticPr fontId="2" type="noConversion"/>
  </si>
  <si>
    <t>유선유통</t>
    <phoneticPr fontId="2" type="noConversion"/>
  </si>
  <si>
    <t>대형-홈플</t>
    <phoneticPr fontId="2" type="noConversion"/>
  </si>
  <si>
    <t>자가</t>
    <phoneticPr fontId="2" type="noConversion"/>
  </si>
  <si>
    <t>4.4/7.1</t>
    <phoneticPr fontId="2" type="noConversion"/>
  </si>
  <si>
    <t>2.3/3.0</t>
    <phoneticPr fontId="2" type="noConversion"/>
  </si>
  <si>
    <t>2.0/2.7</t>
    <phoneticPr fontId="2" type="noConversion"/>
  </si>
  <si>
    <t>kt shop</t>
  </si>
  <si>
    <t>미8군</t>
  </si>
  <si>
    <t>IoT</t>
  </si>
  <si>
    <t>Biz</t>
  </si>
  <si>
    <t>전사</t>
    <phoneticPr fontId="2" type="noConversion"/>
  </si>
  <si>
    <t xml:space="preserve"> 수수료수입</t>
  </si>
  <si>
    <t>구분</t>
    <phoneticPr fontId="2" type="noConversion"/>
  </si>
  <si>
    <t>I.  매            출</t>
    <phoneticPr fontId="2" type="noConversion"/>
  </si>
  <si>
    <t xml:space="preserve"> 상품매출</t>
    <phoneticPr fontId="2" type="noConversion"/>
  </si>
  <si>
    <t>II. 매  출  원  가</t>
    <phoneticPr fontId="2" type="noConversion"/>
  </si>
  <si>
    <t>III. 매 출 총 이 익</t>
    <phoneticPr fontId="2" type="noConversion"/>
  </si>
  <si>
    <t>IV. 판매비와일반관리비</t>
  </si>
  <si>
    <t>인건비</t>
    <phoneticPr fontId="12" type="noConversion"/>
  </si>
  <si>
    <t>일반직</t>
    <phoneticPr fontId="12" type="noConversion"/>
  </si>
  <si>
    <t>영업직군</t>
  </si>
  <si>
    <t>포상비</t>
    <phoneticPr fontId="2" type="noConversion"/>
  </si>
  <si>
    <t>퇴직급여충당금</t>
    <phoneticPr fontId="12" type="noConversion"/>
  </si>
  <si>
    <t>복리후생비</t>
  </si>
  <si>
    <t>마케팅비용</t>
    <phoneticPr fontId="12" type="noConversion"/>
  </si>
  <si>
    <t>판매수수료</t>
  </si>
  <si>
    <t>판매촉진비</t>
  </si>
  <si>
    <t>광고선전비</t>
  </si>
  <si>
    <t>임차관리비</t>
    <phoneticPr fontId="12" type="noConversion"/>
  </si>
  <si>
    <t>임차료</t>
  </si>
  <si>
    <t>수도광열비</t>
  </si>
  <si>
    <t>감가상각비</t>
  </si>
  <si>
    <t>무형자산상각비</t>
  </si>
  <si>
    <t>기타운영비용</t>
    <phoneticPr fontId="12" type="noConversion"/>
  </si>
  <si>
    <t>지급수수료</t>
  </si>
  <si>
    <t>회의비</t>
  </si>
  <si>
    <t>운반비</t>
  </si>
  <si>
    <t>교육훈련비</t>
  </si>
  <si>
    <t>통신비</t>
  </si>
  <si>
    <t>소모품비</t>
  </si>
  <si>
    <t>접대비</t>
  </si>
  <si>
    <t>보험료</t>
  </si>
  <si>
    <t>세금과공과</t>
  </si>
  <si>
    <t>차량유지비</t>
  </si>
  <si>
    <t>여비교통비</t>
  </si>
  <si>
    <t>도서인쇄비</t>
  </si>
  <si>
    <t>대손상각비</t>
    <phoneticPr fontId="2" type="noConversion"/>
  </si>
  <si>
    <t>V.  영  업  이  익</t>
    <phoneticPr fontId="12" type="noConversion"/>
  </si>
  <si>
    <t>VI. 영 업 외 수 익</t>
    <phoneticPr fontId="2" type="noConversion"/>
  </si>
  <si>
    <t xml:space="preserve"> 이자수익</t>
  </si>
  <si>
    <t xml:space="preserve"> 외환차익</t>
  </si>
  <si>
    <t xml:space="preserve"> 외화환산이익</t>
  </si>
  <si>
    <t xml:space="preserve"> 장려금</t>
  </si>
  <si>
    <t xml:space="preserve"> 투자자산처분이익</t>
  </si>
  <si>
    <t xml:space="preserve"> 유형자산처분이익</t>
    <phoneticPr fontId="2" type="noConversion"/>
  </si>
  <si>
    <t xml:space="preserve"> 무형자산처분이익</t>
  </si>
  <si>
    <t xml:space="preserve"> 잡이익</t>
  </si>
  <si>
    <t>VII.영 업 외 비 용</t>
    <phoneticPr fontId="2" type="noConversion"/>
  </si>
  <si>
    <t xml:space="preserve"> 이자비용</t>
  </si>
  <si>
    <t xml:space="preserve"> 외환차손</t>
  </si>
  <si>
    <t xml:space="preserve"> 외화환산손실</t>
  </si>
  <si>
    <t xml:space="preserve"> 기부금</t>
    <phoneticPr fontId="2" type="noConversion"/>
  </si>
  <si>
    <t xml:space="preserve"> 유형자산처분손실</t>
    <phoneticPr fontId="2" type="noConversion"/>
  </si>
  <si>
    <t xml:space="preserve"> 무형자산처분손실</t>
    <phoneticPr fontId="2" type="noConversion"/>
  </si>
  <si>
    <t xml:space="preserve"> 잡손실</t>
  </si>
  <si>
    <t>VIII.법인세비용차감전순손실</t>
  </si>
  <si>
    <t xml:space="preserve"> 법인세 비용</t>
    <phoneticPr fontId="2" type="noConversion"/>
  </si>
  <si>
    <t>IX. 당 기 순 이 익</t>
    <phoneticPr fontId="2" type="noConversion"/>
  </si>
  <si>
    <t>Ⅹ. EBITDA</t>
    <phoneticPr fontId="12" type="noConversion"/>
  </si>
  <si>
    <t>Total</t>
    <phoneticPr fontId="4" type="noConversion"/>
  </si>
  <si>
    <t>1월</t>
    <phoneticPr fontId="4" type="noConversion"/>
  </si>
  <si>
    <t>2월</t>
    <phoneticPr fontId="4" type="noConversion"/>
  </si>
  <si>
    <t>정책수수료</t>
    <phoneticPr fontId="12" type="noConversion"/>
  </si>
  <si>
    <t>관리수수료</t>
    <phoneticPr fontId="2" type="noConversion"/>
  </si>
  <si>
    <t>기타수수료</t>
    <phoneticPr fontId="12" type="noConversion"/>
  </si>
  <si>
    <t>계</t>
    <phoneticPr fontId="2" type="noConversion"/>
  </si>
  <si>
    <t>대당 매출</t>
    <phoneticPr fontId="2" type="noConversion"/>
  </si>
  <si>
    <t>관리수수료
(백만원)</t>
    <phoneticPr fontId="2" type="noConversion"/>
  </si>
  <si>
    <t>임차관리비
(백만원)</t>
    <phoneticPr fontId="2" type="noConversion"/>
  </si>
  <si>
    <t>수도광열비
(백만원)</t>
    <phoneticPr fontId="2" type="noConversion"/>
  </si>
  <si>
    <t>총액</t>
    <phoneticPr fontId="2" type="noConversion"/>
  </si>
  <si>
    <t>건물</t>
    <phoneticPr fontId="2" type="noConversion"/>
  </si>
  <si>
    <t>관리비</t>
    <phoneticPr fontId="2" type="noConversion"/>
  </si>
  <si>
    <t>렌터카</t>
    <phoneticPr fontId="2" type="noConversion"/>
  </si>
  <si>
    <t>OA기기</t>
    <phoneticPr fontId="2" type="noConversion"/>
  </si>
  <si>
    <t>물류센터</t>
    <phoneticPr fontId="2" type="noConversion"/>
  </si>
  <si>
    <t>기타(보증금환산)</t>
    <phoneticPr fontId="2" type="noConversion"/>
  </si>
  <si>
    <t>관리비 비중</t>
    <phoneticPr fontId="2" type="noConversion"/>
  </si>
  <si>
    <t>기말</t>
  </si>
  <si>
    <t>기말</t>
    <phoneticPr fontId="2" type="noConversion"/>
  </si>
  <si>
    <t>ㅇ 인프라 현황</t>
    <phoneticPr fontId="4" type="noConversion"/>
  </si>
  <si>
    <t>ㅇ 기타운영비</t>
    <phoneticPr fontId="4" type="noConversion"/>
  </si>
  <si>
    <t>구분</t>
    <phoneticPr fontId="2" type="noConversion"/>
  </si>
  <si>
    <t>지급수수료
(백만원)</t>
    <phoneticPr fontId="2" type="noConversion"/>
  </si>
  <si>
    <t>총액</t>
    <phoneticPr fontId="2" type="noConversion"/>
  </si>
  <si>
    <t>IT 수수료</t>
    <phoneticPr fontId="2" type="noConversion"/>
  </si>
  <si>
    <t>서비스 이용료</t>
    <phoneticPr fontId="2" type="noConversion"/>
  </si>
  <si>
    <t>전문가 자문료</t>
    <phoneticPr fontId="2" type="noConversion"/>
  </si>
  <si>
    <t>법정 수수료</t>
    <phoneticPr fontId="2" type="noConversion"/>
  </si>
  <si>
    <t>보안 용역</t>
    <phoneticPr fontId="2" type="noConversion"/>
  </si>
  <si>
    <t>이체 수수료</t>
    <phoneticPr fontId="2" type="noConversion"/>
  </si>
  <si>
    <t>공사 용역</t>
    <phoneticPr fontId="2" type="noConversion"/>
  </si>
  <si>
    <t>대행외부용역</t>
    <phoneticPr fontId="2" type="noConversion"/>
  </si>
  <si>
    <t>금융거래</t>
    <phoneticPr fontId="2" type="noConversion"/>
  </si>
  <si>
    <t>회의업무
협의비
(백만원)</t>
    <phoneticPr fontId="2" type="noConversion"/>
  </si>
  <si>
    <t>고충처리비</t>
    <phoneticPr fontId="2" type="noConversion"/>
  </si>
  <si>
    <t>회의비(기본)</t>
    <phoneticPr fontId="2" type="noConversion"/>
  </si>
  <si>
    <t>인당(기본)</t>
    <phoneticPr fontId="2" type="noConversion"/>
  </si>
  <si>
    <t>운반비
(백만원)</t>
    <phoneticPr fontId="2" type="noConversion"/>
  </si>
  <si>
    <t>건당 물류비</t>
    <phoneticPr fontId="2" type="noConversion"/>
  </si>
  <si>
    <t>교육훈련비
(백만원)</t>
    <phoneticPr fontId="2" type="noConversion"/>
  </si>
  <si>
    <t>인당 교육비</t>
    <phoneticPr fontId="2" type="noConversion"/>
  </si>
  <si>
    <t>통신비
(백만원)</t>
    <phoneticPr fontId="2" type="noConversion"/>
  </si>
  <si>
    <t>인당 통신비</t>
    <phoneticPr fontId="2" type="noConversion"/>
  </si>
  <si>
    <t>소모품비
(백만원)</t>
    <phoneticPr fontId="2" type="noConversion"/>
  </si>
  <si>
    <t>접대비</t>
    <phoneticPr fontId="2" type="noConversion"/>
  </si>
  <si>
    <t>보험료
(백만원)</t>
    <phoneticPr fontId="2" type="noConversion"/>
  </si>
  <si>
    <t>보증/화재보험 등</t>
    <phoneticPr fontId="2" type="noConversion"/>
  </si>
  <si>
    <t>직원 단체보험</t>
    <phoneticPr fontId="2" type="noConversion"/>
  </si>
  <si>
    <t>인당 보험료(단체)</t>
    <phoneticPr fontId="2" type="noConversion"/>
  </si>
  <si>
    <t>세금과공과금</t>
    <phoneticPr fontId="2" type="noConversion"/>
  </si>
  <si>
    <t>차량유지비
(백만원)</t>
    <phoneticPr fontId="2" type="noConversion"/>
  </si>
  <si>
    <t>인당 차량비</t>
    <phoneticPr fontId="2" type="noConversion"/>
  </si>
  <si>
    <t>여비교통비
(백만원)</t>
    <phoneticPr fontId="2" type="noConversion"/>
  </si>
  <si>
    <t>인당 출장비</t>
    <phoneticPr fontId="2" type="noConversion"/>
  </si>
  <si>
    <t>도서인쇄비
(백만원)</t>
    <phoneticPr fontId="2" type="noConversion"/>
  </si>
  <si>
    <t>인당 도서비</t>
    <phoneticPr fontId="2" type="noConversion"/>
  </si>
  <si>
    <t>대손상각비</t>
    <phoneticPr fontId="2" type="noConversion"/>
  </si>
  <si>
    <t>수수료 총액
(백만원)</t>
    <phoneticPr fontId="2" type="noConversion"/>
  </si>
  <si>
    <t>전사</t>
    <phoneticPr fontId="2" type="noConversion"/>
  </si>
  <si>
    <t>전략/Biz</t>
    <phoneticPr fontId="2" type="noConversion"/>
  </si>
  <si>
    <t>대형마트</t>
    <phoneticPr fontId="2" type="noConversion"/>
  </si>
  <si>
    <t>건당 수수료
(원/건)</t>
    <phoneticPr fontId="2" type="noConversion"/>
  </si>
  <si>
    <t>ㅇ 무선 판매수수료</t>
    <phoneticPr fontId="4" type="noConversion"/>
  </si>
  <si>
    <t>건당 판촉비
(원/건)</t>
    <phoneticPr fontId="2" type="noConversion"/>
  </si>
  <si>
    <t>ㅇ 판매촉진비</t>
    <phoneticPr fontId="4" type="noConversion"/>
  </si>
  <si>
    <t>전사</t>
    <phoneticPr fontId="2" type="noConversion"/>
  </si>
  <si>
    <t>판매촉진비</t>
    <phoneticPr fontId="2" type="noConversion"/>
  </si>
  <si>
    <t>고불비</t>
    <phoneticPr fontId="2" type="noConversion"/>
  </si>
  <si>
    <t>ㅇ 광고선전비</t>
    <phoneticPr fontId="4" type="noConversion"/>
  </si>
  <si>
    <t>광고선전비 총액
(백만원)</t>
    <phoneticPr fontId="2" type="noConversion"/>
  </si>
  <si>
    <t>온라인광고선전비</t>
    <phoneticPr fontId="2" type="noConversion"/>
  </si>
  <si>
    <t>대당 원가</t>
    <phoneticPr fontId="2" type="noConversion"/>
  </si>
  <si>
    <t>단말판매수량</t>
    <phoneticPr fontId="2" type="noConversion"/>
  </si>
  <si>
    <t>누적가입자</t>
    <phoneticPr fontId="2" type="noConversion"/>
  </si>
  <si>
    <t>유통외</t>
    <phoneticPr fontId="2" type="noConversion"/>
  </si>
  <si>
    <t>만기잔존</t>
    <phoneticPr fontId="2" type="noConversion"/>
  </si>
  <si>
    <t>GBT</t>
    <phoneticPr fontId="2" type="noConversion"/>
  </si>
  <si>
    <t>GBT</t>
    <phoneticPr fontId="2" type="noConversion"/>
  </si>
  <si>
    <t>대당 정책</t>
    <phoneticPr fontId="2" type="noConversion"/>
  </si>
  <si>
    <t>ㅇ 유선 수수료</t>
    <phoneticPr fontId="4" type="noConversion"/>
  </si>
  <si>
    <t>건당 정책</t>
    <phoneticPr fontId="2" type="noConversion"/>
  </si>
  <si>
    <t>ㅇ 무선 관리수수료</t>
    <phoneticPr fontId="4" type="noConversion"/>
  </si>
  <si>
    <t>복리포인트(마케팅) 
(백만원)</t>
    <phoneticPr fontId="2" type="noConversion"/>
  </si>
  <si>
    <t>만기잔존</t>
    <phoneticPr fontId="2" type="noConversion"/>
  </si>
  <si>
    <t>객관리수수료
(원)</t>
    <phoneticPr fontId="2" type="noConversion"/>
  </si>
  <si>
    <t>전사</t>
    <phoneticPr fontId="2" type="noConversion"/>
  </si>
  <si>
    <t>기타</t>
    <phoneticPr fontId="2" type="noConversion"/>
  </si>
  <si>
    <t>대당매출
(원)</t>
    <phoneticPr fontId="2" type="noConversion"/>
  </si>
  <si>
    <t>대당원가
(원)</t>
    <phoneticPr fontId="2" type="noConversion"/>
  </si>
  <si>
    <t>대당정책
(원)</t>
    <phoneticPr fontId="2" type="noConversion"/>
  </si>
  <si>
    <t>대당 복리포인트(원)</t>
    <phoneticPr fontId="2" type="noConversion"/>
  </si>
  <si>
    <t>대당 광고선전비(원)</t>
    <phoneticPr fontId="2" type="noConversion"/>
  </si>
  <si>
    <t>인당(원)</t>
    <phoneticPr fontId="2" type="noConversion"/>
  </si>
  <si>
    <t>회의비(마케팅) 
(백만원)</t>
    <phoneticPr fontId="2" type="noConversion"/>
  </si>
  <si>
    <t>객관리수수료(원)</t>
    <phoneticPr fontId="2" type="noConversion"/>
  </si>
  <si>
    <t>대당 회의비(원)</t>
    <phoneticPr fontId="2" type="noConversion"/>
  </si>
  <si>
    <t xml:space="preserve"> ㄴ 마케팅</t>
    <phoneticPr fontId="2" type="noConversion"/>
  </si>
  <si>
    <t xml:space="preserve"> ㄴ 유선</t>
    <phoneticPr fontId="2" type="noConversion"/>
  </si>
  <si>
    <t xml:space="preserve"> ㄴ 사업</t>
    <phoneticPr fontId="2" type="noConversion"/>
  </si>
  <si>
    <t>ㅇ 인건비</t>
    <phoneticPr fontId="4" type="noConversion"/>
  </si>
  <si>
    <t>ㅇ 인력 변수</t>
    <phoneticPr fontId="4" type="noConversion"/>
  </si>
  <si>
    <t>TO 4.5/점</t>
    <phoneticPr fontId="2" type="noConversion"/>
  </si>
  <si>
    <t>소매 생산성</t>
    <phoneticPr fontId="2" type="noConversion"/>
  </si>
  <si>
    <t>복리포인트(유선) 
(백만원)</t>
    <phoneticPr fontId="2" type="noConversion"/>
  </si>
  <si>
    <t>건당 복리포인트(원)</t>
    <phoneticPr fontId="2" type="noConversion"/>
  </si>
  <si>
    <t>ㄴ영업직</t>
    <phoneticPr fontId="2" type="noConversion"/>
  </si>
  <si>
    <t>ㄴSF직</t>
    <phoneticPr fontId="2" type="noConversion"/>
  </si>
  <si>
    <t>ㄴSC직</t>
    <phoneticPr fontId="2" type="noConversion"/>
  </si>
  <si>
    <t>일반+영업</t>
    <phoneticPr fontId="2" type="noConversion"/>
  </si>
  <si>
    <t>수납ARPU
(원)</t>
    <phoneticPr fontId="2" type="noConversion"/>
  </si>
  <si>
    <t>도급/파견</t>
    <phoneticPr fontId="2" type="noConversion"/>
  </si>
  <si>
    <t>일괄구매</t>
  </si>
  <si>
    <t>인당 소모품(개별구매)</t>
    <phoneticPr fontId="2" type="noConversion"/>
  </si>
  <si>
    <t>소매매장당 관리비</t>
    <phoneticPr fontId="2" type="noConversion"/>
  </si>
  <si>
    <t>관리비
(백만원)</t>
    <phoneticPr fontId="2" type="noConversion"/>
  </si>
  <si>
    <t>ㅇ 임차관리비</t>
    <phoneticPr fontId="4" type="noConversion"/>
  </si>
  <si>
    <t>이마트</t>
    <phoneticPr fontId="2" type="noConversion"/>
  </si>
  <si>
    <t>홈플러스(무선)</t>
    <phoneticPr fontId="2" type="noConversion"/>
  </si>
  <si>
    <t>홈플러스(유선)</t>
    <phoneticPr fontId="2" type="noConversion"/>
  </si>
  <si>
    <t>기말</t>
    <phoneticPr fontId="2" type="noConversion"/>
  </si>
  <si>
    <t>IoT</t>
    <phoneticPr fontId="4" type="noConversion"/>
  </si>
  <si>
    <t>전사</t>
    <phoneticPr fontId="4" type="noConversion"/>
  </si>
  <si>
    <t>Biz</t>
    <phoneticPr fontId="4" type="noConversion"/>
  </si>
  <si>
    <t>기업</t>
    <phoneticPr fontId="4" type="noConversion"/>
  </si>
  <si>
    <t>모바일
(후불단말)</t>
    <phoneticPr fontId="2" type="noConversion"/>
  </si>
  <si>
    <t>IoT-기업</t>
    <phoneticPr fontId="4" type="noConversion"/>
  </si>
  <si>
    <t>대형마트</t>
  </si>
  <si>
    <t>대형마트</t>
    <phoneticPr fontId="2" type="noConversion"/>
  </si>
  <si>
    <t>대형마트</t>
    <phoneticPr fontId="2" type="noConversion"/>
  </si>
  <si>
    <t>기업/미8군/IoT</t>
  </si>
  <si>
    <t>기업/미8군/IoT</t>
    <phoneticPr fontId="4" type="noConversion"/>
  </si>
  <si>
    <t>GBT</t>
    <phoneticPr fontId="4" type="noConversion"/>
  </si>
  <si>
    <t>ㅇ 무선 상품매출/원가/정책수수료</t>
    <phoneticPr fontId="4" type="noConversion"/>
  </si>
  <si>
    <t>정책수수료
(RDS+정책-순액)
(백만원)</t>
    <phoneticPr fontId="2" type="noConversion"/>
  </si>
  <si>
    <t>상품매출
(백만원)</t>
  </si>
  <si>
    <t>매출원가
(백만원)</t>
  </si>
  <si>
    <t>대형-기타</t>
    <phoneticPr fontId="2" type="noConversion"/>
  </si>
  <si>
    <t>정책수수료
(유선-순액)
(백만원)</t>
    <phoneticPr fontId="2" type="noConversion"/>
  </si>
  <si>
    <t>기타</t>
    <phoneticPr fontId="2" type="noConversion"/>
  </si>
  <si>
    <t>대형마트</t>
    <phoneticPr fontId="2" type="noConversion"/>
  </si>
  <si>
    <t>대형마트</t>
    <phoneticPr fontId="2" type="noConversion"/>
  </si>
  <si>
    <t>ㅇ 유선 판촉비</t>
    <phoneticPr fontId="4" type="noConversion"/>
  </si>
  <si>
    <t>판촉비(유선) 
(백만원)</t>
    <phoneticPr fontId="2" type="noConversion"/>
  </si>
  <si>
    <t>ㅇ 회의비(유선)</t>
    <phoneticPr fontId="4" type="noConversion"/>
  </si>
  <si>
    <t>회의비(유선) 
(백만원)</t>
    <phoneticPr fontId="2" type="noConversion"/>
  </si>
  <si>
    <t>건당 회의비(원)</t>
    <phoneticPr fontId="2" type="noConversion"/>
  </si>
  <si>
    <t xml:space="preserve"> - 취득</t>
    <phoneticPr fontId="2" type="noConversion"/>
  </si>
  <si>
    <t xml:space="preserve"> - 처분</t>
    <phoneticPr fontId="2" type="noConversion"/>
  </si>
  <si>
    <t xml:space="preserve"> - 기말 잔액</t>
    <phoneticPr fontId="2" type="noConversion"/>
  </si>
  <si>
    <t xml:space="preserve"> - 상각비</t>
    <phoneticPr fontId="2" type="noConversion"/>
  </si>
  <si>
    <t>비품</t>
    <phoneticPr fontId="2" type="noConversion"/>
  </si>
  <si>
    <t>시설장치</t>
    <phoneticPr fontId="2" type="noConversion"/>
  </si>
  <si>
    <t>소프트웨어</t>
    <phoneticPr fontId="2" type="noConversion"/>
  </si>
  <si>
    <t>총액</t>
    <phoneticPr fontId="2" type="noConversion"/>
  </si>
  <si>
    <t>총액</t>
    <phoneticPr fontId="2" type="noConversion"/>
  </si>
  <si>
    <t>총액</t>
    <phoneticPr fontId="2" type="noConversion"/>
  </si>
  <si>
    <t>구분</t>
    <phoneticPr fontId="2" type="noConversion"/>
  </si>
  <si>
    <t>회의비(유선)</t>
    <phoneticPr fontId="4" type="noConversion"/>
  </si>
  <si>
    <t>회의비(사업)</t>
    <phoneticPr fontId="4" type="noConversion"/>
  </si>
  <si>
    <t>회의비(마케팅)</t>
    <phoneticPr fontId="2" type="noConversion"/>
  </si>
  <si>
    <t>회의비(포상, 한마음)</t>
    <phoneticPr fontId="4" type="noConversion"/>
  </si>
  <si>
    <t>파견사업급여</t>
    <phoneticPr fontId="4" type="noConversion"/>
  </si>
  <si>
    <t>관리수수료 계</t>
    <phoneticPr fontId="4" type="noConversion"/>
  </si>
  <si>
    <t>소매매장</t>
    <phoneticPr fontId="2" type="noConversion"/>
  </si>
  <si>
    <t>투자</t>
    <phoneticPr fontId="2" type="noConversion"/>
  </si>
  <si>
    <t>kt매장</t>
    <phoneticPr fontId="2" type="noConversion"/>
  </si>
  <si>
    <t>소매</t>
    <phoneticPr fontId="4" type="noConversion"/>
  </si>
  <si>
    <t>건당 판촉비(원)</t>
    <phoneticPr fontId="2" type="noConversion"/>
  </si>
  <si>
    <t>도매센터</t>
    <phoneticPr fontId="2" type="noConversion"/>
  </si>
  <si>
    <t xml:space="preserve"> - 상각완료</t>
    <phoneticPr fontId="2" type="noConversion"/>
  </si>
  <si>
    <t xml:space="preserve"> - 상각진행</t>
    <phoneticPr fontId="2" type="noConversion"/>
  </si>
  <si>
    <t>판촉비(사업)</t>
    <phoneticPr fontId="4" type="noConversion"/>
  </si>
  <si>
    <t>재적전출</t>
    <phoneticPr fontId="2" type="noConversion"/>
  </si>
  <si>
    <t>일반직</t>
    <phoneticPr fontId="2" type="noConversion"/>
  </si>
  <si>
    <t>영업직</t>
    <phoneticPr fontId="2" type="noConversion"/>
  </si>
  <si>
    <t>잔여자본</t>
    <phoneticPr fontId="12" type="noConversion"/>
  </si>
  <si>
    <t>본사공통</t>
  </si>
  <si>
    <t>도매</t>
    <phoneticPr fontId="2" type="noConversion"/>
  </si>
  <si>
    <t>소매</t>
    <phoneticPr fontId="2" type="noConversion"/>
  </si>
  <si>
    <t>대형마트</t>
    <phoneticPr fontId="2" type="noConversion"/>
  </si>
  <si>
    <t>기업/공공</t>
    <phoneticPr fontId="2" type="noConversion"/>
  </si>
  <si>
    <t>본사공통</t>
    <phoneticPr fontId="2" type="noConversion"/>
  </si>
  <si>
    <t>볼륨수수료
(3.7%)</t>
    <phoneticPr fontId="4" type="noConversion"/>
  </si>
  <si>
    <t>H/C
(2%)</t>
    <phoneticPr fontId="4" type="noConversion"/>
  </si>
  <si>
    <t>관리수수료(6.5%)</t>
    <phoneticPr fontId="4" type="noConversion"/>
  </si>
  <si>
    <t>도매</t>
    <phoneticPr fontId="4" type="noConversion"/>
  </si>
  <si>
    <t>소매</t>
    <phoneticPr fontId="4" type="noConversion"/>
  </si>
  <si>
    <t>대형마트</t>
    <phoneticPr fontId="4" type="noConversion"/>
  </si>
  <si>
    <t>Biz</t>
    <phoneticPr fontId="4" type="noConversion"/>
  </si>
  <si>
    <t>기변수수료</t>
    <phoneticPr fontId="4" type="noConversion"/>
  </si>
  <si>
    <t>플러스수수료</t>
    <phoneticPr fontId="4" type="noConversion"/>
  </si>
  <si>
    <t>Wibro관리수수료</t>
    <phoneticPr fontId="4" type="noConversion"/>
  </si>
  <si>
    <t>기업/미8군/IoT</t>
    <phoneticPr fontId="4" type="noConversion"/>
  </si>
  <si>
    <t>도급/파견</t>
    <phoneticPr fontId="2" type="noConversion"/>
  </si>
  <si>
    <t>파견직</t>
    <phoneticPr fontId="2" type="noConversion"/>
  </si>
  <si>
    <t>물류센터</t>
    <phoneticPr fontId="2" type="noConversion"/>
  </si>
  <si>
    <t>러셀</t>
    <phoneticPr fontId="2" type="noConversion"/>
  </si>
  <si>
    <t>홈쇼핑</t>
    <phoneticPr fontId="2" type="noConversion"/>
  </si>
  <si>
    <t>OAC/SSC</t>
    <phoneticPr fontId="2" type="noConversion"/>
  </si>
  <si>
    <t>일반+영업</t>
    <phoneticPr fontId="2" type="noConversion"/>
  </si>
  <si>
    <t>소매 매장생산성(후불)</t>
    <phoneticPr fontId="2" type="noConversion"/>
  </si>
  <si>
    <t>임차보증금</t>
    <phoneticPr fontId="2" type="noConversion"/>
  </si>
  <si>
    <t>ㅇ 감가상각비/CAPEX</t>
    <phoneticPr fontId="4" type="noConversion"/>
  </si>
  <si>
    <t>유형자산</t>
    <phoneticPr fontId="2" type="noConversion"/>
  </si>
  <si>
    <t>무형자산</t>
    <phoneticPr fontId="2" type="noConversion"/>
  </si>
  <si>
    <t>투자자산</t>
    <phoneticPr fontId="2" type="noConversion"/>
  </si>
  <si>
    <t>취득 계</t>
    <phoneticPr fontId="2" type="noConversion"/>
  </si>
  <si>
    <t>처분 계</t>
    <phoneticPr fontId="2" type="noConversion"/>
  </si>
  <si>
    <t>전사</t>
    <phoneticPr fontId="2" type="noConversion"/>
  </si>
  <si>
    <t>매장성수수료</t>
    <phoneticPr fontId="2" type="noConversion"/>
  </si>
  <si>
    <t>판촉비(마케팅)
(백만원)</t>
    <phoneticPr fontId="2" type="noConversion"/>
  </si>
  <si>
    <t>고불비(사업)</t>
    <phoneticPr fontId="4" type="noConversion"/>
  </si>
  <si>
    <t>사외온라인(제휴)</t>
  </si>
  <si>
    <t>전략</t>
  </si>
  <si>
    <t>전략</t>
    <phoneticPr fontId="4" type="noConversion"/>
  </si>
  <si>
    <t>전략</t>
    <phoneticPr fontId="4" type="noConversion"/>
  </si>
  <si>
    <t>kt shop/제휴</t>
    <phoneticPr fontId="2" type="noConversion"/>
  </si>
  <si>
    <t>ㅇ 용역수수료</t>
    <phoneticPr fontId="2" type="noConversion"/>
  </si>
  <si>
    <t>KT 임직원 업무용 단말 교체</t>
    <phoneticPr fontId="2" type="noConversion"/>
  </si>
  <si>
    <t>GB 도급수수료</t>
    <phoneticPr fontId="2" type="noConversion"/>
  </si>
  <si>
    <t>도매 도급수수료</t>
    <phoneticPr fontId="2" type="noConversion"/>
  </si>
  <si>
    <t>대형 도급수수료</t>
    <phoneticPr fontId="2" type="noConversion"/>
  </si>
  <si>
    <t>ㅇ 기타수수료</t>
    <phoneticPr fontId="2" type="noConversion"/>
  </si>
  <si>
    <t>수수료수입-기타</t>
    <phoneticPr fontId="2" type="noConversion"/>
  </si>
  <si>
    <t>ㅇ AS수수료</t>
    <phoneticPr fontId="2" type="noConversion"/>
  </si>
  <si>
    <t>수수료수입-AS</t>
    <phoneticPr fontId="2" type="noConversion"/>
  </si>
  <si>
    <t>본사/지사</t>
    <phoneticPr fontId="2" type="noConversion"/>
  </si>
  <si>
    <t>ㄴP 3.0</t>
    <phoneticPr fontId="2" type="noConversion"/>
  </si>
  <si>
    <t>기말</t>
    <phoneticPr fontId="2" type="noConversion"/>
  </si>
  <si>
    <t>순증
(Active가입자)</t>
    <phoneticPr fontId="2" type="noConversion"/>
  </si>
  <si>
    <t>영업이익</t>
    <phoneticPr fontId="2" type="noConversion"/>
  </si>
  <si>
    <t>IoT</t>
    <phoneticPr fontId="4" type="noConversion"/>
  </si>
  <si>
    <t>기업/미8군</t>
    <phoneticPr fontId="4" type="noConversion"/>
  </si>
  <si>
    <t>O2O</t>
    <phoneticPr fontId="4" type="noConversion"/>
  </si>
  <si>
    <t>유선실적</t>
    <phoneticPr fontId="2" type="noConversion"/>
  </si>
  <si>
    <t>IoT</t>
    <phoneticPr fontId="4" type="noConversion"/>
  </si>
  <si>
    <t>Active가입자</t>
    <phoneticPr fontId="2" type="noConversion"/>
  </si>
  <si>
    <t>누적(I +T)</t>
    <phoneticPr fontId="2" type="noConversion"/>
  </si>
  <si>
    <t>전사</t>
    <phoneticPr fontId="2" type="noConversion"/>
  </si>
  <si>
    <t xml:space="preserve"> 사용권자산처분이익</t>
    <phoneticPr fontId="2" type="noConversion"/>
  </si>
  <si>
    <t>2020년</t>
    <phoneticPr fontId="4" type="noConversion"/>
  </si>
  <si>
    <t>Total</t>
    <phoneticPr fontId="4" type="noConversion"/>
  </si>
  <si>
    <t>1월</t>
    <phoneticPr fontId="4" type="noConversion"/>
  </si>
  <si>
    <t>2월</t>
    <phoneticPr fontId="4" type="noConversion"/>
  </si>
  <si>
    <t>2020년</t>
    <phoneticPr fontId="4" type="noConversion"/>
  </si>
  <si>
    <t>2020년</t>
    <phoneticPr fontId="4" type="noConversion"/>
  </si>
  <si>
    <t>Total</t>
    <phoneticPr fontId="4" type="noConversion"/>
  </si>
  <si>
    <t>1월</t>
    <phoneticPr fontId="4" type="noConversion"/>
  </si>
  <si>
    <t>2월</t>
    <phoneticPr fontId="4" type="noConversion"/>
  </si>
  <si>
    <t>IFRS16 조정</t>
    <phoneticPr fontId="2" type="noConversion"/>
  </si>
  <si>
    <t>비정형</t>
    <phoneticPr fontId="2" type="noConversion"/>
  </si>
  <si>
    <t>Biz</t>
    <phoneticPr fontId="2" type="noConversion"/>
  </si>
  <si>
    <t>감가상각비 조정</t>
    <phoneticPr fontId="2" type="noConversion"/>
  </si>
  <si>
    <t>무형자산상각비 조정</t>
    <phoneticPr fontId="2" type="noConversion"/>
  </si>
  <si>
    <t>개별구매(MRO등)</t>
    <phoneticPr fontId="4" type="noConversion"/>
  </si>
  <si>
    <t>단말기수리비</t>
    <phoneticPr fontId="4" type="noConversion"/>
  </si>
  <si>
    <t>IU-감가상각비</t>
    <phoneticPr fontId="2" type="noConversion"/>
  </si>
  <si>
    <t>IU-무형자산상각</t>
    <phoneticPr fontId="2" type="noConversion"/>
  </si>
  <si>
    <t>2021년</t>
    <phoneticPr fontId="4" type="noConversion"/>
  </si>
  <si>
    <t>소매 인당생산성(후불)</t>
    <phoneticPr fontId="2" type="noConversion"/>
  </si>
  <si>
    <t>판매손익(백만원)</t>
    <phoneticPr fontId="4" type="noConversion"/>
  </si>
  <si>
    <t>건당 판매손익(원)</t>
    <phoneticPr fontId="4" type="noConversion"/>
  </si>
  <si>
    <t>기타무형자산
(권리금)</t>
    <phoneticPr fontId="2" type="noConversion"/>
  </si>
  <si>
    <t>기말잔액이 안맞아서 상각진행 값 역산하여 계산</t>
    <phoneticPr fontId="2" type="noConversion"/>
  </si>
  <si>
    <t>자가매장 평균 보증금 1.5억 반영</t>
    <phoneticPr fontId="2" type="noConversion"/>
  </si>
  <si>
    <t>감가상각비</t>
    <phoneticPr fontId="12" type="noConversion"/>
  </si>
  <si>
    <t>매출</t>
    <phoneticPr fontId="2" type="noConversion"/>
  </si>
  <si>
    <t>2021년 실적</t>
    <phoneticPr fontId="4" type="noConversion"/>
  </si>
  <si>
    <t>소매 단말 A/S , 리퍼서비스</t>
    <phoneticPr fontId="2" type="noConversion"/>
  </si>
  <si>
    <t xml:space="preserve"> 파생상품평가이익</t>
    <phoneticPr fontId="2" type="noConversion"/>
  </si>
  <si>
    <t xml:space="preserve"> 파생상품평가손실</t>
    <phoneticPr fontId="2" type="noConversion"/>
  </si>
  <si>
    <t>기업</t>
    <phoneticPr fontId="2" type="noConversion"/>
  </si>
  <si>
    <t>감가상각비 IU</t>
    <phoneticPr fontId="2" type="noConversion"/>
  </si>
  <si>
    <t>무형상각 IU</t>
    <phoneticPr fontId="2" type="noConversion"/>
  </si>
  <si>
    <t>플라자 대가 P3.0</t>
    <phoneticPr fontId="4" type="noConversion"/>
  </si>
  <si>
    <t>2022년</t>
    <phoneticPr fontId="4" type="noConversion"/>
  </si>
  <si>
    <t>2022년</t>
    <phoneticPr fontId="4" type="noConversion"/>
  </si>
  <si>
    <t>2022년</t>
    <phoneticPr fontId="4" type="noConversion"/>
  </si>
  <si>
    <t>2022년</t>
    <phoneticPr fontId="4" type="noConversion"/>
  </si>
  <si>
    <t>2022년</t>
    <phoneticPr fontId="4" type="noConversion"/>
  </si>
  <si>
    <t>2022년</t>
    <phoneticPr fontId="4" type="noConversion"/>
  </si>
  <si>
    <t>원가율</t>
    <phoneticPr fontId="2" type="noConversion"/>
  </si>
  <si>
    <t>신사업(취득 별도)</t>
    <phoneticPr fontId="2" type="noConversion"/>
  </si>
  <si>
    <t>취득 총 합계</t>
    <phoneticPr fontId="2" type="noConversion"/>
  </si>
  <si>
    <t>KT 서비스남부 패스앤슈팅</t>
    <phoneticPr fontId="2" type="noConversion"/>
  </si>
  <si>
    <t xml:space="preserve"> 사용권자산처분손실</t>
    <phoneticPr fontId="2" type="noConversion"/>
  </si>
  <si>
    <t>전사 (대당 총매출)</t>
    <phoneticPr fontId="2" type="noConversion"/>
  </si>
  <si>
    <t>전사 (대당 무선후불 only)</t>
    <phoneticPr fontId="2" type="noConversion"/>
  </si>
  <si>
    <t>사전예약 전담센터 위탁수수료</t>
    <phoneticPr fontId="2" type="noConversion"/>
  </si>
  <si>
    <t>Biz 스마트단말 보급</t>
    <phoneticPr fontId="2" type="noConversion"/>
  </si>
  <si>
    <t>프론티어제외</t>
    <phoneticPr fontId="2" type="noConversion"/>
  </si>
  <si>
    <t>프론티어</t>
    <phoneticPr fontId="2" type="noConversion"/>
  </si>
  <si>
    <t>소매only</t>
    <phoneticPr fontId="2" type="noConversion"/>
  </si>
  <si>
    <t>매장 TO(프론티어포함)</t>
    <phoneticPr fontId="2" type="noConversion"/>
  </si>
  <si>
    <t>2023년</t>
    <phoneticPr fontId="4" type="noConversion"/>
  </si>
  <si>
    <t>상품서비스매출</t>
    <phoneticPr fontId="2" type="noConversion"/>
  </si>
  <si>
    <t>광고 수익</t>
    <phoneticPr fontId="2" type="noConversion"/>
  </si>
  <si>
    <t>시연폰 매입 장려금</t>
    <phoneticPr fontId="2" type="noConversion"/>
  </si>
  <si>
    <t>비용</t>
    <phoneticPr fontId="2" type="noConversion"/>
  </si>
  <si>
    <t>인건비</t>
  </si>
  <si>
    <t>기타운영비</t>
  </si>
  <si>
    <t>감가상각비</t>
    <phoneticPr fontId="35" type="noConversion"/>
  </si>
  <si>
    <t>영업이익</t>
    <phoneticPr fontId="2" type="noConversion"/>
  </si>
  <si>
    <t>인건비</t>
    <phoneticPr fontId="2" type="noConversion"/>
  </si>
  <si>
    <t>지급수수료</t>
    <phoneticPr fontId="2" type="noConversion"/>
  </si>
  <si>
    <t>광고홍보비</t>
    <phoneticPr fontId="2" type="noConversion"/>
  </si>
  <si>
    <t>상품서비스매출_시연폰 매각 수익</t>
    <phoneticPr fontId="2" type="noConversion"/>
  </si>
  <si>
    <t>매출</t>
    <phoneticPr fontId="2" type="noConversion"/>
  </si>
  <si>
    <t>매입원가</t>
    <phoneticPr fontId="2" type="noConversion"/>
  </si>
  <si>
    <t>2023년</t>
    <phoneticPr fontId="4" type="noConversion"/>
  </si>
  <si>
    <t>ㅇ 순신규+약정갱신</t>
    <phoneticPr fontId="4" type="noConversion"/>
  </si>
  <si>
    <t>인력</t>
    <phoneticPr fontId="2" type="noConversion"/>
  </si>
  <si>
    <t>지원금액</t>
    <phoneticPr fontId="2" type="noConversion"/>
  </si>
  <si>
    <t>인당 인건비</t>
    <phoneticPr fontId="2" type="noConversion"/>
  </si>
  <si>
    <t>대가</t>
    <phoneticPr fontId="2" type="noConversion"/>
  </si>
  <si>
    <t>2023년</t>
    <phoneticPr fontId="4" type="noConversion"/>
  </si>
  <si>
    <t>상품매출</t>
    <phoneticPr fontId="2" type="noConversion"/>
  </si>
  <si>
    <t>프론티어 인건비</t>
    <phoneticPr fontId="2" type="noConversion"/>
  </si>
  <si>
    <t>매출원가</t>
  </si>
  <si>
    <t>특별격려금</t>
    <phoneticPr fontId="2" type="noConversion"/>
  </si>
  <si>
    <t>구분 (백만원)</t>
    <phoneticPr fontId="2" type="noConversion"/>
  </si>
  <si>
    <t>2월</t>
  </si>
  <si>
    <t>11월</t>
    <phoneticPr fontId="2" type="noConversion"/>
  </si>
  <si>
    <t>12월</t>
    <phoneticPr fontId="2" type="noConversion"/>
  </si>
  <si>
    <t>수수료 수익</t>
    <phoneticPr fontId="2" type="noConversion"/>
  </si>
  <si>
    <t>비용</t>
    <phoneticPr fontId="2" type="noConversion"/>
  </si>
  <si>
    <t>매각원가</t>
    <phoneticPr fontId="35" type="noConversion"/>
  </si>
  <si>
    <t>영업이익</t>
    <phoneticPr fontId="2" type="noConversion"/>
  </si>
  <si>
    <t>매출</t>
    <phoneticPr fontId="2" type="noConversion"/>
  </si>
  <si>
    <t>상품서비스매출_거래수수료</t>
    <phoneticPr fontId="2" type="noConversion"/>
  </si>
  <si>
    <t>매출원가</t>
    <phoneticPr fontId="2" type="noConversion"/>
  </si>
  <si>
    <t>지급수수료</t>
    <phoneticPr fontId="2" type="noConversion"/>
  </si>
  <si>
    <t>감가상각비</t>
    <phoneticPr fontId="2" type="noConversion"/>
  </si>
  <si>
    <t>기타운영비</t>
    <phoneticPr fontId="4" type="noConversion"/>
  </si>
  <si>
    <t>매출원가</t>
    <phoneticPr fontId="2" type="noConversion"/>
  </si>
  <si>
    <t>감가상각비</t>
    <phoneticPr fontId="2" type="noConversion"/>
  </si>
  <si>
    <t>시연폰 매입 장려금</t>
    <phoneticPr fontId="2" type="noConversion"/>
  </si>
  <si>
    <t>구분 (백만원)</t>
    <phoneticPr fontId="2" type="noConversion"/>
  </si>
  <si>
    <t>상품서비스매출_매출</t>
    <phoneticPr fontId="2" type="noConversion"/>
  </si>
  <si>
    <t>상품서비스매출_코코넛</t>
    <phoneticPr fontId="2" type="noConversion"/>
  </si>
  <si>
    <t xml:space="preserve"> 관계기업투자주식처분이익</t>
  </si>
  <si>
    <t>전사</t>
  </si>
  <si>
    <t>1월</t>
  </si>
  <si>
    <t>O2O</t>
  </si>
  <si>
    <t>온유통</t>
  </si>
  <si>
    <t>도매</t>
    <phoneticPr fontId="2" type="noConversion"/>
  </si>
  <si>
    <t>샵</t>
    <phoneticPr fontId="2" type="noConversion"/>
  </si>
  <si>
    <t>특별격려금</t>
    <phoneticPr fontId="2" type="noConversion"/>
  </si>
  <si>
    <t>프론티어인원수(명)</t>
    <phoneticPr fontId="2" type="noConversion"/>
  </si>
  <si>
    <t>2024년</t>
    <phoneticPr fontId="4" type="noConversion"/>
  </si>
  <si>
    <t>계</t>
    <phoneticPr fontId="2" type="noConversion"/>
  </si>
  <si>
    <t>건물</t>
  </si>
  <si>
    <t>렌터카</t>
  </si>
  <si>
    <t>건물+렌터카</t>
    <phoneticPr fontId="2" type="noConversion"/>
  </si>
  <si>
    <t>고정성</t>
    <phoneticPr fontId="2" type="noConversion"/>
  </si>
  <si>
    <t>AS</t>
    <phoneticPr fontId="2" type="noConversion"/>
  </si>
  <si>
    <t>KT AC 도급수수료</t>
    <phoneticPr fontId="2" type="noConversion"/>
  </si>
  <si>
    <t>Biz IoT 사업용 회선</t>
    <phoneticPr fontId="2" type="noConversion"/>
  </si>
  <si>
    <t>도매채널 모니터링</t>
    <phoneticPr fontId="2" type="noConversion"/>
  </si>
  <si>
    <t>바로유심 광고비용 정산</t>
  </si>
  <si>
    <t>수수료 비율</t>
    <phoneticPr fontId="2" type="noConversion"/>
  </si>
  <si>
    <t>유형 상각비 최종</t>
    <phoneticPr fontId="2" type="noConversion"/>
  </si>
  <si>
    <t>무형 상각비 최종</t>
    <phoneticPr fontId="2" type="noConversion"/>
  </si>
  <si>
    <t>감가상각비 IU</t>
  </si>
  <si>
    <t>유형 상각비 조정값</t>
  </si>
  <si>
    <t>유형 상각비 조정값</t>
    <phoneticPr fontId="2" type="noConversion"/>
  </si>
  <si>
    <t>[유형] 상각비</t>
    <phoneticPr fontId="2" type="noConversion"/>
  </si>
  <si>
    <t>[무형] 상각비</t>
    <phoneticPr fontId="2" type="noConversion"/>
  </si>
  <si>
    <t>■ 손익계산서 (종합)</t>
    <phoneticPr fontId="4" type="noConversion"/>
  </si>
  <si>
    <t>■ 손익계산서 (통신)</t>
    <phoneticPr fontId="4" type="noConversion"/>
  </si>
  <si>
    <t xml:space="preserve">   EBITDA ÷ 매출</t>
    <phoneticPr fontId="12" type="noConversion"/>
  </si>
  <si>
    <t>23년1월</t>
    <phoneticPr fontId="4" type="noConversion"/>
  </si>
  <si>
    <t>24년1월</t>
    <phoneticPr fontId="4" type="noConversion"/>
  </si>
  <si>
    <t>Total</t>
  </si>
  <si>
    <t>24년(E)</t>
    <phoneticPr fontId="4" type="noConversion"/>
  </si>
  <si>
    <t>23년</t>
    <phoneticPr fontId="4" type="noConversion"/>
  </si>
  <si>
    <t>비용</t>
    <phoneticPr fontId="2" type="noConversion"/>
  </si>
  <si>
    <t>kt shop</t>
    <phoneticPr fontId="2" type="noConversion"/>
  </si>
  <si>
    <t>인당생산성(전체)</t>
    <phoneticPr fontId="2" type="noConversion"/>
  </si>
  <si>
    <t>인당생산성(영업직)</t>
    <phoneticPr fontId="2" type="noConversion"/>
  </si>
  <si>
    <t>(신사업 지급수수료)</t>
    <phoneticPr fontId="4" type="noConversion"/>
  </si>
  <si>
    <t>총액 (통신)</t>
    <phoneticPr fontId="2" type="noConversion"/>
  </si>
  <si>
    <t>바로유심 용역수수료</t>
    <phoneticPr fontId="2" type="noConversion"/>
  </si>
  <si>
    <t>바로배송 위탁운영 수수료</t>
    <phoneticPr fontId="2" type="noConversion"/>
  </si>
  <si>
    <t>온라인유선 시장대응 위탁</t>
    <phoneticPr fontId="2" type="noConversion"/>
  </si>
  <si>
    <t>전사</t>
    <phoneticPr fontId="2" type="noConversion"/>
  </si>
  <si>
    <t>10월</t>
    <phoneticPr fontId="2" type="noConversion"/>
  </si>
  <si>
    <t>9월</t>
    <phoneticPr fontId="2" type="noConversion"/>
  </si>
  <si>
    <t>11월</t>
    <phoneticPr fontId="2" type="noConversion"/>
  </si>
  <si>
    <t>12월</t>
    <phoneticPr fontId="2" type="noConversion"/>
  </si>
  <si>
    <t>광고홍보비</t>
  </si>
  <si>
    <t>매각원가</t>
  </si>
  <si>
    <t>감가상각비(컨설팅/퀵/코코넛허브)</t>
    <phoneticPr fontId="35" type="noConversion"/>
  </si>
  <si>
    <t>5) AS물류대행</t>
    <phoneticPr fontId="2" type="noConversion"/>
  </si>
  <si>
    <t>4) 코코넛</t>
    <phoneticPr fontId="2" type="noConversion"/>
  </si>
  <si>
    <t>매출원가</t>
    <phoneticPr fontId="35" type="noConversion"/>
  </si>
  <si>
    <t>기타운영비</t>
    <phoneticPr fontId="2" type="noConversion"/>
  </si>
  <si>
    <t>인건비</t>
    <phoneticPr fontId="2" type="noConversion"/>
  </si>
  <si>
    <t>임차료</t>
    <phoneticPr fontId="2" type="noConversion"/>
  </si>
  <si>
    <t>기타운영비(기타)</t>
    <phoneticPr fontId="2" type="noConversion"/>
  </si>
  <si>
    <t>감가상각비</t>
    <phoneticPr fontId="2" type="noConversion"/>
  </si>
  <si>
    <t>판촉비</t>
    <phoneticPr fontId="2" type="noConversion"/>
  </si>
  <si>
    <t>상품매출</t>
    <phoneticPr fontId="2" type="noConversion"/>
  </si>
  <si>
    <t>도매 H/C  (`18년 위탁 이후 가입자 수납요금의 2%)</t>
    <phoneticPr fontId="4" type="noConversion"/>
  </si>
  <si>
    <t>사내+사외+기업+Biz+IoT</t>
    <phoneticPr fontId="4" type="noConversion"/>
  </si>
  <si>
    <t>판매촉진비(마케팅)</t>
    <phoneticPr fontId="2" type="noConversion"/>
  </si>
  <si>
    <t>이마트24 광고비 정산</t>
    <phoneticPr fontId="2" type="noConversion"/>
  </si>
  <si>
    <t>온라인 삼성디바이스 초이스 판촉물 운영수수료</t>
    <phoneticPr fontId="2" type="noConversion"/>
  </si>
  <si>
    <t>기타사항 수수료</t>
    <phoneticPr fontId="2" type="noConversion"/>
  </si>
  <si>
    <t>윈윈 프로그램 추가 위탁 수수료</t>
    <phoneticPr fontId="2" type="noConversion"/>
  </si>
  <si>
    <t>수수료 수익(정책)</t>
  </si>
  <si>
    <t>수수료 수익(정책)</t>
    <phoneticPr fontId="2" type="noConversion"/>
  </si>
  <si>
    <t>수수료 수익(기타)</t>
  </si>
  <si>
    <t>수수료 수익(기타)</t>
    <phoneticPr fontId="2" type="noConversion"/>
  </si>
  <si>
    <t>수수료수입(정책)</t>
    <phoneticPr fontId="2" type="noConversion"/>
  </si>
  <si>
    <t>수수료수입(기타)</t>
    <phoneticPr fontId="2" type="noConversion"/>
  </si>
  <si>
    <t>수수료 수익(정책)</t>
    <phoneticPr fontId="2" type="noConversion"/>
  </si>
  <si>
    <t>수수료 수익(기타)</t>
    <phoneticPr fontId="2" type="noConversion"/>
  </si>
  <si>
    <t>임차료</t>
    <phoneticPr fontId="2" type="noConversion"/>
  </si>
  <si>
    <t>판촉비</t>
    <phoneticPr fontId="2" type="noConversion"/>
  </si>
  <si>
    <t>수수료 수입(정책_신사업)</t>
    <phoneticPr fontId="2" type="noConversion"/>
  </si>
  <si>
    <t>kt모바일 AS 용역</t>
    <phoneticPr fontId="2" type="noConversion"/>
  </si>
  <si>
    <t>프론티어제외</t>
  </si>
  <si>
    <t>6) 임대폰대행</t>
    <phoneticPr fontId="2" type="noConversion"/>
  </si>
  <si>
    <t>상품서비스매출</t>
  </si>
  <si>
    <t>kt닷컴 H/C  (`24년 위탁 이후 가입자 수납요금의 2%)</t>
    <phoneticPr fontId="4" type="noConversion"/>
  </si>
  <si>
    <t>대당 총매출(도매 제외)</t>
    <phoneticPr fontId="2" type="noConversion"/>
  </si>
  <si>
    <t>24년</t>
    <phoneticPr fontId="4" type="noConversion"/>
  </si>
  <si>
    <t>커머스 통신상품 판매</t>
    <phoneticPr fontId="2" type="noConversion"/>
  </si>
  <si>
    <t>KT 다이렉트</t>
    <phoneticPr fontId="2" type="noConversion"/>
  </si>
  <si>
    <t>기업무선센터</t>
    <phoneticPr fontId="2" type="noConversion"/>
  </si>
  <si>
    <t>KT닷컴 지원수수료</t>
    <phoneticPr fontId="2" type="noConversion"/>
  </si>
  <si>
    <t>KT업무지원센터</t>
    <phoneticPr fontId="2" type="noConversion"/>
  </si>
  <si>
    <t xml:space="preserve">임대단말/리모컨 정산 </t>
    <phoneticPr fontId="2" type="noConversion"/>
  </si>
  <si>
    <t>바로배송유심 매입수수료</t>
    <phoneticPr fontId="2" type="noConversion"/>
  </si>
  <si>
    <t>온라인 사전예약 전담센터 위탁수수료</t>
    <phoneticPr fontId="2" type="noConversion"/>
  </si>
  <si>
    <t>■ 손익계산서 (유통플랫폼)</t>
    <phoneticPr fontId="4" type="noConversion"/>
  </si>
  <si>
    <t>kt닷컴</t>
    <phoneticPr fontId="2" type="noConversion"/>
  </si>
  <si>
    <t>전기차 렌터카</t>
    <phoneticPr fontId="4" type="noConversion"/>
  </si>
  <si>
    <t>기타</t>
    <phoneticPr fontId="4" type="noConversion"/>
  </si>
  <si>
    <t>25년1월</t>
    <phoneticPr fontId="4" type="noConversion"/>
  </si>
  <si>
    <t>운반비</t>
    <phoneticPr fontId="2" type="noConversion"/>
  </si>
  <si>
    <t>매장임차료(점 평균)</t>
    <phoneticPr fontId="2" type="noConversion"/>
  </si>
  <si>
    <r>
      <t>ㅇ 유선 인센티브</t>
    </r>
    <r>
      <rPr>
        <b/>
        <sz val="14"/>
        <color theme="0"/>
        <rFont val="맑은 고딕"/>
        <family val="3"/>
        <charset val="129"/>
        <scheme val="minor"/>
      </rPr>
      <t>_인건비</t>
    </r>
    <phoneticPr fontId="4" type="noConversion"/>
  </si>
  <si>
    <t>온라인 수수료 조정건</t>
    <phoneticPr fontId="2" type="noConversion"/>
  </si>
  <si>
    <t>ㅇ 유선 실적 - 도/소매 인터넷+TV 순신규, 舊대형/전략 순신규+제한적재가입 포함</t>
    <phoneticPr fontId="4" type="noConversion"/>
  </si>
  <si>
    <t>7) 기타사업(중고폰 전문매장 등)</t>
    <phoneticPr fontId="2" type="noConversion"/>
  </si>
  <si>
    <t>인건비 월 2억 축소분</t>
    <phoneticPr fontId="2" type="noConversion"/>
  </si>
  <si>
    <t>격려금/제도</t>
    <phoneticPr fontId="2" type="noConversion"/>
  </si>
  <si>
    <t>#. 24년 사항 : 신사업팀/모바일파트/유통사업1팀(24.9월분부터)/유통사업2팀(24.10월분부터)</t>
    <phoneticPr fontId="2" type="noConversion"/>
  </si>
  <si>
    <t xml:space="preserve">■ 유통플랫폼 종합 </t>
    <phoneticPr fontId="2" type="noConversion"/>
  </si>
  <si>
    <t>판촉비/회의비</t>
    <phoneticPr fontId="2" type="noConversion"/>
  </si>
  <si>
    <t>판촉비/회의비</t>
    <phoneticPr fontId="35" type="noConversion"/>
  </si>
  <si>
    <t>25년</t>
    <phoneticPr fontId="4" type="noConversion"/>
  </si>
  <si>
    <t>25.1월</t>
    <phoneticPr fontId="2" type="noConversion"/>
  </si>
  <si>
    <t>소상공인</t>
  </si>
  <si>
    <t>소상공인</t>
    <phoneticPr fontId="2" type="noConversion"/>
  </si>
  <si>
    <t>Biz (25년 법인영업)</t>
  </si>
  <si>
    <t>디지털</t>
    <phoneticPr fontId="2" type="noConversion"/>
  </si>
  <si>
    <t>전략(디지털)</t>
  </si>
  <si>
    <t>도매 도급수수료 계상처리</t>
    <phoneticPr fontId="2" type="noConversion"/>
  </si>
  <si>
    <t>유통플랫폼 중고폰전문매장</t>
    <phoneticPr fontId="4" type="noConversion"/>
  </si>
  <si>
    <t>자본잠식률</t>
    <phoneticPr fontId="2" type="noConversion"/>
  </si>
  <si>
    <t xml:space="preserve">도매 Win-win H/C </t>
    <phoneticPr fontId="4" type="noConversion"/>
  </si>
  <si>
    <t>판촉비</t>
  </si>
  <si>
    <t>2) 시연폰 사업</t>
    <phoneticPr fontId="2" type="noConversion"/>
  </si>
  <si>
    <t>1) 굿바이 중고폰 사업</t>
    <phoneticPr fontId="2" type="noConversion"/>
  </si>
  <si>
    <t>26년(E)</t>
    <phoneticPr fontId="4" type="noConversion"/>
  </si>
  <si>
    <t>■ 유통플랫폼사업단 매출 및 이익 전망 계획(E)</t>
    <phoneticPr fontId="2" type="noConversion"/>
  </si>
  <si>
    <t>구분 (단위:백만원)</t>
    <phoneticPr fontId="2" type="noConversion"/>
  </si>
  <si>
    <t>'25년1H실적</t>
    <phoneticPr fontId="2" type="noConversion"/>
  </si>
  <si>
    <t>'26년(E)</t>
    <phoneticPr fontId="2" type="noConversion"/>
  </si>
  <si>
    <t>'27년(E)</t>
    <phoneticPr fontId="2" type="noConversion"/>
  </si>
  <si>
    <t>'28년(E)</t>
    <phoneticPr fontId="2" type="noConversion"/>
  </si>
  <si>
    <t>'29년(E)</t>
    <phoneticPr fontId="2" type="noConversion"/>
  </si>
  <si>
    <t>'30년(E)</t>
    <phoneticPr fontId="2" type="noConversion"/>
  </si>
  <si>
    <t>추정 및 전망 근거</t>
    <phoneticPr fontId="2" type="noConversion"/>
  </si>
  <si>
    <t xml:space="preserve">매출
</t>
    <phoneticPr fontId="2" type="noConversion"/>
  </si>
  <si>
    <t>매출 계</t>
    <phoneticPr fontId="2" type="noConversion"/>
  </si>
  <si>
    <t>코코넛</t>
    <phoneticPr fontId="2" type="noConversion"/>
  </si>
  <si>
    <t>합계</t>
    <phoneticPr fontId="2" type="noConversion"/>
  </si>
  <si>
    <t>중고폰</t>
    <phoneticPr fontId="2" type="noConversion"/>
  </si>
  <si>
    <t>시연폰</t>
    <phoneticPr fontId="2" type="noConversion"/>
  </si>
  <si>
    <t>매장(오프라인)</t>
    <phoneticPr fontId="2" type="noConversion"/>
  </si>
  <si>
    <t>모바일(온라인)</t>
    <phoneticPr fontId="2" type="noConversion"/>
  </si>
  <si>
    <t>임대폰</t>
    <phoneticPr fontId="2" type="noConversion"/>
  </si>
  <si>
    <t>이익 계</t>
    <phoneticPr fontId="2" type="noConversion"/>
  </si>
  <si>
    <r>
      <rPr>
        <i/>
        <sz val="11"/>
        <color theme="1"/>
        <rFont val="맑은 고딕"/>
        <family val="3"/>
        <charset val="129"/>
      </rPr>
      <t>舊</t>
    </r>
    <r>
      <rPr>
        <i/>
        <sz val="11"/>
        <color theme="1"/>
        <rFont val="KT서체 Light"/>
        <family val="3"/>
        <charset val="129"/>
      </rPr>
      <t>신사업팀 감가상각비</t>
    </r>
    <phoneticPr fontId="2" type="noConversion"/>
  </si>
  <si>
    <t>허브출고건수</t>
    <phoneticPr fontId="2" type="noConversion"/>
  </si>
  <si>
    <t>가입점수</t>
    <phoneticPr fontId="2" type="noConversion"/>
  </si>
  <si>
    <t>이용점수</t>
    <phoneticPr fontId="2" type="noConversion"/>
  </si>
  <si>
    <t>매입건수</t>
    <phoneticPr fontId="2" type="noConversion"/>
  </si>
  <si>
    <t>매각건수</t>
    <phoneticPr fontId="2" type="noConversion"/>
  </si>
  <si>
    <t>인프라(우리매장)</t>
    <phoneticPr fontId="2" type="noConversion"/>
  </si>
  <si>
    <t>인프라(판매점)</t>
    <phoneticPr fontId="2" type="noConversion"/>
  </si>
  <si>
    <t>인프라(기타)</t>
    <phoneticPr fontId="2" type="noConversion"/>
  </si>
  <si>
    <t>시연폰 매입건수</t>
    <phoneticPr fontId="2" type="noConversion"/>
  </si>
  <si>
    <t>시연폰 매각건수</t>
    <phoneticPr fontId="2" type="noConversion"/>
  </si>
  <si>
    <t>리본 매장(오프라인) 판매건수</t>
    <phoneticPr fontId="2" type="noConversion"/>
  </si>
  <si>
    <t>리본 모바일(온라인) 판매건수</t>
    <phoneticPr fontId="2" type="noConversion"/>
  </si>
  <si>
    <t>A/S 대행건수</t>
    <phoneticPr fontId="2" type="noConversion"/>
  </si>
  <si>
    <t>임대폰 사용건수</t>
    <phoneticPr fontId="2" type="noConversion"/>
  </si>
  <si>
    <t>이익률</t>
    <phoneticPr fontId="2" type="noConversion"/>
  </si>
  <si>
    <t>굿바이 합계</t>
    <phoneticPr fontId="2" type="noConversion"/>
  </si>
  <si>
    <t>리본 합계</t>
    <phoneticPr fontId="2" type="noConversion"/>
  </si>
  <si>
    <t>매장</t>
    <phoneticPr fontId="2" type="noConversion"/>
  </si>
  <si>
    <t>모바일</t>
    <phoneticPr fontId="2" type="noConversion"/>
  </si>
  <si>
    <t>kt 위탁 합계</t>
    <phoneticPr fontId="2" type="noConversion"/>
  </si>
  <si>
    <t>중고폰 매입건수</t>
    <phoneticPr fontId="2" type="noConversion"/>
  </si>
  <si>
    <t>중고폰 매각건수</t>
    <phoneticPr fontId="2" type="noConversion"/>
  </si>
  <si>
    <t>S시리즈/폴더블/아이폰 각 1만대 + 기타 0.7~1만대</t>
    <phoneticPr fontId="2" type="noConversion"/>
  </si>
  <si>
    <t>중고폰 매각단가</t>
    <phoneticPr fontId="2" type="noConversion"/>
  </si>
  <si>
    <t>시연폰 매각단가</t>
    <phoneticPr fontId="2" type="noConversion"/>
  </si>
  <si>
    <t>중고폰 매출</t>
    <phoneticPr fontId="2" type="noConversion"/>
  </si>
  <si>
    <t>시연폰 매출</t>
    <phoneticPr fontId="2" type="noConversion"/>
  </si>
  <si>
    <t>점당 생산성/월</t>
    <phoneticPr fontId="2" type="noConversion"/>
  </si>
  <si>
    <t>인프라(우리매장)</t>
  </si>
  <si>
    <t>전사후불평균실적 55건 x 30%</t>
    <phoneticPr fontId="2" type="noConversion"/>
  </si>
  <si>
    <t>인프라(kt 대리점)</t>
  </si>
  <si>
    <t>대리점후불평균실적 55건 x 10~30%</t>
    <phoneticPr fontId="2" type="noConversion"/>
  </si>
  <si>
    <t>인프라(판매점)</t>
  </si>
  <si>
    <t>인프라(기타)</t>
  </si>
  <si>
    <t>KT닷컴</t>
    <phoneticPr fontId="2" type="noConversion"/>
  </si>
  <si>
    <t>매입건수/월</t>
    <phoneticPr fontId="2" type="noConversion"/>
  </si>
  <si>
    <t>소계</t>
    <phoneticPr fontId="2" type="noConversion"/>
  </si>
  <si>
    <t>매입건수/년</t>
    <phoneticPr fontId="2" type="noConversion"/>
  </si>
  <si>
    <t>'25년(E)</t>
    <phoneticPr fontId="2" type="noConversion"/>
  </si>
  <si>
    <t xml:space="preserve"> 26년 : 월 1억원, 27년 : 월 1.2억원, 28년 : 월 1.5억원 발생 예상</t>
    <phoneticPr fontId="2" type="noConversion"/>
  </si>
  <si>
    <t xml:space="preserve"> 기타 대형유통 채널 진입 추진</t>
    <phoneticPr fontId="2" type="noConversion"/>
  </si>
  <si>
    <t xml:space="preserve"> KT대리점은 민팃과의 계약 종료 후 당사 인수하는 시점 반영 (25년말부터 인수 예상)</t>
    <phoneticPr fontId="2" type="noConversion"/>
  </si>
  <si>
    <t xml:space="preserve"> 가입점은 판매점 약 1.2만점, KT전속매장 2천점(E)</t>
    <phoneticPr fontId="2" type="noConversion"/>
  </si>
  <si>
    <t>요금계산기(코코넛컨설팅) (매출)</t>
    <phoneticPr fontId="2" type="noConversion"/>
  </si>
  <si>
    <t xml:space="preserve"> 26년 : 월 8,000건, 27년 : 월 10,000건, 28년 : 월 12,000건 수준 허브 출고 증가 반영(E)</t>
    <phoneticPr fontId="2" type="noConversion"/>
  </si>
  <si>
    <t xml:space="preserve"> 28년 약 36만건(E) 수준까지 시장 내 성장 가정</t>
    <phoneticPr fontId="2" type="noConversion"/>
  </si>
  <si>
    <t xml:space="preserve">매입/매각 채널 확대 전략 기반 매출 증대 추진 (대리점 인수, 기타 대형유통 채널 진입, KT 중고폰상품 기획(w.KT) 등) </t>
    <phoneticPr fontId="2" type="noConversion"/>
  </si>
  <si>
    <t xml:space="preserve">  S시리즈/폴더블/아이폰 중심 25년 체력 수준 지속 계획</t>
    <phoneticPr fontId="2" type="noConversion"/>
  </si>
  <si>
    <t>중고폰 전문매장</t>
    <phoneticPr fontId="2" type="noConversion"/>
  </si>
  <si>
    <t>-</t>
    <phoneticPr fontId="2" type="noConversion"/>
  </si>
  <si>
    <t>굿바이 중고폰</t>
  </si>
  <si>
    <t>굿바이 중고폰</t>
    <phoneticPr fontId="2" type="noConversion"/>
  </si>
  <si>
    <t>(참고) 25년 인테리어 비용 9,100만원 24년말 KT 선정산으로 일부 마이너스 효과 발생</t>
    <phoneticPr fontId="2" type="noConversion"/>
  </si>
  <si>
    <t>굿바이/
시연폰</t>
    <phoneticPr fontId="2" type="noConversion"/>
  </si>
  <si>
    <t>중고폰 
전문매장</t>
    <phoneticPr fontId="2" type="noConversion"/>
  </si>
  <si>
    <t>KT위탁</t>
    <phoneticPr fontId="2" type="noConversion"/>
  </si>
  <si>
    <t>대당 평균 판매가 35만원, 25년 판매건수 1,800대 예상(월평균 450대, 9~12월 순차 증가)</t>
    <phoneticPr fontId="2" type="noConversion"/>
  </si>
  <si>
    <t>인프라(KT대리점)</t>
    <phoneticPr fontId="2" type="noConversion"/>
  </si>
  <si>
    <t>몰(플러스PG) 판매 (매출)</t>
    <phoneticPr fontId="2" type="noConversion"/>
  </si>
  <si>
    <t xml:space="preserve">  오프라인 매장 확대 및 온라인 Two-track 점진 확대 계획</t>
    <phoneticPr fontId="2" type="noConversion"/>
  </si>
  <si>
    <t>긋바이
중고폰</t>
    <phoneticPr fontId="2" type="noConversion"/>
  </si>
  <si>
    <t>이익</t>
    <phoneticPr fontId="2" type="noConversion"/>
  </si>
  <si>
    <t>유통플랫폼
사업별
key Factor</t>
    <phoneticPr fontId="2" type="noConversion"/>
  </si>
  <si>
    <t xml:space="preserve"> 26년부터 7월부터 컨설팅 월 사용액 징구 및 빅데이터 운영 대가(KT에 데이터판매) 수익 발생</t>
    <phoneticPr fontId="2" type="noConversion"/>
  </si>
  <si>
    <t xml:space="preserve"> 리본 매장수 : 25년 1개 → 26~27년 7개 → 28년 8개 / 25년 8월 시점 매장수 점진 확대에 대한 KT 협의 지속중</t>
    <phoneticPr fontId="2" type="noConversion"/>
  </si>
  <si>
    <t xml:space="preserve"> 1대당 평균 마진 8만원(운영비/광고홍보비 제외), 리본모바일 월 BEP 440건, 25년 9월 런칭 후 12월까지 BEP 수준으로 운영, 이후 매년 약 150% 성장 가정</t>
    <phoneticPr fontId="2" type="noConversion"/>
  </si>
  <si>
    <r>
      <t xml:space="preserve"> AS 대행 건수 25년 수준 유지 전망 (사업 수행 역할 자체 </t>
    </r>
    <r>
      <rPr>
        <sz val="11"/>
        <color theme="1"/>
        <rFont val="Gulim"/>
        <family val="3"/>
        <charset val="129"/>
      </rPr>
      <t>年 1</t>
    </r>
    <r>
      <rPr>
        <sz val="11"/>
        <color theme="1"/>
        <rFont val="KT서체 Light"/>
        <family val="3"/>
        <charset val="129"/>
      </rPr>
      <t>억 이익 예상, 인건비 등 포함시 제로 수준 전망)</t>
    </r>
    <phoneticPr fontId="2" type="noConversion"/>
  </si>
  <si>
    <r>
      <t xml:space="preserve"> 임대폰 등록 운영건수(</t>
    </r>
    <r>
      <rPr>
        <sz val="11"/>
        <color theme="1"/>
        <rFont val="Gulim"/>
        <family val="3"/>
        <charset val="129"/>
      </rPr>
      <t>年</t>
    </r>
    <r>
      <rPr>
        <sz val="11"/>
        <color theme="1"/>
        <rFont val="KT서체 Light"/>
        <family val="3"/>
        <charset val="129"/>
      </rPr>
      <t xml:space="preserve">3.1천대) 지속 유지 전망 (사업 수행 역할 자체 </t>
    </r>
    <r>
      <rPr>
        <sz val="11"/>
        <color theme="1"/>
        <rFont val="Gulim"/>
        <family val="3"/>
        <charset val="129"/>
      </rPr>
      <t>年</t>
    </r>
    <r>
      <rPr>
        <sz val="11"/>
        <color theme="1"/>
        <rFont val="KT서체 Light"/>
        <family val="3"/>
        <charset val="129"/>
      </rPr>
      <t xml:space="preserve"> 1억 이익 예상, 인건비 등 포함시 제로 수준 전망)</t>
    </r>
    <phoneticPr fontId="2" type="noConversion"/>
  </si>
  <si>
    <r>
      <t>Active 가입자</t>
    </r>
    <r>
      <rPr>
        <sz val="10"/>
        <color theme="0" tint="-0.14999847407452621"/>
        <rFont val="맑은 고딕"/>
        <family val="3"/>
        <charset val="129"/>
        <scheme val="minor"/>
      </rPr>
      <t xml:space="preserve">
(관리수수료 대상 8.5%)</t>
    </r>
    <phoneticPr fontId="4" type="noConversion"/>
  </si>
  <si>
    <t>Active 가입자 H/C</t>
    <phoneticPr fontId="2" type="noConversion"/>
  </si>
  <si>
    <t>기업/미8군</t>
  </si>
  <si>
    <t>Biz (법인영업)</t>
  </si>
  <si>
    <t>Biz(법인영업)</t>
    <phoneticPr fontId="2" type="noConversion"/>
  </si>
  <si>
    <t>사내온라인(kt닷컴)</t>
  </si>
  <si>
    <t>kt닷컴/제휴</t>
  </si>
  <si>
    <t>kt닷컴</t>
  </si>
  <si>
    <t>사내온라인(kt닷컴)/(제휴)</t>
    <phoneticPr fontId="2" type="noConversion"/>
  </si>
  <si>
    <t>사외온라인(舊제휴)</t>
    <phoneticPr fontId="2" type="noConversion"/>
  </si>
  <si>
    <t>ㅇ 회의비(마케팅)</t>
    <phoneticPr fontId="4" type="noConversion"/>
  </si>
  <si>
    <t>ㅇ 무선 인센티브</t>
    <phoneticPr fontId="4" type="noConversion"/>
  </si>
  <si>
    <t>7월(E)</t>
  </si>
  <si>
    <t>7월(E)</t>
    <phoneticPr fontId="2" type="noConversion"/>
  </si>
  <si>
    <t>8월(E)</t>
  </si>
  <si>
    <t>8월(E)</t>
    <phoneticPr fontId="2" type="noConversion"/>
  </si>
  <si>
    <t>9월(E)</t>
  </si>
  <si>
    <t>9월(E)</t>
    <phoneticPr fontId="2" type="noConversion"/>
  </si>
  <si>
    <t>10월(E)</t>
  </si>
  <si>
    <t>10월(E)</t>
    <phoneticPr fontId="2" type="noConversion"/>
  </si>
  <si>
    <t>11월(E)</t>
  </si>
  <si>
    <t>11월(E)</t>
    <phoneticPr fontId="2" type="noConversion"/>
  </si>
  <si>
    <t>12월(E)</t>
  </si>
  <si>
    <t>12월(E)</t>
    <phoneticPr fontId="2" type="noConversion"/>
  </si>
  <si>
    <t>2026년(E)</t>
    <phoneticPr fontId="4" type="noConversion"/>
  </si>
  <si>
    <t>6월(E)</t>
  </si>
  <si>
    <t>6월(E)</t>
    <phoneticPr fontId="2" type="noConversion"/>
  </si>
  <si>
    <t>5월(E)</t>
  </si>
  <si>
    <t>5월(E)</t>
    <phoneticPr fontId="2" type="noConversion"/>
  </si>
  <si>
    <t>4월(E)</t>
  </si>
  <si>
    <t>4월(E)</t>
    <phoneticPr fontId="2" type="noConversion"/>
  </si>
  <si>
    <t>3월(E)</t>
  </si>
  <si>
    <t>3월(E)</t>
    <phoneticPr fontId="2" type="noConversion"/>
  </si>
  <si>
    <t>2월(E)</t>
  </si>
  <si>
    <t>2월(E)</t>
    <phoneticPr fontId="4" type="noConversion"/>
  </si>
  <si>
    <t>1월(E)</t>
  </si>
  <si>
    <t>1월(E)</t>
    <phoneticPr fontId="4" type="noConversion"/>
  </si>
  <si>
    <t>도매H/C</t>
    <phoneticPr fontId="4" type="noConversion"/>
  </si>
  <si>
    <t>누적</t>
    <phoneticPr fontId="4" type="noConversion"/>
  </si>
  <si>
    <t>순증(감)</t>
    <phoneticPr fontId="4" type="noConversion"/>
  </si>
  <si>
    <t>객수수료</t>
    <phoneticPr fontId="4" type="noConversion"/>
  </si>
  <si>
    <t>신규/기변</t>
    <phoneticPr fontId="4" type="noConversion"/>
  </si>
  <si>
    <t>해지/기변/만기환수Out율</t>
    <phoneticPr fontId="4" type="noConversion"/>
  </si>
  <si>
    <t>Total out</t>
    <phoneticPr fontId="4" type="noConversion"/>
  </si>
  <si>
    <t>ARPU</t>
    <phoneticPr fontId="2" type="noConversion"/>
  </si>
  <si>
    <t>H/C수수료</t>
    <phoneticPr fontId="2" type="noConversion"/>
  </si>
  <si>
    <t>kt닷컴 H/C</t>
    <phoneticPr fontId="4" type="noConversion"/>
  </si>
  <si>
    <t>기타(舊KTAC/舊시연폰매각/본사공통 등)</t>
  </si>
  <si>
    <t>기타(舊KTAC/舊시연폰매각/본사공통 등)</t>
    <phoneticPr fontId="2" type="noConversion"/>
  </si>
  <si>
    <t>디지털(kt닷컴)</t>
    <phoneticPr fontId="2" type="noConversion"/>
  </si>
  <si>
    <t>전사(도매제외)</t>
    <phoneticPr fontId="4" type="noConversion"/>
  </si>
  <si>
    <t>코코넛허브, 코코넛포인트/이벤트 운영 중심 26년부 20~40억대 점진 매출 증가 목표</t>
    <phoneticPr fontId="2" type="noConversion"/>
  </si>
  <si>
    <t>관리비</t>
    <phoneticPr fontId="4" type="noConversion"/>
  </si>
  <si>
    <t>OA기기</t>
    <phoneticPr fontId="4" type="noConversion"/>
  </si>
  <si>
    <t>7월(E)</t>
    <phoneticPr fontId="4" type="noConversion"/>
  </si>
  <si>
    <t>8월(E)</t>
    <phoneticPr fontId="4" type="noConversion"/>
  </si>
  <si>
    <t>9월(E)</t>
    <phoneticPr fontId="4" type="noConversion"/>
  </si>
  <si>
    <t>10월(E)</t>
    <phoneticPr fontId="4" type="noConversion"/>
  </si>
  <si>
    <t>11월(E)</t>
    <phoneticPr fontId="4" type="noConversion"/>
  </si>
  <si>
    <t>12월(E)</t>
    <phoneticPr fontId="4" type="noConversion"/>
  </si>
  <si>
    <t>투자(에비뉴/스퀘어)</t>
    <phoneticPr fontId="2" type="noConversion"/>
  </si>
  <si>
    <t>3월(E)</t>
    <phoneticPr fontId="4" type="noConversion"/>
  </si>
  <si>
    <t>4월(E)</t>
    <phoneticPr fontId="4" type="noConversion"/>
  </si>
  <si>
    <t>5월(E)</t>
    <phoneticPr fontId="4" type="noConversion"/>
  </si>
  <si>
    <t>6월(E)</t>
    <phoneticPr fontId="4" type="noConversion"/>
  </si>
  <si>
    <t>디지털</t>
  </si>
  <si>
    <r>
      <t xml:space="preserve">B2B </t>
    </r>
    <r>
      <rPr>
        <i/>
        <sz val="12"/>
        <color theme="1"/>
        <rFont val="KT서체 Light"/>
        <family val="3"/>
        <charset val="129"/>
      </rPr>
      <t>(</t>
    </r>
    <r>
      <rPr>
        <i/>
        <sz val="12"/>
        <color theme="1"/>
        <rFont val="Gulim"/>
        <family val="3"/>
        <charset val="129"/>
      </rPr>
      <t>舊</t>
    </r>
    <r>
      <rPr>
        <i/>
        <sz val="12"/>
        <color theme="1"/>
        <rFont val="KT서체 Light"/>
        <family val="3"/>
        <charset val="129"/>
      </rPr>
      <t>Biz(법인), 기업)</t>
    </r>
    <phoneticPr fontId="2" type="noConversion"/>
  </si>
  <si>
    <t>제휴</t>
    <phoneticPr fontId="2" type="noConversion"/>
  </si>
  <si>
    <r>
      <t xml:space="preserve">운영 후불
</t>
    </r>
    <r>
      <rPr>
        <b/>
        <sz val="9"/>
        <color theme="0" tint="-0.499984740745262"/>
        <rFont val="KT서체 Light"/>
        <family val="3"/>
        <charset val="129"/>
      </rPr>
      <t>(중고, 쉐어링 제외)</t>
    </r>
    <phoneticPr fontId="2" type="noConversion"/>
  </si>
  <si>
    <r>
      <t xml:space="preserve">운영 후불
</t>
    </r>
    <r>
      <rPr>
        <b/>
        <sz val="9"/>
        <color theme="0" tint="-0.499984740745262"/>
        <rFont val="KT서체 Light"/>
        <family val="3"/>
        <charset val="129"/>
      </rPr>
      <t>(중고,쉐어링 제외)</t>
    </r>
    <phoneticPr fontId="2" type="noConversion"/>
  </si>
  <si>
    <t>26.1월(E)</t>
    <phoneticPr fontId="2" type="noConversion"/>
  </si>
  <si>
    <t>2월(E)</t>
    <phoneticPr fontId="2" type="noConversion"/>
  </si>
  <si>
    <r>
      <t>3월</t>
    </r>
    <r>
      <rPr>
        <b/>
        <sz val="12"/>
        <color theme="1"/>
        <rFont val="맑은 고딕"/>
        <family val="3"/>
        <charset val="129"/>
      </rPr>
      <t>(E)</t>
    </r>
    <phoneticPr fontId="2" type="noConversion"/>
  </si>
  <si>
    <t>B2B</t>
    <phoneticPr fontId="2" type="noConversion"/>
  </si>
  <si>
    <t>건당 정책수수료(원)</t>
    <phoneticPr fontId="2" type="noConversion"/>
  </si>
  <si>
    <t>월별</t>
    <phoneticPr fontId="2" type="noConversion"/>
  </si>
  <si>
    <t>Biz(법인영업)/기타</t>
    <phoneticPr fontId="2" type="noConversion"/>
  </si>
  <si>
    <t>전년대비</t>
    <phoneticPr fontId="4" type="noConversion"/>
  </si>
  <si>
    <t>재작년대비</t>
    <phoneticPr fontId="4" type="noConversion"/>
  </si>
  <si>
    <t>전년대비</t>
    <phoneticPr fontId="2" type="noConversion"/>
  </si>
  <si>
    <t>재작년대비</t>
    <phoneticPr fontId="2" type="noConversion"/>
  </si>
  <si>
    <t>임금상승률</t>
    <phoneticPr fontId="2" type="noConversion"/>
  </si>
  <si>
    <t>26년1월(E)</t>
    <phoneticPr fontId="4" type="noConversion"/>
  </si>
  <si>
    <t>2026년(E)</t>
    <phoneticPr fontId="2" type="noConversion"/>
  </si>
  <si>
    <t>일반직/영업직군</t>
    <phoneticPr fontId="2" type="noConversion"/>
  </si>
  <si>
    <r>
      <t xml:space="preserve">3) </t>
    </r>
    <r>
      <rPr>
        <b/>
        <sz val="12"/>
        <color theme="1"/>
        <rFont val="Gulim"/>
        <family val="3"/>
        <charset val="129"/>
      </rPr>
      <t>舊</t>
    </r>
    <r>
      <rPr>
        <b/>
        <sz val="12"/>
        <color theme="1"/>
        <rFont val="KT서체 Light"/>
        <family val="3"/>
        <charset val="129"/>
      </rPr>
      <t>디즈니 캐릭터 유통 판매</t>
    </r>
    <phoneticPr fontId="2" type="noConversion"/>
  </si>
  <si>
    <t>1H 서비스이용료 30억, 유통플랫폼 21억(코코넛허브/퀵 비용 정산 등)</t>
    <phoneticPr fontId="4" type="noConversion"/>
  </si>
  <si>
    <t>25-24년</t>
    <phoneticPr fontId="2" type="noConversion"/>
  </si>
  <si>
    <t>26-25년</t>
    <phoneticPr fontId="2" type="noConversion"/>
  </si>
  <si>
    <t>24-23년</t>
    <phoneticPr fontId="2" type="noConversion"/>
  </si>
  <si>
    <t>대당 총원가(도매 제외)</t>
    <phoneticPr fontId="4" type="noConversion"/>
  </si>
  <si>
    <t xml:space="preserve"> 매            출</t>
    <phoneticPr fontId="2" type="noConversion"/>
  </si>
  <si>
    <t xml:space="preserve"> 영  업  이  익</t>
    <phoneticPr fontId="12" type="noConversion"/>
  </si>
  <si>
    <t>통신사업</t>
    <phoneticPr fontId="2" type="noConversion"/>
  </si>
  <si>
    <t>매출(비중)</t>
    <phoneticPr fontId="2" type="noConversion"/>
  </si>
  <si>
    <t>25년(E)</t>
  </si>
  <si>
    <t>통신사업</t>
  </si>
  <si>
    <t>영업이익(비중)</t>
    <phoneticPr fontId="2" type="noConversion"/>
  </si>
  <si>
    <t>서비스매출</t>
    <phoneticPr fontId="4" type="noConversion"/>
  </si>
  <si>
    <t>26년(E)</t>
  </si>
  <si>
    <t>26년(E)</t>
    <phoneticPr fontId="2" type="noConversion"/>
  </si>
  <si>
    <t>26-25년</t>
    <phoneticPr fontId="4" type="noConversion"/>
  </si>
  <si>
    <t>유통플랫폼</t>
  </si>
  <si>
    <t>유통플랫폼</t>
    <phoneticPr fontId="2" type="noConversion"/>
  </si>
  <si>
    <t>세부사항</t>
    <phoneticPr fontId="2" type="noConversion"/>
  </si>
  <si>
    <t>(소매)</t>
    <phoneticPr fontId="2" type="noConversion"/>
  </si>
  <si>
    <t>(도매)</t>
    <phoneticPr fontId="2" type="noConversion"/>
  </si>
  <si>
    <t>(B2B)</t>
    <phoneticPr fontId="2" type="noConversion"/>
  </si>
  <si>
    <t>(통신사업 영업이익)</t>
    <phoneticPr fontId="2" type="noConversion"/>
  </si>
  <si>
    <t>수수료매출</t>
    <phoneticPr fontId="2" type="noConversion"/>
  </si>
  <si>
    <t>(정책수수료)</t>
    <phoneticPr fontId="2" type="noConversion"/>
  </si>
  <si>
    <t>(관리수수료)</t>
    <phoneticPr fontId="2" type="noConversion"/>
  </si>
  <si>
    <t>(기타수수료)</t>
    <phoneticPr fontId="2" type="noConversion"/>
  </si>
  <si>
    <r>
      <t>(매장수_</t>
    </r>
    <r>
      <rPr>
        <sz val="9"/>
        <color theme="1"/>
        <rFont val="KT서체 Light"/>
        <family val="3"/>
        <charset val="129"/>
      </rPr>
      <t>연말기준</t>
    </r>
    <r>
      <rPr>
        <sz val="11"/>
        <color theme="1"/>
        <rFont val="KT서체 Light"/>
        <family val="3"/>
        <charset val="129"/>
      </rPr>
      <t>)</t>
    </r>
    <phoneticPr fontId="2" type="noConversion"/>
  </si>
  <si>
    <r>
      <t>(소매매장 인원수</t>
    </r>
    <r>
      <rPr>
        <sz val="9"/>
        <color theme="1"/>
        <rFont val="KT서체 Light"/>
        <family val="3"/>
        <charset val="129"/>
      </rPr>
      <t>_연말기준</t>
    </r>
    <r>
      <rPr>
        <sz val="11"/>
        <color theme="1"/>
        <rFont val="KT서체 Light"/>
        <family val="3"/>
        <charset val="129"/>
      </rPr>
      <t>)</t>
    </r>
    <phoneticPr fontId="2" type="noConversion"/>
  </si>
  <si>
    <t>마케팅비</t>
    <phoneticPr fontId="2" type="noConversion"/>
  </si>
  <si>
    <t>임차관리비</t>
    <phoneticPr fontId="2" type="noConversion"/>
  </si>
  <si>
    <t>코코넛 출고건수</t>
  </si>
  <si>
    <t>kt A/S 대행 건수</t>
  </si>
  <si>
    <t>임대폰 사용 건수</t>
  </si>
  <si>
    <t>■ 26년 경영계획(안)_주요 Key factor</t>
    <phoneticPr fontId="2" type="noConversion"/>
  </si>
  <si>
    <r>
      <t xml:space="preserve">차이 </t>
    </r>
    <r>
      <rPr>
        <b/>
        <sz val="10"/>
        <color theme="0"/>
        <rFont val="KT서체 Light"/>
        <family val="3"/>
        <charset val="129"/>
      </rPr>
      <t>(26-25년)</t>
    </r>
    <phoneticPr fontId="2" type="noConversion"/>
  </si>
  <si>
    <t>27년(E)</t>
  </si>
  <si>
    <t>28년(E)</t>
  </si>
  <si>
    <t>24년</t>
    <phoneticPr fontId="2" type="noConversion"/>
  </si>
  <si>
    <t>전사 (단위:백만원)</t>
    <phoneticPr fontId="2" type="noConversion"/>
  </si>
  <si>
    <t xml:space="preserve">   매            출</t>
    <phoneticPr fontId="2" type="noConversion"/>
  </si>
  <si>
    <t xml:space="preserve">   영  업  이  익</t>
    <phoneticPr fontId="12" type="noConversion"/>
  </si>
  <si>
    <t>수수료수입</t>
    <phoneticPr fontId="2" type="noConversion"/>
  </si>
  <si>
    <t xml:space="preserve">    매  출  원  가</t>
    <phoneticPr fontId="2" type="noConversion"/>
  </si>
  <si>
    <t xml:space="preserve">    매 출 총 이 익</t>
    <phoneticPr fontId="2" type="noConversion"/>
  </si>
  <si>
    <t xml:space="preserve">    판매비와일반관리비</t>
    <phoneticPr fontId="2" type="noConversion"/>
  </si>
  <si>
    <t>전년 대비 성장률</t>
    <phoneticPr fontId="4" type="noConversion"/>
  </si>
  <si>
    <t>IT투자(DRM시스템, 메일시스템 개선, 자산관리 솔루션 업그레이드, 영업관리시스템 OS 보안 취약점 개선 등)</t>
    <phoneticPr fontId="2" type="noConversion"/>
  </si>
  <si>
    <t>(소상공인)</t>
    <phoneticPr fontId="2" type="noConversion"/>
  </si>
  <si>
    <t>(디지털)</t>
    <phoneticPr fontId="2" type="noConversion"/>
  </si>
  <si>
    <t>(유통플랫폼 영업이익)</t>
    <phoneticPr fontId="2" type="noConversion"/>
  </si>
  <si>
    <t>ㅇ 굿바이 매입/매각 채널 확대 기반 매출 증대 및 안정적 시연폰 사업, 중고폰 전문 매장 확대 등 성장 계획</t>
    <phoneticPr fontId="2" type="noConversion"/>
  </si>
  <si>
    <t>굿바이 매입건수</t>
    <phoneticPr fontId="2" type="noConversion"/>
  </si>
  <si>
    <t>유통
플랫폼</t>
    <phoneticPr fontId="2" type="noConversion"/>
  </si>
  <si>
    <t>ㅇ 영업총괄 예상 채널별 실적 예상(E)</t>
    <phoneticPr fontId="2" type="noConversion"/>
  </si>
  <si>
    <t>(참고_대당 정책수수료_도매제외)</t>
    <phoneticPr fontId="2" type="noConversion"/>
  </si>
  <si>
    <t>(참고_Active 무선 유지가입자)</t>
    <phoneticPr fontId="2" type="noConversion"/>
  </si>
  <si>
    <r>
      <t>(소상공인 인원수</t>
    </r>
    <r>
      <rPr>
        <sz val="9"/>
        <color theme="1"/>
        <rFont val="KT서체 Light"/>
        <family val="3"/>
        <charset val="129"/>
      </rPr>
      <t>_연말기준</t>
    </r>
    <r>
      <rPr>
        <sz val="11"/>
        <color theme="1"/>
        <rFont val="KT서체 Light"/>
        <family val="3"/>
        <charset val="129"/>
      </rPr>
      <t>)</t>
    </r>
    <phoneticPr fontId="2" type="noConversion"/>
  </si>
  <si>
    <t>ㅇ S시리즈/폴더블/아이폰 각 1만대 및 기타 1만대 25년 체력 수준 유지 지속 반영</t>
    <phoneticPr fontId="2" type="noConversion"/>
  </si>
  <si>
    <t>증감률</t>
    <phoneticPr fontId="4" type="noConversion"/>
  </si>
  <si>
    <r>
      <t>증감률</t>
    </r>
    <r>
      <rPr>
        <b/>
        <sz val="9"/>
        <color theme="0"/>
        <rFont val="KT서체 Light"/>
        <family val="3"/>
        <charset val="129"/>
      </rPr>
      <t xml:space="preserve">
(26-25년)</t>
    </r>
    <phoneticPr fontId="2" type="noConversion"/>
  </si>
  <si>
    <r>
      <t>증감률</t>
    </r>
    <r>
      <rPr>
        <b/>
        <sz val="9"/>
        <color theme="0"/>
        <rFont val="KT서체 Light"/>
        <family val="3"/>
        <charset val="129"/>
      </rPr>
      <t xml:space="preserve">
(26-24년)</t>
    </r>
    <phoneticPr fontId="2" type="noConversion"/>
  </si>
  <si>
    <t>ㅇ  AS 대행 및 임대폰 등록 운영 수준 유지 및 사업 수행 충실 역할 지속 계획</t>
    <phoneticPr fontId="2" type="noConversion"/>
  </si>
  <si>
    <t>굿바이 매각건수</t>
    <phoneticPr fontId="2" type="noConversion"/>
  </si>
  <si>
    <r>
      <t>■ 매출/이익 전망 요약</t>
    </r>
    <r>
      <rPr>
        <sz val="14"/>
        <color theme="1"/>
        <rFont val="KT서체 Light"/>
        <family val="3"/>
        <charset val="129"/>
      </rPr>
      <t xml:space="preserve"> </t>
    </r>
    <r>
      <rPr>
        <sz val="14"/>
        <color theme="0" tint="-0.499984740745262"/>
        <rFont val="KT서체 Light"/>
        <family val="3"/>
        <charset val="129"/>
      </rPr>
      <t>(전사/통신사업/유통플랫폼)</t>
    </r>
    <phoneticPr fontId="2" type="noConversion"/>
  </si>
  <si>
    <t xml:space="preserve">    ※ 참고. 25년 도매 Win-win PG 확대로 24년대비 약 -660억 상품매출 감소 영향</t>
  </si>
  <si>
    <t>ㅇ KT AC도급수수료 26년1월부 사업 종료 반영
ㅇ KT닷컴 도급비 월 7.7억 수준 증가 반영
ㅇ 도매 도급비 25년 3월 계약 월 25억(Win-win대리점 수익 포함) 수준 지속 반영</t>
    <phoneticPr fontId="2" type="noConversion"/>
  </si>
  <si>
    <t>ㅇ 26년 월 8천건, 27년 월 1만건, 28년 월 1.2만건(E)까지 점진적 허브 출고 증가</t>
    <phoneticPr fontId="2" type="noConversion"/>
  </si>
  <si>
    <t>ㅇ 매입/매각 채널 확대 전략 추진 예정
    (대리점 인수, 기타 대형유통 채널 진입, KT 중고폰상품 기획(w.KT) 등)</t>
    <phoneticPr fontId="2" type="noConversion"/>
  </si>
  <si>
    <t xml:space="preserve">■ 손익계산서 </t>
    <phoneticPr fontId="4" type="noConversion"/>
  </si>
  <si>
    <t xml:space="preserve"> S시리즈/폴더블/아이폰 각 1만대 + 기타 1만대 25년 체력 수준 유지 지속 </t>
    <phoneticPr fontId="2" type="noConversion"/>
  </si>
  <si>
    <t>서비스매출 영업이익률</t>
    <phoneticPr fontId="4" type="noConversion"/>
  </si>
  <si>
    <t>전체 영업이익률</t>
    <phoneticPr fontId="4" type="noConversion"/>
  </si>
  <si>
    <t>예상 실적(E)</t>
    <phoneticPr fontId="2" type="noConversion"/>
  </si>
  <si>
    <t>본사공통/기타</t>
    <phoneticPr fontId="2" type="noConversion"/>
  </si>
  <si>
    <t>B2B Capa 증가로 판매수수료 증가</t>
    <phoneticPr fontId="2" type="noConversion"/>
  </si>
  <si>
    <t>KT (전체)</t>
  </si>
  <si>
    <t>M&amp;S</t>
  </si>
  <si>
    <t>M&amp;S 비중</t>
  </si>
  <si>
    <t>대리점</t>
    <phoneticPr fontId="2" type="noConversion"/>
  </si>
  <si>
    <t>운영 후불 Capa</t>
    <phoneticPr fontId="2" type="noConversion"/>
  </si>
  <si>
    <t>(월평균 Capa)</t>
    <phoneticPr fontId="2" type="noConversion"/>
  </si>
  <si>
    <t>Capa_도매제외</t>
    <phoneticPr fontId="2" type="noConversion"/>
  </si>
  <si>
    <t>ㅇ Capa 증가 및 굿바이 등 유통플랫폼사업 상품매출 증가 등으로 성장 계획</t>
    <phoneticPr fontId="2" type="noConversion"/>
  </si>
  <si>
    <t>ㅇ 소매 생산성 확대/질적영업 지속 강화, KT닷컴 Capa 증가 등 정책수수료 확대 성장</t>
    <phoneticPr fontId="2" type="noConversion"/>
  </si>
  <si>
    <t>지급수수료(플랫폼운영비 등)</t>
    <phoneticPr fontId="2" type="noConversion"/>
  </si>
  <si>
    <t>7월</t>
    <phoneticPr fontId="2" type="noConversion"/>
  </si>
  <si>
    <t>8월</t>
    <phoneticPr fontId="2" type="noConversion"/>
  </si>
  <si>
    <t>2025년</t>
    <phoneticPr fontId="4" type="noConversion"/>
  </si>
  <si>
    <t>실적</t>
    <phoneticPr fontId="2" type="noConversion"/>
  </si>
  <si>
    <t>7월</t>
    <phoneticPr fontId="4" type="noConversion"/>
  </si>
  <si>
    <t>8월</t>
    <phoneticPr fontId="4" type="noConversion"/>
  </si>
  <si>
    <t>9월</t>
    <phoneticPr fontId="4" type="noConversion"/>
  </si>
  <si>
    <t>10월</t>
    <phoneticPr fontId="4" type="noConversion"/>
  </si>
  <si>
    <t>11월</t>
    <phoneticPr fontId="4" type="noConversion"/>
  </si>
  <si>
    <t>12월</t>
    <phoneticPr fontId="4" type="noConversion"/>
  </si>
  <si>
    <t>25년</t>
    <phoneticPr fontId="2" type="noConversion"/>
  </si>
  <si>
    <t>(프론티어 등 여분)</t>
    <phoneticPr fontId="2" type="noConversion"/>
  </si>
  <si>
    <t>매장 확대에 따른 임차료 증가</t>
    <phoneticPr fontId="2" type="noConversion"/>
  </si>
  <si>
    <t>굿바이 감가상각 제외</t>
  </si>
  <si>
    <t>ㅇ 전년대비 약 +4.2%, 24년 대비 약 +22% 성장한 67만건 달성 목표로 월평균 5.6만건 이상 실적  달성 추진 
ㅇ 기존 체력 수준 대비 소매 생산성 강화, 도매 Win-win 전국화 안정 및 통합개통실 운영, KT닷컴의 우상향 성장 등을
    전제/고려 성장 추진</t>
    <phoneticPr fontId="2" type="noConversion"/>
  </si>
  <si>
    <t>ㅇ 26년(E) 8.2천억(E) 수준대의 매출 발생 계획 및 영업이익 170억 초과 약 +5% 성장 목표</t>
    <phoneticPr fontId="2" type="noConversion"/>
  </si>
  <si>
    <t>ㅇ Capa 성장 바탕 100억대 유지 방어</t>
    <phoneticPr fontId="2" type="noConversion"/>
  </si>
  <si>
    <t>ㅇ 점프업 가입자, H/C 축소에 따른 수수료 감소 반영
ㅇ 경영진단 후속조치의 일환으로 25년8월부 P3.0수수료 기준 변경
ㅇ KT닷컴 도급화로 인한 H/C 추가분(약 19억) 및 도매 Win-win관리수수료 (약 29억) 반영 등</t>
    <phoneticPr fontId="2" type="noConversion"/>
  </si>
  <si>
    <r>
      <t>ㅇ 임단협 기존 타결 수준 반영+연봉 조정/호봉 상승분 3% 적용
ㅇ 특별격려금 인당 1.5백만원 가정 (약 30억)
ㅇ 인프라 26년말 270점 점진 증가 가정 (KT전체 25년 1.9천점→26년 1.78천점→27년 1.65천점→28년 1.5천점(E)
    정예화 기조</t>
    </r>
    <r>
      <rPr>
        <sz val="11"/>
        <color theme="1"/>
        <rFont val="Gulim"/>
        <family val="3"/>
        <charset val="129"/>
      </rPr>
      <t>下</t>
    </r>
    <r>
      <rPr>
        <sz val="11"/>
        <color theme="1"/>
        <rFont val="KT서체 Light"/>
        <family val="3"/>
        <charset val="129"/>
      </rPr>
      <t xml:space="preserve">, M&amp;S는 매장수 축소가 없는 성장 계획으로 직영 비중 13.1%→15%이상 점진 확대 계획)
ㅇ 26년 매장당 T/O 4.2명 반영 및 25년 소상공인 전문인력 효율화 이후 26년 정예화 중심 58여명 수준 운영 계획 </t>
    </r>
    <phoneticPr fontId="2" type="noConversion"/>
  </si>
  <si>
    <t>ㅇ 전기차 렌트비 25년 수준 유지(기존 계약 지속 상태) 및 매장 확대 연동 관리비/OA비, 수도광열비 증가</t>
    <phoneticPr fontId="2" type="noConversion"/>
  </si>
  <si>
    <t>ㅇ 26년 IT신규 투자 29.5억 (지사 VPN 환경 개선, DRM 시스템 구축, 메일 시스템 대개체, 자산관리 솔루션 
    업그레이드, 모바일 영업시스템(M-Mos) 고도화, DLP 시스템 대개체 등) 계획, 굿바이 감가상각비 제외 반영</t>
    <phoneticPr fontId="2" type="noConversion"/>
  </si>
  <si>
    <t xml:space="preserve">ㅇ Capa 연동 운반비 증가, 인력 증가로 회의비/통신비/접대비 등 기타운영비 증가  </t>
    <phoneticPr fontId="2" type="noConversion"/>
  </si>
  <si>
    <t>ㅇ Capa 연동 및 25년 수준 목표</t>
    <phoneticPr fontId="2" type="noConversion"/>
  </si>
  <si>
    <t>1Q</t>
    <phoneticPr fontId="2" type="noConversion"/>
  </si>
  <si>
    <t>2Q</t>
  </si>
  <si>
    <t>3Q</t>
  </si>
  <si>
    <t>4Q</t>
  </si>
  <si>
    <t>누적</t>
    <phoneticPr fontId="2" type="noConversion"/>
  </si>
  <si>
    <t>비중</t>
    <phoneticPr fontId="2" type="noConversion"/>
  </si>
  <si>
    <t>센터</t>
    <phoneticPr fontId="2" type="noConversion"/>
  </si>
  <si>
    <r>
      <t>구분</t>
    </r>
    <r>
      <rPr>
        <b/>
        <sz val="9"/>
        <color theme="1"/>
        <rFont val="KT서체 Light"/>
        <family val="3"/>
        <charset val="129"/>
      </rPr>
      <t xml:space="preserve">
(단위:백만원)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</si>
</sst>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5">
    <numFmt numFmtId="41" formatCode="_-* #,##0_-;\-* #,##0_-;_-* &quot;-&quot;_-;_-@_-"/>
    <numFmt numFmtId="43" formatCode="_-* #,##0.00_-;\-* #,##0.00_-;_-* &quot;-&quot;??_-;_-@_-"/>
    <numFmt numFmtId="176" formatCode="#,##0\ "/>
    <numFmt numFmtId="177" formatCode="#,##0;[Red]&quot;▲&quot;#,##0;\-"/>
    <numFmt numFmtId="178" formatCode="#,##0.0_ "/>
    <numFmt numFmtId="179" formatCode="#,##0_);[Red]\(#,##0\)"/>
    <numFmt numFmtId="180" formatCode="#,##0_ "/>
    <numFmt numFmtId="181" formatCode="#,##0\ ;[Red]&quot;▲&quot;#,##0;\-"/>
    <numFmt numFmtId="182" formatCode="#,##0_ ;[Red]\-#,##0\ "/>
    <numFmt numFmtId="183" formatCode="0.0%"/>
    <numFmt numFmtId="184" formatCode="###,###,###,###"/>
    <numFmt numFmtId="185" formatCode="0_);[Red]\(0\)"/>
    <numFmt numFmtId="186" formatCode="0.0_ "/>
    <numFmt numFmtId="187" formatCode="#,##0;[Red]\(#,##0\);\-"/>
    <numFmt numFmtId="188" formatCode="#,##0.0_);[Red]\(#,##0.0\)"/>
    <numFmt numFmtId="189" formatCode="#,##0.0_ ;[Red]\-#,##0.0\ "/>
    <numFmt numFmtId="190" formatCode="0_ ;[Red]\-0\ "/>
    <numFmt numFmtId="191" formatCode="_-* #,##0.0_-;\-* #,##0.0_-;_-* &quot;-&quot;_-;_-@_-"/>
    <numFmt numFmtId="192" formatCode="#,##0.00_ "/>
    <numFmt numFmtId="193" formatCode="_-* #,##0.0_-;\-* #,##0.0_-;_-* &quot;-&quot;??_-;_-@_-"/>
    <numFmt numFmtId="194" formatCode="_-* #,##0.000_-;\-* #,##0.000_-;_-* &quot;-&quot;??_-;_-@_-"/>
    <numFmt numFmtId="195" formatCode="#,##0.0;[Red]&quot;▲&quot;#,##0.0;\-"/>
    <numFmt numFmtId="196" formatCode="#,##0;[Red]#,##0"/>
    <numFmt numFmtId="197" formatCode="_-* #,##0_-;\-* #,##0_-;_-* &quot;-&quot;??_-;_-@_-"/>
    <numFmt numFmtId="198" formatCode="#,##0.0\ ;[Red]&quot;▲&quot;#,##0.0;\-"/>
    <numFmt numFmtId="199" formatCode="0.0_);[Red]\(0.0\)"/>
    <numFmt numFmtId="200" formatCode="#,##0.0"/>
    <numFmt numFmtId="201" formatCode="#,##0.00_ ;[Red]\-#,##0.00\ "/>
    <numFmt numFmtId="202" formatCode="#,##0.00;[Red]&quot;▲&quot;#,##0.00;\-"/>
    <numFmt numFmtId="203" formatCode="_-* #,##0.0000_-;\-* #,##0.0000_-;_-* &quot;-&quot;_-;_-@_-"/>
    <numFmt numFmtId="204" formatCode="#,##0.00_);[Red]\(#,##0.00\)"/>
    <numFmt numFmtId="205" formatCode="#,##0&quot;억&quot;"/>
    <numFmt numFmtId="206" formatCode="#,##0.0&quot;만건&quot;"/>
    <numFmt numFmtId="207" formatCode="#,##0&quot;억&quot;;[Red]\-#,##0&quot;억&quot;"/>
    <numFmt numFmtId="208" formatCode="#,##0.0&quot;억&quot;"/>
    <numFmt numFmtId="209" formatCode="#,##0.0&quot;만원&quot;"/>
    <numFmt numFmtId="210" formatCode="#,##0.0&quot;만명&quot;"/>
    <numFmt numFmtId="211" formatCode="#,##0&quot;개&quot;"/>
    <numFmt numFmtId="212" formatCode="#,##0&quot;명&quot;"/>
    <numFmt numFmtId="213" formatCode="#,##0&quot;건&quot;"/>
    <numFmt numFmtId="214" formatCode="#,##0.00&quot;만건&quot;"/>
    <numFmt numFmtId="215" formatCode="#,##0&quot;만건&quot;"/>
    <numFmt numFmtId="216" formatCode="#,##0&quot;억&quot;;\-#,##0&quot;억&quot;"/>
    <numFmt numFmtId="217" formatCode="0_ "/>
    <numFmt numFmtId="218" formatCode="#,##0.000_ ;[Red]\-#,##0.000\ "/>
  </numFmts>
  <fonts count="16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rgb="FF002060"/>
      <name val="맑은 고딕"/>
      <family val="3"/>
      <charset val="129"/>
      <scheme val="minor"/>
    </font>
    <font>
      <b/>
      <sz val="14"/>
      <color rgb="FF002060"/>
      <name val="맑은 고딕"/>
      <family val="3"/>
      <charset val="129"/>
      <scheme val="minor"/>
    </font>
    <font>
      <sz val="11"/>
      <color rgb="FF00206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rgb="FF002060"/>
      <name val="맑은 고딕"/>
      <family val="3"/>
      <charset val="129"/>
    </font>
    <font>
      <sz val="8"/>
      <name val="맑은 고딕"/>
      <family val="3"/>
      <charset val="129"/>
    </font>
    <font>
      <b/>
      <sz val="10"/>
      <color rgb="FF002060"/>
      <name val="맑은 고딕"/>
      <family val="3"/>
      <charset val="129"/>
      <scheme val="minor"/>
    </font>
    <font>
      <sz val="11"/>
      <color rgb="FF00206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10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b/>
      <i/>
      <u/>
      <sz val="11"/>
      <color theme="1"/>
      <name val="맑은 고딕"/>
      <family val="3"/>
      <charset val="129"/>
      <scheme val="minor"/>
    </font>
    <font>
      <b/>
      <i/>
      <u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11"/>
      <color theme="1"/>
      <name val="Times New Roman"/>
      <family val="1"/>
    </font>
    <font>
      <b/>
      <sz val="11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indexed="8"/>
      <name val="Arial"/>
      <family val="2"/>
    </font>
    <font>
      <b/>
      <sz val="16"/>
      <color theme="1"/>
      <name val="KT서체 Light"/>
      <family val="3"/>
      <charset val="129"/>
    </font>
    <font>
      <b/>
      <sz val="12"/>
      <color theme="1"/>
      <name val="KT서체 Light"/>
      <family val="3"/>
      <charset val="129"/>
    </font>
    <font>
      <sz val="12"/>
      <color theme="1"/>
      <name val="KT서체 Light"/>
      <family val="3"/>
      <charset val="129"/>
    </font>
    <font>
      <sz val="11"/>
      <color theme="1"/>
      <name val="KT서체 Light"/>
      <family val="3"/>
      <charset val="129"/>
    </font>
    <font>
      <b/>
      <sz val="12"/>
      <color theme="0"/>
      <name val="KT서체 Light"/>
      <family val="3"/>
      <charset val="129"/>
    </font>
    <font>
      <sz val="8"/>
      <name val="돋움"/>
      <family val="3"/>
      <charset val="129"/>
    </font>
    <font>
      <sz val="10"/>
      <color theme="1"/>
      <name val="KT서체 Light"/>
      <family val="3"/>
      <charset val="129"/>
    </font>
    <font>
      <sz val="14"/>
      <color theme="1"/>
      <name val="KT서체 Light"/>
      <family val="3"/>
      <charset val="129"/>
    </font>
    <font>
      <b/>
      <sz val="20"/>
      <color theme="1"/>
      <name val="KT서체 Light"/>
      <family val="3"/>
      <charset val="129"/>
    </font>
    <font>
      <b/>
      <sz val="14"/>
      <color theme="0"/>
      <name val="KT서체 Light"/>
      <family val="3"/>
      <charset val="129"/>
    </font>
    <font>
      <sz val="14"/>
      <name val="KT서체 Light"/>
      <family val="3"/>
      <charset val="129"/>
    </font>
    <font>
      <sz val="10"/>
      <color rgb="FF002060"/>
      <name val="KT서체 Light"/>
      <family val="3"/>
      <charset val="129"/>
    </font>
    <font>
      <b/>
      <sz val="10"/>
      <color rgb="FF002060"/>
      <name val="KT서체 Light"/>
      <family val="3"/>
      <charset val="129"/>
    </font>
    <font>
      <b/>
      <sz val="10"/>
      <color rgb="FFFF0000"/>
      <name val="KT서체 Light"/>
      <family val="3"/>
      <charset val="129"/>
    </font>
    <font>
      <sz val="12"/>
      <color rgb="FF0000FF"/>
      <name val="KT서체 Light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 tint="-0.499984740745262"/>
      <name val="맑은 고딕"/>
      <family val="3"/>
      <charset val="129"/>
      <scheme val="minor"/>
    </font>
    <font>
      <sz val="10"/>
      <color rgb="FF0000FF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1"/>
      <color theme="0" tint="-0.499984740745262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0"/>
      <color rgb="FF0000FF"/>
      <name val="KT서체 Light"/>
      <family val="3"/>
      <charset val="129"/>
    </font>
    <font>
      <b/>
      <sz val="10"/>
      <color rgb="FF0000FF"/>
      <name val="KT서체 Light"/>
      <family val="3"/>
      <charset val="129"/>
    </font>
    <font>
      <sz val="10"/>
      <color theme="0" tint="-0.499984740745262"/>
      <name val="맑은 고딕"/>
      <family val="3"/>
      <charset val="129"/>
      <scheme val="minor"/>
    </font>
    <font>
      <sz val="10"/>
      <color theme="0" tint="-0.499984740745262"/>
      <name val="맑은 고딕"/>
      <family val="2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i/>
      <sz val="10"/>
      <color theme="0" tint="-0.499984740745262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</font>
    <font>
      <sz val="10"/>
      <color theme="0" tint="-0.249977111117893"/>
      <name val="맑은 고딕"/>
      <family val="2"/>
      <charset val="129"/>
      <scheme val="minor"/>
    </font>
    <font>
      <sz val="11"/>
      <color theme="0" tint="-0.249977111117893"/>
      <name val="맑은 고딕"/>
      <family val="2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0"/>
      <color theme="0" tint="-0.499984740745262"/>
      <name val="맑은 고딕"/>
      <family val="3"/>
      <charset val="129"/>
      <scheme val="minor"/>
    </font>
    <font>
      <b/>
      <i/>
      <u val="singleAccounting"/>
      <sz val="11"/>
      <color theme="1"/>
      <name val="맑은 고딕"/>
      <family val="3"/>
      <charset val="129"/>
      <scheme val="minor"/>
    </font>
    <font>
      <u val="singleAccounting"/>
      <sz val="11"/>
      <color theme="1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0"/>
      <color theme="0" tint="-0.34998626667073579"/>
      <name val="KT서체 Light"/>
      <family val="3"/>
      <charset val="129"/>
    </font>
    <font>
      <sz val="11"/>
      <color theme="0" tint="-0.34998626667073579"/>
      <name val="맑은 고딕"/>
      <family val="2"/>
      <charset val="129"/>
      <scheme val="minor"/>
    </font>
    <font>
      <sz val="10"/>
      <color theme="0" tint="-0.499984740745262"/>
      <name val="KT서체 Light"/>
      <family val="3"/>
      <charset val="129"/>
    </font>
    <font>
      <b/>
      <i/>
      <sz val="10"/>
      <color theme="0" tint="-0.499984740745262"/>
      <name val="맑은 고딕"/>
      <family val="3"/>
      <charset val="129"/>
      <scheme val="minor"/>
    </font>
    <font>
      <sz val="11"/>
      <color theme="0" tint="-0.34998626667073579"/>
      <name val="맑은 고딕"/>
      <family val="3"/>
      <charset val="129"/>
    </font>
    <font>
      <b/>
      <sz val="10"/>
      <color theme="0" tint="-0.34998626667073579"/>
      <name val="KT서체 Light"/>
      <family val="3"/>
      <charset val="129"/>
    </font>
    <font>
      <sz val="10"/>
      <color theme="0" tint="-0.34998626667073579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0"/>
      <name val="KT서체 Light"/>
      <family val="3"/>
      <charset val="129"/>
    </font>
    <font>
      <b/>
      <sz val="13"/>
      <color theme="0"/>
      <name val="KT서체 Light"/>
      <family val="3"/>
      <charset val="129"/>
    </font>
    <font>
      <sz val="11"/>
      <color theme="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i/>
      <sz val="11"/>
      <color theme="0" tint="-0.499984740745262"/>
      <name val="맑은 고딕"/>
      <family val="3"/>
      <charset val="129"/>
      <scheme val="minor"/>
    </font>
    <font>
      <sz val="10"/>
      <color theme="0"/>
      <name val="KT서체 Light"/>
      <family val="3"/>
      <charset val="129"/>
    </font>
    <font>
      <sz val="10"/>
      <color theme="0" tint="-0.14999847407452621"/>
      <name val="맑은 고딕"/>
      <family val="2"/>
      <charset val="129"/>
      <scheme val="minor"/>
    </font>
    <font>
      <b/>
      <sz val="10"/>
      <color theme="0" tint="-0.34998626667073579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sz val="14"/>
      <color theme="0" tint="-0.499984740745262"/>
      <name val="KT서체 Light"/>
      <family val="3"/>
      <charset val="129"/>
    </font>
    <font>
      <b/>
      <sz val="14"/>
      <color theme="0" tint="-0.499984740745262"/>
      <name val="KT서체 Light"/>
      <family val="3"/>
      <charset val="129"/>
    </font>
    <font>
      <b/>
      <sz val="13"/>
      <color theme="0" tint="-0.499984740745262"/>
      <name val="KT서체 Light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4"/>
      <color theme="1"/>
      <name val="KT서체 Light"/>
      <family val="3"/>
      <charset val="129"/>
    </font>
    <font>
      <i/>
      <sz val="12"/>
      <color theme="1"/>
      <name val="KT서체 Light"/>
      <family val="3"/>
      <charset val="129"/>
    </font>
    <font>
      <i/>
      <sz val="12"/>
      <color theme="1"/>
      <name val="Gulim"/>
      <family val="3"/>
      <charset val="129"/>
    </font>
    <font>
      <b/>
      <sz val="14"/>
      <color theme="0" tint="-0.249977111117893"/>
      <name val="KT서체 Light"/>
      <family val="3"/>
      <charset val="129"/>
    </font>
    <font>
      <sz val="14"/>
      <color theme="0" tint="-0.249977111117893"/>
      <name val="KT서체 Light"/>
      <family val="3"/>
      <charset val="129"/>
    </font>
    <font>
      <sz val="16"/>
      <color theme="1"/>
      <name val="KT서체 Medium"/>
      <family val="3"/>
      <charset val="129"/>
    </font>
    <font>
      <sz val="12"/>
      <color theme="0"/>
      <name val="KT서체 Medium"/>
      <family val="3"/>
      <charset val="129"/>
    </font>
    <font>
      <b/>
      <sz val="11"/>
      <color theme="0"/>
      <name val="KT서체 Light"/>
      <family val="3"/>
      <charset val="129"/>
    </font>
    <font>
      <b/>
      <sz val="11"/>
      <color theme="1"/>
      <name val="KT서체 Light"/>
      <family val="3"/>
      <charset val="129"/>
    </font>
    <font>
      <b/>
      <sz val="11"/>
      <color rgb="FF0000FF"/>
      <name val="KT서체 Light"/>
      <family val="3"/>
      <charset val="129"/>
    </font>
    <font>
      <i/>
      <sz val="11"/>
      <color theme="1"/>
      <name val="KT서체 Light"/>
      <family val="3"/>
      <charset val="129"/>
    </font>
    <font>
      <i/>
      <sz val="11"/>
      <color theme="1"/>
      <name val="맑은 고딕"/>
      <family val="3"/>
      <charset val="129"/>
    </font>
    <font>
      <sz val="11"/>
      <color theme="1"/>
      <name val="Gulim"/>
      <family val="3"/>
      <charset val="129"/>
    </font>
    <font>
      <sz val="13"/>
      <color theme="1"/>
      <name val="KT서체 Light"/>
      <family val="3"/>
      <charset val="129"/>
    </font>
    <font>
      <sz val="11"/>
      <color theme="0" tint="-0.499984740745262"/>
      <name val="KT서체 Light"/>
      <family val="3"/>
      <charset val="129"/>
    </font>
    <font>
      <sz val="10"/>
      <color theme="0" tint="-0.14999847407452621"/>
      <name val="맑은 고딕"/>
      <family val="3"/>
      <charset val="129"/>
      <scheme val="minor"/>
    </font>
    <font>
      <b/>
      <sz val="9"/>
      <color theme="0" tint="-0.499984740745262"/>
      <name val="KT서체 Light"/>
      <family val="3"/>
      <charset val="129"/>
    </font>
    <font>
      <b/>
      <sz val="12"/>
      <color theme="1"/>
      <name val="맑은 고딕"/>
      <family val="3"/>
      <charset val="129"/>
    </font>
    <font>
      <sz val="11"/>
      <color theme="0" tint="-4.9989318521683403E-2"/>
      <name val="맑은 고딕"/>
      <family val="3"/>
      <charset val="129"/>
      <scheme val="minor"/>
    </font>
    <font>
      <b/>
      <sz val="12"/>
      <color theme="1"/>
      <name val="Gulim"/>
      <family val="3"/>
      <charset val="129"/>
    </font>
    <font>
      <sz val="10"/>
      <color rgb="FF002060"/>
      <name val="맑은 고딕"/>
      <family val="3"/>
      <charset val="129"/>
    </font>
    <font>
      <i/>
      <sz val="10"/>
      <color rgb="FF002060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sz val="11"/>
      <color theme="0"/>
      <name val="KT서체 Light"/>
      <family val="3"/>
      <charset val="129"/>
    </font>
    <font>
      <b/>
      <sz val="11"/>
      <color rgb="FFC00000"/>
      <name val="KT서체 Light"/>
      <family val="3"/>
      <charset val="129"/>
    </font>
    <font>
      <sz val="11"/>
      <color theme="5"/>
      <name val="KT서체 Light"/>
      <family val="3"/>
      <charset val="129"/>
    </font>
    <font>
      <b/>
      <sz val="11"/>
      <color rgb="FFC00000"/>
      <name val="맑은 고딕"/>
      <family val="2"/>
      <charset val="129"/>
      <scheme val="minor"/>
    </font>
    <font>
      <b/>
      <sz val="11"/>
      <color theme="0" tint="-0.499984740745262"/>
      <name val="KT서체 Light"/>
      <family val="3"/>
      <charset val="129"/>
    </font>
    <font>
      <b/>
      <sz val="15"/>
      <color theme="1"/>
      <name val="KT서체 Light"/>
      <family val="3"/>
      <charset val="129"/>
    </font>
    <font>
      <b/>
      <sz val="10"/>
      <color theme="0"/>
      <name val="KT서체 Light"/>
      <family val="3"/>
      <charset val="129"/>
    </font>
    <font>
      <sz val="9"/>
      <color theme="1"/>
      <name val="KT서체 Light"/>
      <family val="3"/>
      <charset val="129"/>
    </font>
    <font>
      <sz val="8"/>
      <color theme="1"/>
      <name val="KT서체 Light"/>
      <family val="3"/>
      <charset val="129"/>
    </font>
    <font>
      <b/>
      <sz val="10.5"/>
      <color theme="1"/>
      <name val="KT서체 Light"/>
      <family val="3"/>
      <charset val="129"/>
    </font>
    <font>
      <b/>
      <sz val="13"/>
      <color theme="1"/>
      <name val="KT서체 Light"/>
      <family val="3"/>
      <charset val="129"/>
    </font>
    <font>
      <sz val="10.5"/>
      <color theme="1"/>
      <name val="KT서체 Light"/>
      <family val="3"/>
      <charset val="129"/>
    </font>
    <font>
      <sz val="10.5"/>
      <color theme="0" tint="-0.499984740745262"/>
      <name val="KT서체 Light"/>
      <family val="3"/>
      <charset val="129"/>
    </font>
    <font>
      <b/>
      <sz val="10.5"/>
      <color theme="0"/>
      <name val="KT서체 Light"/>
      <family val="3"/>
      <charset val="129"/>
    </font>
    <font>
      <b/>
      <sz val="10.5"/>
      <color rgb="FF002060"/>
      <name val="KT서체 Light"/>
      <family val="3"/>
      <charset val="129"/>
    </font>
    <font>
      <sz val="10.5"/>
      <color rgb="FF002060"/>
      <name val="KT서체 Light"/>
      <family val="3"/>
      <charset val="129"/>
    </font>
    <font>
      <sz val="10.5"/>
      <color theme="0" tint="-0.34998626667073579"/>
      <name val="KT서체 Light"/>
      <family val="3"/>
      <charset val="129"/>
    </font>
    <font>
      <i/>
      <sz val="11"/>
      <color rgb="FF002060"/>
      <name val="맑은 고딕"/>
      <family val="3"/>
      <charset val="129"/>
      <scheme val="minor"/>
    </font>
    <font>
      <b/>
      <sz val="9"/>
      <color theme="0"/>
      <name val="KT서체 Light"/>
      <family val="3"/>
      <charset val="129"/>
    </font>
    <font>
      <strike/>
      <sz val="10"/>
      <color rgb="FF002060"/>
      <name val="맑은 고딕"/>
      <family val="3"/>
      <charset val="129"/>
      <scheme val="minor"/>
    </font>
    <font>
      <b/>
      <i/>
      <sz val="11"/>
      <color rgb="FFFF0000"/>
      <name val="맑은 고딕"/>
      <family val="3"/>
      <charset val="129"/>
      <scheme val="minor"/>
    </font>
    <font>
      <sz val="14"/>
      <color rgb="FFFF0000"/>
      <name val="KT서체 Light"/>
      <family val="3"/>
      <charset val="129"/>
    </font>
    <font>
      <u/>
      <sz val="11"/>
      <color theme="0" tint="-0.499984740745262"/>
      <name val="KT서체 Light"/>
      <family val="3"/>
      <charset val="129"/>
    </font>
    <font>
      <sz val="11"/>
      <color rgb="FF0000FF"/>
      <name val="KT서체 Light"/>
      <family val="3"/>
      <charset val="129"/>
    </font>
    <font>
      <sz val="10"/>
      <color theme="0"/>
      <name val="맑은 고딕"/>
      <family val="2"/>
      <charset val="129"/>
      <scheme val="minor"/>
    </font>
    <font>
      <strike/>
      <sz val="10.5"/>
      <color theme="0"/>
      <name val="KT서체 Light"/>
      <family val="3"/>
      <charset val="129"/>
    </font>
    <font>
      <sz val="10.5"/>
      <color theme="0"/>
      <name val="KT서체 Light"/>
      <family val="3"/>
      <charset val="129"/>
    </font>
    <font>
      <b/>
      <sz val="10"/>
      <color theme="0"/>
      <name val="맑은 고딕"/>
      <family val="3"/>
      <charset val="129"/>
    </font>
    <font>
      <sz val="10"/>
      <color theme="0"/>
      <name val="맑은 고딕"/>
      <family val="3"/>
      <charset val="129"/>
    </font>
    <font>
      <i/>
      <sz val="11"/>
      <color theme="0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sz val="10"/>
      <color theme="0" tint="-0.249977111117893"/>
      <name val="KT서체 Light"/>
      <family val="3"/>
      <charset val="129"/>
    </font>
    <font>
      <sz val="10.5"/>
      <color theme="0" tint="-0.249977111117893"/>
      <name val="KT서체 Light"/>
      <family val="3"/>
      <charset val="129"/>
    </font>
    <font>
      <b/>
      <sz val="10.5"/>
      <color theme="0" tint="-0.249977111117893"/>
      <name val="KT서체 Light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i/>
      <sz val="11"/>
      <color theme="0"/>
      <name val="맑은 고딕"/>
      <family val="3"/>
      <charset val="129"/>
      <scheme val="minor"/>
    </font>
    <font>
      <i/>
      <sz val="9"/>
      <color theme="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b/>
      <sz val="11"/>
      <color theme="0" tint="-0.34998626667073579"/>
      <name val="맑은 고딕"/>
      <family val="3"/>
      <charset val="129"/>
      <scheme val="minor"/>
    </font>
    <font>
      <i/>
      <sz val="10"/>
      <color theme="0"/>
      <name val="맑은 고딕"/>
      <family val="3"/>
      <charset val="129"/>
      <scheme val="minor"/>
    </font>
    <font>
      <sz val="10"/>
      <color theme="0" tint="-0.249977111117893"/>
      <name val="맑은 고딕"/>
      <family val="3"/>
      <charset val="129"/>
      <scheme val="minor"/>
    </font>
    <font>
      <sz val="10"/>
      <color theme="7"/>
      <name val="맑은 고딕"/>
      <family val="3"/>
      <charset val="129"/>
      <scheme val="minor"/>
    </font>
    <font>
      <sz val="10"/>
      <color rgb="FFCCFFCC"/>
      <name val="맑은 고딕"/>
      <family val="3"/>
      <charset val="129"/>
      <scheme val="minor"/>
    </font>
    <font>
      <b/>
      <sz val="9"/>
      <color theme="1"/>
      <name val="KT서체 Light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9D9D9"/>
        <bgColor indexed="64"/>
      </patternFill>
    </fill>
  </fills>
  <borders count="717">
    <border>
      <left/>
      <right/>
      <top/>
      <bottom/>
      <diagonal/>
    </border>
    <border>
      <left style="thin">
        <color theme="1" tint="0.249977111117893"/>
      </left>
      <right/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/>
      <diagonal/>
    </border>
    <border>
      <left/>
      <right style="hair">
        <color theme="1"/>
      </right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/>
      <top/>
      <bottom/>
      <diagonal/>
    </border>
    <border>
      <left/>
      <right style="hair">
        <color theme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theme="1"/>
      </top>
      <bottom style="thin">
        <color auto="1"/>
      </bottom>
      <diagonal/>
    </border>
    <border>
      <left style="hair">
        <color theme="1"/>
      </left>
      <right style="hair">
        <color auto="1"/>
      </right>
      <top style="hair">
        <color theme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theme="0" tint="-0.499984740745262"/>
      </left>
      <right style="hair">
        <color auto="1"/>
      </right>
      <top/>
      <bottom/>
      <diagonal/>
    </border>
    <border>
      <left style="thin">
        <color theme="0" tint="-0.499984740745262"/>
      </left>
      <right style="hair">
        <color auto="1"/>
      </right>
      <top/>
      <bottom style="thin">
        <color theme="0" tint="-0.499984740745262"/>
      </bottom>
      <diagonal/>
    </border>
    <border>
      <left/>
      <right style="hair">
        <color auto="1"/>
      </right>
      <top/>
      <bottom style="thin">
        <color theme="0" tint="-0.499984740745262"/>
      </bottom>
      <diagonal/>
    </border>
    <border>
      <left style="hair">
        <color auto="1"/>
      </left>
      <right style="hair">
        <color auto="1"/>
      </right>
      <top/>
      <bottom style="thin">
        <color theme="0" tint="-0.499984740745262"/>
      </bottom>
      <diagonal/>
    </border>
    <border>
      <left style="hair">
        <color auto="1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auto="1"/>
      </left>
      <right style="hair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indexed="64"/>
      </right>
      <top/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499984740745262"/>
      </right>
      <top style="thin">
        <color indexed="64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hair">
        <color auto="1"/>
      </right>
      <top style="thin">
        <color theme="0" tint="-0.499984740745262"/>
      </top>
      <bottom/>
      <diagonal/>
    </border>
    <border>
      <left style="hair">
        <color auto="1"/>
      </left>
      <right style="hair">
        <color auto="1"/>
      </right>
      <top style="thin">
        <color theme="0" tint="-0.499984740745262"/>
      </top>
      <bottom/>
      <diagonal/>
    </border>
    <border>
      <left style="hair">
        <color auto="1"/>
      </left>
      <right/>
      <top style="thin">
        <color theme="0" tint="-0.499984740745262"/>
      </top>
      <bottom/>
      <diagonal/>
    </border>
    <border>
      <left/>
      <right style="hair">
        <color theme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 tint="-0.499984740745262"/>
      </right>
      <top/>
      <bottom style="thin">
        <color auto="1"/>
      </bottom>
      <diagonal/>
    </border>
    <border>
      <left/>
      <right style="thin">
        <color theme="0" tint="-0.499984740745262"/>
      </right>
      <top style="thin">
        <color auto="1"/>
      </top>
      <bottom style="thin">
        <color auto="1"/>
      </bottom>
      <diagonal/>
    </border>
    <border>
      <left/>
      <right/>
      <top style="thin">
        <color theme="1" tint="0.249977111117893"/>
      </top>
      <bottom style="thin">
        <color auto="1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auto="1"/>
      </top>
      <bottom style="thin">
        <color auto="1"/>
      </bottom>
      <diagonal/>
    </border>
    <border>
      <left style="hair">
        <color theme="1"/>
      </left>
      <right style="hair">
        <color auto="1"/>
      </right>
      <top style="hair">
        <color theme="1"/>
      </top>
      <bottom/>
      <diagonal/>
    </border>
    <border>
      <left style="hair">
        <color auto="1"/>
      </left>
      <right style="hair">
        <color auto="1"/>
      </right>
      <top style="hair">
        <color theme="1"/>
      </top>
      <bottom/>
      <diagonal/>
    </border>
    <border>
      <left style="hair">
        <color theme="1" tint="0.249977111117893"/>
      </left>
      <right style="hair">
        <color theme="1" tint="0.249977111117893"/>
      </right>
      <top/>
      <bottom/>
      <diagonal/>
    </border>
    <border>
      <left style="hair">
        <color theme="1" tint="0.249977111117893"/>
      </left>
      <right/>
      <top/>
      <bottom/>
      <diagonal/>
    </border>
    <border>
      <left style="thin">
        <color theme="1" tint="0.249977111117893"/>
      </left>
      <right style="hair">
        <color theme="1" tint="0.249977111117893"/>
      </right>
      <top style="thin">
        <color auto="1"/>
      </top>
      <bottom style="thin">
        <color auto="1"/>
      </bottom>
      <diagonal/>
    </border>
    <border>
      <left style="hair">
        <color theme="1" tint="0.249977111117893"/>
      </left>
      <right style="hair">
        <color theme="1" tint="0.249977111117893"/>
      </right>
      <top style="thin">
        <color auto="1"/>
      </top>
      <bottom style="thin">
        <color auto="1"/>
      </bottom>
      <diagonal/>
    </border>
    <border>
      <left style="hair">
        <color theme="1" tint="0.249977111117893"/>
      </left>
      <right style="hair">
        <color theme="1" tint="0.249977111117893"/>
      </right>
      <top style="thin">
        <color theme="0" tint="-0.499984740745262"/>
      </top>
      <bottom/>
      <diagonal/>
    </border>
    <border>
      <left style="hair">
        <color theme="1" tint="0.249977111117893"/>
      </left>
      <right style="hair">
        <color theme="1" tint="0.249977111117893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hair">
        <color theme="0" tint="-0.499984740745262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theme="1"/>
      </left>
      <right style="hair">
        <color theme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auto="1"/>
      </top>
      <bottom style="thin">
        <color theme="0" tint="-0.499984740745262"/>
      </bottom>
      <diagonal/>
    </border>
    <border>
      <left style="hair">
        <color auto="1"/>
      </left>
      <right/>
      <top style="hair">
        <color theme="1"/>
      </top>
      <bottom/>
      <diagonal/>
    </border>
    <border>
      <left style="hair">
        <color theme="1" tint="0.249977111117893"/>
      </left>
      <right/>
      <top style="thin">
        <color theme="0" tint="-0.499984740745262"/>
      </top>
      <bottom/>
      <diagonal/>
    </border>
    <border>
      <left style="hair">
        <color theme="1" tint="0.249977111117893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1" tint="0.249977111117893"/>
      </top>
      <bottom/>
      <diagonal/>
    </border>
    <border>
      <left style="thin">
        <color theme="0" tint="-0.499984740745262"/>
      </left>
      <right style="hair">
        <color theme="0" tint="-0.499984740745262"/>
      </right>
      <top style="thin">
        <color auto="1"/>
      </top>
      <bottom style="thin">
        <color theme="0" tint="-0.499984740745262"/>
      </bottom>
      <diagonal/>
    </border>
    <border>
      <left/>
      <right style="hair">
        <color auto="1"/>
      </right>
      <top style="hair">
        <color theme="1"/>
      </top>
      <bottom style="thin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auto="1"/>
      </top>
      <bottom style="thin">
        <color auto="1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/>
      <bottom/>
      <diagonal/>
    </border>
    <border>
      <left style="hair">
        <color theme="0" tint="-0.499984740745262"/>
      </left>
      <right/>
      <top/>
      <bottom style="thin">
        <color theme="0" tint="-0.499984740745262"/>
      </bottom>
      <diagonal/>
    </border>
    <border>
      <left style="hair">
        <color theme="0" tint="-0.499984740745262"/>
      </left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1"/>
      </top>
      <bottom/>
      <diagonal/>
    </border>
    <border>
      <left style="hair">
        <color theme="0" tint="-0.499984740745262"/>
      </left>
      <right style="hair">
        <color auto="1"/>
      </right>
      <top/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249977111117893"/>
      </top>
      <bottom style="thin">
        <color auto="1"/>
      </bottom>
      <diagonal/>
    </border>
    <border>
      <left style="thin">
        <color theme="1" tint="0.499984740745262"/>
      </left>
      <right style="hair">
        <color theme="1"/>
      </right>
      <top/>
      <bottom/>
      <diagonal/>
    </border>
    <border>
      <left/>
      <right style="thin">
        <color theme="1" tint="0.249977111117893"/>
      </right>
      <top style="thin">
        <color theme="1" tint="0.499984740745262"/>
      </top>
      <bottom/>
      <diagonal/>
    </border>
    <border>
      <left/>
      <right style="thin">
        <color theme="1" tint="0.249977111117893"/>
      </right>
      <top/>
      <bottom/>
      <diagonal/>
    </border>
    <border>
      <left/>
      <right style="thin">
        <color theme="1" tint="0.249977111117893"/>
      </right>
      <top/>
      <bottom style="thin">
        <color theme="1" tint="0.499984740745262"/>
      </bottom>
      <diagonal/>
    </border>
    <border>
      <left style="thin">
        <color theme="1" tint="0.249977111117893"/>
      </left>
      <right style="hair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249977111117893"/>
      </left>
      <right style="hair">
        <color theme="1" tint="0.499984740745262"/>
      </right>
      <top/>
      <bottom/>
      <diagonal/>
    </border>
    <border>
      <left style="thin">
        <color theme="1" tint="0.249977111117893"/>
      </left>
      <right style="hair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hair">
        <color theme="1" tint="0.499984740745262"/>
      </right>
      <top/>
      <bottom/>
      <diagonal/>
    </border>
    <border>
      <left style="thin">
        <color theme="1" tint="0.499984740745262"/>
      </left>
      <right style="hair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0" tint="-0.499984740745262"/>
      </right>
      <top style="thin">
        <color theme="1" tint="0.499984740745262"/>
      </top>
      <bottom/>
      <diagonal/>
    </border>
    <border>
      <left style="hair">
        <color theme="1" tint="0.249977111117893"/>
      </left>
      <right style="hair">
        <color theme="1" tint="0.249977111117893"/>
      </right>
      <top style="thin">
        <color theme="1" tint="0.499984740745262"/>
      </top>
      <bottom style="thin">
        <color theme="1" tint="0.249977111117893"/>
      </bottom>
      <diagonal/>
    </border>
    <border>
      <left style="hair">
        <color theme="1" tint="0.249977111117893"/>
      </left>
      <right/>
      <top style="thin">
        <color theme="1" tint="0.499984740745262"/>
      </top>
      <bottom style="thin">
        <color theme="1" tint="0.249977111117893"/>
      </bottom>
      <diagonal/>
    </border>
    <border>
      <left/>
      <right style="thin">
        <color theme="0" tint="-0.499984740745262"/>
      </right>
      <top/>
      <bottom style="thin">
        <color theme="1" tint="0.499984740745262"/>
      </bottom>
      <diagonal/>
    </border>
    <border>
      <left style="hair">
        <color theme="1" tint="0.249977111117893"/>
      </left>
      <right style="hair">
        <color theme="1" tint="0.249977111117893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0" tint="-0.499984740745262"/>
      </bottom>
      <diagonal/>
    </border>
    <border>
      <left style="hair">
        <color theme="1" tint="0.249977111117893"/>
      </left>
      <right style="hair">
        <color theme="1" tint="0.249977111117893"/>
      </right>
      <top style="thin">
        <color theme="0" tint="-0.499984740745262"/>
      </top>
      <bottom style="thin">
        <color theme="1" tint="0.499984740745262"/>
      </bottom>
      <diagonal/>
    </border>
    <border>
      <left style="hair">
        <color theme="1" tint="0.249977111117893"/>
      </left>
      <right/>
      <top style="thin">
        <color theme="0" tint="-0.499984740745262"/>
      </top>
      <bottom style="thin">
        <color theme="1" tint="0.499984740745262"/>
      </bottom>
      <diagonal/>
    </border>
    <border>
      <left/>
      <right style="thin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249977111117893"/>
      </left>
      <right style="hair">
        <color theme="1" tint="0.249977111117893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249977111117893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249977111117893"/>
      </left>
      <right style="hair">
        <color theme="1" tint="0.249977111117893"/>
      </right>
      <top style="thin">
        <color theme="1" tint="0.499984740745262"/>
      </top>
      <bottom/>
      <diagonal/>
    </border>
    <border>
      <left style="hair">
        <color theme="1" tint="0.249977111117893"/>
      </left>
      <right/>
      <top style="thin">
        <color theme="1" tint="0.499984740745262"/>
      </top>
      <bottom/>
      <diagonal/>
    </border>
    <border>
      <left/>
      <right/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499984740745262"/>
      </top>
      <bottom/>
      <diagonal/>
    </border>
    <border>
      <left style="hair">
        <color theme="1" tint="0.249977111117893"/>
      </left>
      <right style="hair">
        <color theme="1" tint="0.249977111117893"/>
      </right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1" tint="0.499984740745262"/>
      </bottom>
      <diagonal/>
    </border>
    <border>
      <left/>
      <right style="thin">
        <color theme="1" tint="0.249977111117893"/>
      </right>
      <top style="thin">
        <color theme="1" tint="0.499984740745262"/>
      </top>
      <bottom style="thin">
        <color theme="0" tint="-0.499984740745262"/>
      </bottom>
      <diagonal/>
    </border>
    <border>
      <left/>
      <right style="thin">
        <color theme="1" tint="0.249977111117893"/>
      </right>
      <top style="thin">
        <color theme="0" tint="-0.499984740745262"/>
      </top>
      <bottom/>
      <diagonal/>
    </border>
    <border>
      <left/>
      <right style="thin">
        <color theme="1" tint="0.249977111117893"/>
      </right>
      <top style="thin">
        <color theme="1" tint="0.499984740745262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0" tint="-0.499984740745262"/>
      </top>
      <bottom style="thin">
        <color theme="1" tint="0.499984740745262"/>
      </bottom>
      <diagonal/>
    </border>
    <border>
      <left/>
      <right style="thin">
        <color theme="1" tint="0.249977111117893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499984740745262"/>
      </bottom>
      <diagonal/>
    </border>
    <border>
      <left/>
      <right style="thin">
        <color theme="1" tint="0.249977111117893"/>
      </right>
      <top/>
      <bottom style="thin">
        <color theme="0" tint="-0.499984740745262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499984740745262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0" tint="-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499984740745262"/>
      </left>
      <right style="thin">
        <color theme="1" tint="0.499984740745262"/>
      </right>
      <top/>
      <bottom/>
      <diagonal/>
    </border>
    <border>
      <left style="thin">
        <color theme="0" tint="-0.499984740745262"/>
      </left>
      <right style="thin">
        <color theme="1" tint="0.499984740745262"/>
      </right>
      <top/>
      <bottom style="thin">
        <color theme="0" tint="-0.499984740745262"/>
      </bottom>
      <diagonal/>
    </border>
    <border>
      <left style="thin">
        <color theme="1" tint="0.499984740745262"/>
      </left>
      <right style="hair">
        <color theme="1" tint="0.249977111117893"/>
      </right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hair">
        <color theme="1" tint="0.249977111117893"/>
      </right>
      <top/>
      <bottom/>
      <diagonal/>
    </border>
    <border>
      <left style="thin">
        <color theme="1" tint="0.499984740745262"/>
      </left>
      <right style="hair">
        <color theme="1" tint="0.249977111117893"/>
      </right>
      <top style="thin">
        <color theme="0" tint="-0.499984740745262"/>
      </top>
      <bottom/>
      <diagonal/>
    </border>
    <border>
      <left style="thin">
        <color theme="1" tint="0.499984740745262"/>
      </left>
      <right style="hair">
        <color theme="1" tint="0.249977111117893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249977111117893"/>
      </right>
      <top style="thin">
        <color theme="1" tint="0.499984740745262"/>
      </top>
      <bottom style="thin">
        <color theme="1" tint="0.249977111117893"/>
      </bottom>
      <diagonal/>
    </border>
    <border>
      <left style="thin">
        <color theme="1" tint="0.499984740745262"/>
      </left>
      <right style="hair">
        <color theme="1" tint="0.249977111117893"/>
      </right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249977111117893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249977111117893"/>
      </right>
      <top style="thin">
        <color theme="1" tint="0.249977111117893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249977111117893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hair">
        <color theme="1" tint="0.249977111117893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1" tint="0.499984740745262"/>
      </top>
      <bottom/>
      <diagonal/>
    </border>
    <border>
      <left style="hair">
        <color theme="0" tint="-0.499984740745262"/>
      </left>
      <right/>
      <top style="thin">
        <color theme="1" tint="0.499984740745262"/>
      </top>
      <bottom/>
      <diagonal/>
    </border>
    <border>
      <left style="hair">
        <color theme="0" tint="-0.499984740745262"/>
      </left>
      <right/>
      <top style="hair">
        <color theme="1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theme="0" tint="-0.499984740745262"/>
      </right>
      <top style="thin">
        <color theme="1" tint="0.499984740745262"/>
      </top>
      <bottom style="thin">
        <color auto="1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auto="1"/>
      </bottom>
      <diagonal/>
    </border>
    <border>
      <left/>
      <right style="hair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0" tint="-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auto="1"/>
      </top>
      <bottom style="thin">
        <color theme="0" tint="-0.499984740745262"/>
      </bottom>
      <diagonal/>
    </border>
    <border>
      <left/>
      <right style="thin">
        <color theme="1" tint="0.499984740745262"/>
      </right>
      <top/>
      <bottom style="thin">
        <color theme="0" tint="-0.499984740745262"/>
      </bottom>
      <diagonal/>
    </border>
    <border>
      <left/>
      <right style="thin">
        <color theme="1" tint="0.499984740745262"/>
      </right>
      <top style="thin">
        <color theme="0" tint="-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1" tint="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1" tint="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1" tint="0.499984740745262"/>
      </top>
      <bottom style="thin">
        <color theme="0" tint="-0.499984740745262"/>
      </bottom>
      <diagonal/>
    </border>
    <border>
      <left/>
      <right style="hair">
        <color auto="1"/>
      </right>
      <top style="thin">
        <color theme="1" tint="0.499984740745262"/>
      </top>
      <bottom style="thin">
        <color theme="0" tint="-0.499984740745262"/>
      </bottom>
      <diagonal/>
    </border>
    <border>
      <left style="hair">
        <color auto="1"/>
      </left>
      <right style="hair">
        <color auto="1"/>
      </right>
      <top style="thin">
        <color theme="1" tint="0.499984740745262"/>
      </top>
      <bottom style="thin">
        <color theme="0" tint="-0.499984740745262"/>
      </bottom>
      <diagonal/>
    </border>
    <border>
      <left style="hair">
        <color auto="1"/>
      </left>
      <right/>
      <top style="thin">
        <color theme="1" tint="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theme="1" tint="0.499984740745262"/>
      </bottom>
      <diagonal/>
    </border>
    <border>
      <left/>
      <right style="hair">
        <color auto="1"/>
      </right>
      <top/>
      <bottom style="thin">
        <color theme="1" tint="0.499984740745262"/>
      </bottom>
      <diagonal/>
    </border>
    <border>
      <left style="hair">
        <color auto="1"/>
      </left>
      <right style="hair">
        <color auto="1"/>
      </right>
      <top/>
      <bottom style="thin">
        <color theme="1" tint="0.499984740745262"/>
      </bottom>
      <diagonal/>
    </border>
    <border>
      <left style="hair">
        <color auto="1"/>
      </left>
      <right/>
      <top/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1" tint="0.499984740745262"/>
      </top>
      <bottom style="thin">
        <color theme="0" tint="-0.499984740745262"/>
      </bottom>
      <diagonal/>
    </border>
    <border>
      <left/>
      <right style="hair">
        <color auto="1"/>
      </right>
      <top style="thin">
        <color theme="0" tint="-0.499984740745262"/>
      </top>
      <bottom style="thin">
        <color theme="1" tint="0.499984740745262"/>
      </bottom>
      <diagonal/>
    </border>
    <border>
      <left/>
      <right style="hair">
        <color auto="1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0" tint="-0.499984740745262"/>
      </left>
      <right/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1" tint="0.499984740745262"/>
      </bottom>
      <diagonal/>
    </border>
    <border>
      <left/>
      <right style="hair">
        <color theme="1"/>
      </right>
      <top/>
      <bottom style="thin">
        <color theme="1" tint="0.499984740745262"/>
      </bottom>
      <diagonal/>
    </border>
    <border>
      <left style="hair">
        <color theme="1"/>
      </left>
      <right style="hair">
        <color auto="1"/>
      </right>
      <top style="hair">
        <color theme="1"/>
      </top>
      <bottom style="thin">
        <color theme="1" tint="0.499984740745262"/>
      </bottom>
      <diagonal/>
    </border>
    <border>
      <left style="hair">
        <color auto="1"/>
      </left>
      <right style="hair">
        <color auto="1"/>
      </right>
      <top style="hair">
        <color theme="1"/>
      </top>
      <bottom style="thin">
        <color theme="1" tint="0.499984740745262"/>
      </bottom>
      <diagonal/>
    </border>
    <border>
      <left style="hair">
        <color auto="1"/>
      </left>
      <right/>
      <top style="hair">
        <color theme="1"/>
      </top>
      <bottom style="thin">
        <color theme="1" tint="0.499984740745262"/>
      </bottom>
      <diagonal/>
    </border>
    <border>
      <left/>
      <right style="hair">
        <color theme="1"/>
      </right>
      <top style="thin">
        <color theme="1" tint="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1" tint="0.499984740745262"/>
      </top>
      <bottom/>
      <diagonal/>
    </border>
    <border>
      <left/>
      <right style="hair">
        <color auto="1"/>
      </right>
      <top style="thin">
        <color theme="1" tint="0.499984740745262"/>
      </top>
      <bottom/>
      <diagonal/>
    </border>
    <border>
      <left style="hair">
        <color auto="1"/>
      </left>
      <right style="hair">
        <color auto="1"/>
      </right>
      <top style="thin">
        <color theme="1" tint="0.499984740745262"/>
      </top>
      <bottom/>
      <diagonal/>
    </border>
    <border>
      <left style="hair">
        <color auto="1"/>
      </left>
      <right/>
      <top style="thin">
        <color theme="1" tint="0.499984740745262"/>
      </top>
      <bottom/>
      <diagonal/>
    </border>
    <border>
      <left style="thin">
        <color theme="1" tint="0.249977111117893"/>
      </left>
      <right/>
      <top style="thin">
        <color theme="1" tint="0.499984740745262"/>
      </top>
      <bottom style="thin">
        <color auto="1"/>
      </bottom>
      <diagonal/>
    </border>
    <border>
      <left style="thin">
        <color theme="1" tint="0.249977111117893"/>
      </left>
      <right style="hair">
        <color theme="0" tint="-0.499984740745262"/>
      </right>
      <top style="thin">
        <color auto="1"/>
      </top>
      <bottom style="thin">
        <color theme="1" tint="0.499984740745262"/>
      </bottom>
      <diagonal/>
    </border>
    <border>
      <left/>
      <right style="hair">
        <color auto="1"/>
      </right>
      <top style="hair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auto="1"/>
      </right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0" tint="-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0" tint="-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thin">
        <color theme="0" tint="-0.499984740745262"/>
      </bottom>
      <diagonal/>
    </border>
    <border>
      <left style="thin">
        <color theme="1" tint="0.249977111117893"/>
      </left>
      <right/>
      <top style="thin">
        <color theme="0" tint="-0.499984740745262"/>
      </top>
      <bottom/>
      <diagonal/>
    </border>
    <border>
      <left/>
      <right style="hair">
        <color theme="1"/>
      </right>
      <top style="thin">
        <color theme="0" tint="-0.499984740745262"/>
      </top>
      <bottom/>
      <diagonal/>
    </border>
    <border>
      <left/>
      <right/>
      <top/>
      <bottom style="thin">
        <color theme="1" tint="0.249977111117893"/>
      </bottom>
      <diagonal/>
    </border>
    <border>
      <left/>
      <right style="hair">
        <color theme="1"/>
      </right>
      <top/>
      <bottom style="thin">
        <color theme="1" tint="0.249977111117893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auto="1"/>
      </top>
      <bottom style="thin">
        <color theme="1" tint="0.249977111117893"/>
      </bottom>
      <diagonal/>
    </border>
    <border>
      <left/>
      <right style="hair">
        <color auto="1"/>
      </right>
      <top style="hair">
        <color theme="1"/>
      </top>
      <bottom style="thin">
        <color theme="1" tint="0.249977111117893"/>
      </bottom>
      <diagonal/>
    </border>
    <border>
      <left style="hair">
        <color auto="1"/>
      </left>
      <right style="hair">
        <color auto="1"/>
      </right>
      <top style="hair">
        <color theme="1"/>
      </top>
      <bottom style="thin">
        <color theme="1" tint="0.249977111117893"/>
      </bottom>
      <diagonal/>
    </border>
    <border>
      <left style="hair">
        <color auto="1"/>
      </left>
      <right style="thin">
        <color theme="1" tint="0.249977111117893"/>
      </right>
      <top style="hair">
        <color theme="1"/>
      </top>
      <bottom style="thin">
        <color theme="1" tint="0.249977111117893"/>
      </bottom>
      <diagonal/>
    </border>
    <border>
      <left style="thin">
        <color theme="1" tint="0.499984740745262"/>
      </left>
      <right style="thin">
        <color theme="0" tint="-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249977111117893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hair">
        <color theme="1" tint="0.499984740745262"/>
      </right>
      <top/>
      <bottom style="thin">
        <color theme="0" tint="-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auto="1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auto="1"/>
      </top>
      <bottom/>
      <diagonal/>
    </border>
    <border>
      <left/>
      <right style="hair">
        <color theme="0" tint="-0.499984740745262"/>
      </right>
      <top style="thin">
        <color auto="1"/>
      </top>
      <bottom/>
      <diagonal/>
    </border>
    <border>
      <left style="hair">
        <color theme="0" tint="-0.499984740745262"/>
      </left>
      <right style="hair">
        <color auto="1"/>
      </right>
      <top style="thin">
        <color theme="0" tint="-0.499984740745262"/>
      </top>
      <bottom/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1" tint="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0" tint="-0.499984740745262"/>
      </top>
      <bottom/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hair">
        <color auto="1"/>
      </right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1" tint="0.249977111117893"/>
      </top>
      <bottom style="thin">
        <color auto="1"/>
      </bottom>
      <diagonal/>
    </border>
    <border>
      <left style="thin">
        <color theme="0" tint="-0.499984740745262"/>
      </left>
      <right style="hair">
        <color theme="1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0" tint="-0.499984740745262"/>
      </bottom>
      <diagonal/>
    </border>
    <border>
      <left style="hair">
        <color theme="1" tint="0.499984740745262"/>
      </left>
      <right style="thin">
        <color theme="1" tint="0.499984740745262"/>
      </right>
      <top/>
      <bottom style="thin">
        <color theme="0" tint="-0.499984740745262"/>
      </bottom>
      <diagonal/>
    </border>
    <border>
      <left style="hair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hair">
        <color theme="0" tint="-0.499984740745262"/>
      </left>
      <right/>
      <top style="thin">
        <color theme="1" tint="0.249977111117893"/>
      </top>
      <bottom/>
      <diagonal/>
    </border>
    <border>
      <left style="hair">
        <color theme="0" tint="-0.499984740745262"/>
      </left>
      <right style="hair">
        <color theme="1" tint="0.24994659260841701"/>
      </right>
      <top style="thin">
        <color theme="0" tint="-0.499984740745262"/>
      </top>
      <bottom/>
      <diagonal/>
    </border>
    <border>
      <left style="hair">
        <color theme="1" tint="0.24994659260841701"/>
      </left>
      <right style="hair">
        <color theme="1" tint="0.24994659260841701"/>
      </right>
      <top style="thin">
        <color theme="0" tint="-0.499984740745262"/>
      </top>
      <bottom/>
      <diagonal/>
    </border>
    <border>
      <left style="hair">
        <color theme="1" tint="0.24994659260841701"/>
      </left>
      <right/>
      <top style="thin">
        <color theme="0" tint="-0.499984740745262"/>
      </top>
      <bottom/>
      <diagonal/>
    </border>
    <border>
      <left style="hair">
        <color theme="0" tint="-0.499984740745262"/>
      </left>
      <right style="hair">
        <color theme="1" tint="0.24994659260841701"/>
      </right>
      <top/>
      <bottom/>
      <diagonal/>
    </border>
    <border>
      <left style="hair">
        <color theme="1" tint="0.24994659260841701"/>
      </left>
      <right style="hair">
        <color theme="1" tint="0.24994659260841701"/>
      </right>
      <top/>
      <bottom/>
      <diagonal/>
    </border>
    <border>
      <left style="hair">
        <color theme="1" tint="0.24994659260841701"/>
      </left>
      <right/>
      <top/>
      <bottom/>
      <diagonal/>
    </border>
    <border>
      <left style="hair">
        <color theme="1" tint="0.24994659260841701"/>
      </left>
      <right style="hair">
        <color theme="1" tint="0.24994659260841701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1" tint="0.24994659260841701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1" tint="0.24994659260841701"/>
      </right>
      <top/>
      <bottom style="thin">
        <color theme="0" tint="-0.499984740745262"/>
      </bottom>
      <diagonal/>
    </border>
    <border>
      <left style="hair">
        <color theme="1" tint="0.24994659260841701"/>
      </left>
      <right/>
      <top/>
      <bottom style="thin">
        <color theme="0" tint="-0.499984740745262"/>
      </bottom>
      <diagonal/>
    </border>
    <border>
      <left style="hair">
        <color theme="1" tint="0.24994659260841701"/>
      </left>
      <right style="hair">
        <color theme="1" tint="0.24994659260841701"/>
      </right>
      <top/>
      <bottom style="thin">
        <color theme="0" tint="-0.499984740745262"/>
      </bottom>
      <diagonal/>
    </border>
    <border>
      <left style="hair">
        <color theme="1" tint="0.249977111117893"/>
      </left>
      <right style="hair">
        <color theme="1" tint="0.249977111117893"/>
      </right>
      <top style="thin">
        <color theme="1" tint="0.249977111117893"/>
      </top>
      <bottom style="thin">
        <color theme="0" tint="-0.499984740745262"/>
      </bottom>
      <diagonal/>
    </border>
    <border>
      <left style="hair">
        <color theme="1" tint="0.249977111117893"/>
      </left>
      <right style="hair">
        <color theme="1" tint="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1" tint="0.249977111117893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1" tint="0.24994659260841701"/>
      </left>
      <right style="hair">
        <color auto="1"/>
      </right>
      <top style="thin">
        <color theme="0" tint="-0.499984740745262"/>
      </top>
      <bottom/>
      <diagonal/>
    </border>
    <border>
      <left style="hair">
        <color theme="1" tint="0.24994659260841701"/>
      </left>
      <right style="hair">
        <color auto="1"/>
      </right>
      <top/>
      <bottom/>
      <diagonal/>
    </border>
    <border>
      <left style="hair">
        <color theme="1" tint="0.499984740745262"/>
      </left>
      <right style="hair">
        <color theme="1" tint="0.24994659260841701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24994659260841701"/>
      </left>
      <right style="hair">
        <color theme="1" tint="0.2499465926084170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hair">
        <color theme="1" tint="0.24994659260841701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hair">
        <color theme="1" tint="0.24994659260841701"/>
      </right>
      <top/>
      <bottom/>
      <diagonal/>
    </border>
    <border>
      <left style="thin">
        <color theme="0" tint="-0.499984740745262"/>
      </left>
      <right style="hair">
        <color theme="1" tint="0.24994659260841701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1" tint="0.24994659260841701"/>
      </right>
      <top style="thin">
        <color theme="1" tint="0.499984740745262"/>
      </top>
      <bottom style="thin">
        <color theme="0" tint="-0.499984740745262"/>
      </bottom>
      <diagonal/>
    </border>
    <border>
      <left style="hair">
        <color theme="1" tint="0.24994659260841701"/>
      </left>
      <right style="hair">
        <color theme="0" tint="-0.499984740745262"/>
      </right>
      <top style="thin">
        <color theme="1" tint="0.499984740745262"/>
      </top>
      <bottom style="thin">
        <color theme="0" tint="-0.499984740745262"/>
      </bottom>
      <diagonal/>
    </border>
    <border>
      <left style="hair">
        <color theme="1" tint="0.24994659260841701"/>
      </left>
      <right/>
      <top style="thin">
        <color theme="1" tint="0.499984740745262"/>
      </top>
      <bottom style="thin">
        <color theme="0" tint="-0.499984740745262"/>
      </bottom>
      <diagonal/>
    </border>
    <border>
      <left style="hair">
        <color theme="1" tint="0.24994659260841701"/>
      </left>
      <right style="hair">
        <color theme="0" tint="-0.499984740745262"/>
      </right>
      <top/>
      <bottom/>
      <diagonal/>
    </border>
    <border>
      <left style="hair">
        <color theme="1" tint="0.24994659260841701"/>
      </left>
      <right style="hair">
        <color theme="0" tint="-0.499984740745262"/>
      </right>
      <top/>
      <bottom style="thin">
        <color theme="0" tint="-0.499984740745262"/>
      </bottom>
      <diagonal/>
    </border>
    <border>
      <left style="hair">
        <color theme="1" tint="0.24994659260841701"/>
      </left>
      <right style="hair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/>
      <top style="thin">
        <color auto="1"/>
      </top>
      <bottom/>
      <diagonal/>
    </border>
    <border>
      <left style="hair">
        <color auto="1"/>
      </left>
      <right/>
      <top style="hair">
        <color theme="1"/>
      </top>
      <bottom style="thin">
        <color auto="1"/>
      </bottom>
      <diagonal/>
    </border>
    <border>
      <left style="hair">
        <color theme="1" tint="0.34998626667073579"/>
      </left>
      <right style="thin">
        <color theme="1" tint="0.499984740745262"/>
      </right>
      <top style="thin">
        <color theme="1" tint="0.499984740745262"/>
      </top>
      <bottom style="thin">
        <color theme="0" tint="-0.499984740745262"/>
      </bottom>
      <diagonal/>
    </border>
    <border>
      <left style="hair">
        <color theme="1"/>
      </left>
      <right style="hair">
        <color theme="0" tint="-0.499984740745262"/>
      </right>
      <top style="thin">
        <color theme="1" tint="0.499984740745262"/>
      </top>
      <bottom style="thin">
        <color theme="0" tint="-0.499984740745262"/>
      </bottom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 style="thin">
        <color theme="0" tint="-0.499984740745262"/>
      </top>
      <bottom/>
      <diagonal/>
    </border>
    <border>
      <left style="hair">
        <color theme="1"/>
      </left>
      <right style="hair">
        <color auto="1"/>
      </right>
      <top/>
      <bottom style="thin">
        <color theme="0" tint="-0.499984740745262"/>
      </bottom>
      <diagonal/>
    </border>
    <border>
      <left style="hair">
        <color theme="1"/>
      </left>
      <right style="hair">
        <color auto="1"/>
      </right>
      <top/>
      <bottom style="thin">
        <color theme="1" tint="0.499984740745262"/>
      </bottom>
      <diagonal/>
    </border>
    <border>
      <left style="hair">
        <color auto="1"/>
      </left>
      <right style="hair">
        <color theme="0" tint="-0.499984740745262"/>
      </right>
      <top style="thin">
        <color theme="0" tint="-0.499984740745262"/>
      </top>
      <bottom/>
      <diagonal/>
    </border>
    <border>
      <left style="hair">
        <color auto="1"/>
      </left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hair">
        <color theme="0" tint="-0.499984740745262"/>
      </right>
      <top/>
      <bottom style="thin">
        <color indexed="64"/>
      </bottom>
      <diagonal/>
    </border>
    <border>
      <left style="hair">
        <color theme="1" tint="0.24994659260841701"/>
      </left>
      <right style="thin">
        <color theme="0" tint="-0.499984740745262"/>
      </right>
      <top style="thin">
        <color theme="1" tint="0.499984740745262"/>
      </top>
      <bottom style="thin">
        <color theme="1" tint="0.24994659260841701"/>
      </bottom>
      <diagonal/>
    </border>
    <border>
      <left style="hair">
        <color theme="1" tint="0.24994659260841701"/>
      </left>
      <right style="hair">
        <color theme="0" tint="-0.499984740745262"/>
      </right>
      <top style="thin">
        <color theme="1" tint="0.499984740745262"/>
      </top>
      <bottom style="thin">
        <color theme="1" tint="0.24994659260841701"/>
      </bottom>
      <diagonal/>
    </border>
    <border>
      <left style="hair">
        <color theme="1" tint="0.499984740745262"/>
      </left>
      <right/>
      <top/>
      <bottom style="thin">
        <color theme="1" tint="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34998626667073579"/>
      </bottom>
      <diagonal/>
    </border>
    <border>
      <left/>
      <right style="thin">
        <color theme="1" tint="0.249977111117893"/>
      </right>
      <top/>
      <bottom style="thin">
        <color theme="0" tint="-0.34998626667073579"/>
      </bottom>
      <diagonal/>
    </border>
    <border>
      <left style="thin">
        <color theme="1" tint="0.499984740745262"/>
      </left>
      <right style="hair">
        <color theme="1" tint="0.249977111117893"/>
      </right>
      <top/>
      <bottom style="thin">
        <color theme="0" tint="-0.34998626667073579"/>
      </bottom>
      <diagonal/>
    </border>
    <border>
      <left style="hair">
        <color theme="1" tint="0.249977111117893"/>
      </left>
      <right style="hair">
        <color theme="1" tint="0.249977111117893"/>
      </right>
      <top/>
      <bottom style="thin">
        <color theme="0" tint="-0.34998626667073579"/>
      </bottom>
      <diagonal/>
    </border>
    <border>
      <left style="hair">
        <color theme="1" tint="0.249977111117893"/>
      </left>
      <right/>
      <top/>
      <bottom style="thin">
        <color theme="0" tint="-0.34998626667073579"/>
      </bottom>
      <diagonal/>
    </border>
    <border>
      <left style="hair">
        <color theme="1" tint="0.249977111117893"/>
      </left>
      <right/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/>
      <bottom style="thin">
        <color theme="1" tint="0.499984740745262"/>
      </bottom>
      <diagonal/>
    </border>
    <border>
      <left style="hair">
        <color theme="1"/>
      </left>
      <right/>
      <top/>
      <bottom style="thin">
        <color auto="1"/>
      </bottom>
      <diagonal/>
    </border>
    <border>
      <left style="hair">
        <color theme="1" tint="0.249977111117893"/>
      </left>
      <right/>
      <top style="thin">
        <color theme="1" tint="0.249977111117893"/>
      </top>
      <bottom style="thin">
        <color theme="0" tint="-0.49998474074526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55"/>
      </right>
      <top style="thin">
        <color indexed="64"/>
      </top>
      <bottom/>
      <diagonal/>
    </border>
    <border>
      <left style="hair">
        <color indexed="64"/>
      </left>
      <right style="thin">
        <color indexed="55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55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theme="0" tint="-0.499984740745262"/>
      </left>
      <right style="thin">
        <color theme="1" tint="0.499984740745262"/>
      </right>
      <top/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0" tint="-0.499984740745262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hair">
        <color auto="1"/>
      </right>
      <top style="hair">
        <color theme="1"/>
      </top>
      <bottom style="thin">
        <color theme="1" tint="0.249977111117893"/>
      </bottom>
      <diagonal/>
    </border>
    <border>
      <left style="thin">
        <color theme="0" tint="-0.499984740745262"/>
      </left>
      <right/>
      <top style="thin">
        <color theme="1" tint="0.249977111117893"/>
      </top>
      <bottom/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hair">
        <color auto="1"/>
      </left>
      <right/>
      <top style="hair">
        <color theme="1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auto="1"/>
      </top>
      <bottom style="thin">
        <color theme="1" tint="0.249977111117893"/>
      </bottom>
      <diagonal/>
    </border>
    <border>
      <left style="thin">
        <color theme="1" tint="0.249977111117893"/>
      </left>
      <right/>
      <top/>
      <bottom style="thin">
        <color theme="0" tint="-0.499984740745262"/>
      </bottom>
      <diagonal/>
    </border>
    <border>
      <left style="thin">
        <color theme="1" tint="0.249977111117893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249977111117893"/>
      </left>
      <right style="hair">
        <color theme="0" tint="-0.499984740745262"/>
      </right>
      <top style="thin">
        <color auto="1"/>
      </top>
      <bottom style="thin">
        <color theme="1" tint="0.249977111117893"/>
      </bottom>
      <diagonal/>
    </border>
    <border>
      <left style="thin">
        <color theme="1" tint="0.249977111117893"/>
      </left>
      <right style="hair">
        <color theme="0" tint="-0.499984740745262"/>
      </right>
      <top/>
      <bottom style="thin">
        <color theme="0" tint="-0.499984740745262"/>
      </bottom>
      <diagonal/>
    </border>
    <border>
      <left style="thin">
        <color theme="1" tint="0.249977111117893"/>
      </left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249977111117893"/>
      </left>
      <right style="hair">
        <color theme="0" tint="-0.499984740745262"/>
      </right>
      <top/>
      <bottom/>
      <diagonal/>
    </border>
    <border>
      <left style="thin">
        <color theme="1" tint="0.249977111117893"/>
      </left>
      <right style="hair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 style="thin">
        <color theme="1" tint="0.249977111117893"/>
      </right>
      <top/>
      <bottom/>
      <diagonal/>
    </border>
    <border>
      <left style="hair">
        <color theme="0" tint="-0.499984740745262"/>
      </left>
      <right style="thin">
        <color theme="1" tint="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1" tint="0.249977111117893"/>
      </right>
      <top style="thin">
        <color theme="0" tint="-0.499984740745262"/>
      </top>
      <bottom/>
      <diagonal/>
    </border>
    <border>
      <left style="hair">
        <color theme="0" tint="-0.499984740745262"/>
      </left>
      <right style="thin">
        <color theme="1" tint="0.249977111117893"/>
      </right>
      <top/>
      <bottom style="thin">
        <color theme="0" tint="-0.499984740745262"/>
      </bottom>
      <diagonal/>
    </border>
    <border>
      <left style="hair">
        <color theme="1" tint="0.24994659260841701"/>
      </left>
      <right style="thin">
        <color theme="1" tint="0.249977111117893"/>
      </right>
      <top style="thin">
        <color theme="0" tint="-0.499984740745262"/>
      </top>
      <bottom/>
      <diagonal/>
    </border>
    <border>
      <left style="hair">
        <color theme="1" tint="0.24994659260841701"/>
      </left>
      <right style="thin">
        <color theme="1" tint="0.249977111117893"/>
      </right>
      <top/>
      <bottom/>
      <diagonal/>
    </border>
    <border>
      <left/>
      <right style="thin">
        <color theme="1" tint="0.249977111117893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1" tint="0.249977111117893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1" tint="0.249977111117893"/>
      </top>
      <bottom/>
      <diagonal/>
    </border>
    <border>
      <left style="hair">
        <color theme="0" tint="-0.499984740745262"/>
      </left>
      <right style="thin">
        <color theme="1" tint="0.249977111117893"/>
      </right>
      <top style="thin">
        <color theme="1" tint="0.249977111117893"/>
      </top>
      <bottom/>
      <diagonal/>
    </border>
    <border>
      <left/>
      <right style="hair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1" tint="0.499984740745262"/>
      </top>
      <bottom style="thin">
        <color theme="0" tint="-0.499984740745262"/>
      </bottom>
      <diagonal/>
    </border>
    <border>
      <left/>
      <right style="thin">
        <color theme="0"/>
      </right>
      <top style="thin">
        <color theme="1" tint="0.249977111117893"/>
      </top>
      <bottom/>
      <diagonal/>
    </border>
    <border>
      <left style="hair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/>
      </right>
      <top/>
      <bottom/>
      <diagonal/>
    </border>
    <border>
      <left style="hair">
        <color theme="0" tint="-0.499984740745262"/>
      </left>
      <right style="thin">
        <color theme="0"/>
      </right>
      <top style="thin">
        <color theme="0" tint="-0.499984740745262"/>
      </top>
      <bottom/>
      <diagonal/>
    </border>
    <border>
      <left style="hair">
        <color theme="0" tint="-0.499984740745262"/>
      </left>
      <right style="thin">
        <color theme="0"/>
      </right>
      <top/>
      <bottom style="thin">
        <color theme="0" tint="-0.499984740745262"/>
      </bottom>
      <diagonal/>
    </border>
    <border>
      <left style="hair">
        <color auto="1"/>
      </left>
      <right style="thin">
        <color theme="0"/>
      </right>
      <top style="hair">
        <color theme="1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 tint="-0.499984740745262"/>
      </left>
      <right/>
      <top style="thin">
        <color auto="1"/>
      </top>
      <bottom style="thin">
        <color theme="0" tint="-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thin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0" tint="-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0" tint="-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/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hair">
        <color theme="0" tint="-0.499984740745262"/>
      </left>
      <right style="thin">
        <color theme="1" tint="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 style="thin">
        <color theme="1" tint="0.499984740745262"/>
      </right>
      <top/>
      <bottom/>
      <diagonal/>
    </border>
    <border>
      <left style="hair">
        <color theme="0" tint="-0.499984740745262"/>
      </left>
      <right style="thin">
        <color theme="1" tint="0.499984740745262"/>
      </right>
      <top style="thin">
        <color theme="1" tint="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hair">
        <color theme="0" tint="-0.499984740745262"/>
      </left>
      <right style="thin">
        <color theme="1" tint="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thin">
        <color theme="1" tint="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0" tint="-0.499984740745262"/>
      </top>
      <bottom/>
      <diagonal/>
    </border>
    <border>
      <left style="thin">
        <color theme="1" tint="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/>
      <top/>
      <bottom style="thin">
        <color theme="0" tint="-0.499984740745262"/>
      </bottom>
      <diagonal/>
    </border>
    <border>
      <left style="thin">
        <color theme="1" tint="0.499984740745262"/>
      </left>
      <right/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1" tint="0.499984740745262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 style="thin">
        <color theme="1" tint="0.499984740745262"/>
      </bottom>
      <diagonal/>
    </border>
    <border>
      <left style="thin">
        <color indexed="55"/>
      </left>
      <right/>
      <top style="thin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 style="thin">
        <color theme="1" tint="0.499984740745262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theme="1" tint="0.499984740745262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theme="1" tint="0.499984740745262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theme="1" tint="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1"/>
      </top>
      <bottom style="thin">
        <color indexed="64"/>
      </bottom>
      <diagonal/>
    </border>
    <border>
      <left style="thin">
        <color indexed="55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1"/>
      </top>
      <bottom style="thin">
        <color auto="1"/>
      </bottom>
      <diagonal/>
    </border>
    <border>
      <left style="hair">
        <color theme="0" tint="-0.499984740745262"/>
      </left>
      <right style="thin">
        <color theme="1" tint="0.249977111117893"/>
      </right>
      <top style="hair">
        <color theme="1"/>
      </top>
      <bottom style="thin">
        <color auto="1"/>
      </bottom>
      <diagonal/>
    </border>
    <border>
      <left style="thin">
        <color indexed="55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thin">
        <color indexed="55"/>
      </right>
      <top style="thin">
        <color indexed="64"/>
      </top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thin">
        <color indexed="55"/>
      </right>
      <top/>
      <bottom/>
      <diagonal/>
    </border>
    <border>
      <left style="hair">
        <color theme="1"/>
      </left>
      <right style="thin">
        <color indexed="64"/>
      </right>
      <top/>
      <bottom/>
      <diagonal/>
    </border>
    <border>
      <left style="hair">
        <color theme="1"/>
      </left>
      <right style="thin">
        <color indexed="55"/>
      </right>
      <top/>
      <bottom style="thin">
        <color indexed="64"/>
      </bottom>
      <diagonal/>
    </border>
    <border>
      <left style="hair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55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indexed="55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indexed="55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indexed="55"/>
      </right>
      <top/>
      <bottom style="thin">
        <color indexed="64"/>
      </bottom>
      <diagonal/>
    </border>
    <border>
      <left style="hair">
        <color theme="0" tint="-0.499984740745262"/>
      </left>
      <right style="thin">
        <color theme="1" tint="0.249977111117893"/>
      </right>
      <top style="hair">
        <color theme="0" tint="-0.499984740745262"/>
      </top>
      <bottom style="thin">
        <color auto="1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auto="1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55"/>
      </left>
      <right style="thin">
        <color auto="1"/>
      </right>
      <top style="thin">
        <color indexed="64"/>
      </top>
      <bottom/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1" tint="0.249977111117893"/>
      </top>
      <bottom style="thin">
        <color auto="1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1" tint="0.249977111117893"/>
      </top>
      <bottom/>
      <diagonal/>
    </border>
    <border>
      <left style="thin">
        <color theme="1" tint="0.249977111117893"/>
      </left>
      <right style="hair">
        <color theme="1" tint="0.249977111117893"/>
      </right>
      <top style="thin">
        <color theme="1" tint="0.249977111117893"/>
      </top>
      <bottom style="thin">
        <color auto="1"/>
      </bottom>
      <diagonal/>
    </border>
    <border>
      <left style="hair">
        <color theme="1" tint="0.249977111117893"/>
      </left>
      <right style="hair">
        <color theme="1" tint="0.249977111117893"/>
      </right>
      <top style="thin">
        <color theme="1" tint="0.249977111117893"/>
      </top>
      <bottom/>
      <diagonal/>
    </border>
    <border>
      <left style="hair">
        <color theme="1" tint="0.249977111117893"/>
      </left>
      <right style="thin">
        <color theme="1" tint="0.249977111117893"/>
      </right>
      <top style="thin">
        <color theme="1" tint="0.249977111117893"/>
      </top>
      <bottom/>
      <diagonal/>
    </border>
    <border>
      <left style="thin">
        <color theme="1" tint="0.249977111117893"/>
      </left>
      <right style="hair">
        <color theme="1" tint="0.249977111117893"/>
      </right>
      <top/>
      <bottom style="thin">
        <color auto="1"/>
      </bottom>
      <diagonal/>
    </border>
    <border>
      <left style="hair">
        <color theme="1" tint="0.249977111117893"/>
      </left>
      <right style="hair">
        <color theme="1" tint="0.249977111117893"/>
      </right>
      <top style="hair">
        <color theme="1"/>
      </top>
      <bottom style="thin">
        <color auto="1"/>
      </bottom>
      <diagonal/>
    </border>
    <border>
      <left style="hair">
        <color theme="1" tint="0.249977111117893"/>
      </left>
      <right style="thin">
        <color theme="1" tint="0.249977111117893"/>
      </right>
      <top style="hair">
        <color theme="1"/>
      </top>
      <bottom style="thin">
        <color auto="1"/>
      </bottom>
      <diagonal/>
    </border>
    <border>
      <left style="hair">
        <color theme="1" tint="0.249977111117893"/>
      </left>
      <right style="hair">
        <color theme="1" tint="0.249977111117893"/>
      </right>
      <top style="hair">
        <color theme="0" tint="-0.499984740745262"/>
      </top>
      <bottom style="thin">
        <color auto="1"/>
      </bottom>
      <diagonal/>
    </border>
    <border>
      <left style="hair">
        <color theme="1" tint="0.249977111117893"/>
      </left>
      <right style="thin">
        <color theme="1" tint="0.249977111117893"/>
      </right>
      <top style="hair">
        <color theme="0" tint="-0.499984740745262"/>
      </top>
      <bottom style="thin">
        <color auto="1"/>
      </bottom>
      <diagonal/>
    </border>
    <border>
      <left style="thin">
        <color theme="1" tint="0.249977111117893"/>
      </left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theme="1"/>
      </left>
      <right/>
      <top style="thin">
        <color indexed="64"/>
      </top>
      <bottom/>
      <diagonal/>
    </border>
    <border>
      <left style="hair">
        <color theme="1"/>
      </left>
      <right/>
      <top/>
      <bottom/>
      <diagonal/>
    </border>
    <border>
      <left/>
      <right style="thin">
        <color indexed="55"/>
      </right>
      <top style="thin">
        <color indexed="64"/>
      </top>
      <bottom/>
      <diagonal/>
    </border>
    <border>
      <left/>
      <right style="thin">
        <color indexed="55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/>
      <top style="thin">
        <color theme="1" tint="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thin">
        <color theme="1" tint="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 style="thin">
        <color theme="0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249977111117893"/>
      </left>
      <right style="thin">
        <color theme="1" tint="0.499984740745262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theme="0"/>
      </right>
      <top/>
      <bottom/>
      <diagonal/>
    </border>
    <border>
      <left style="hair">
        <color auto="1"/>
      </left>
      <right style="thin">
        <color theme="0"/>
      </right>
      <top/>
      <bottom style="thin">
        <color theme="0" tint="-0.499984740745262"/>
      </bottom>
      <diagonal/>
    </border>
    <border>
      <left style="hair">
        <color theme="1" tint="0.499984740745262"/>
      </left>
      <right style="thin">
        <color theme="0"/>
      </right>
      <top style="thin">
        <color theme="1" tint="0.499984740745262"/>
      </top>
      <bottom style="thin">
        <color theme="0" tint="-0.499984740745262"/>
      </bottom>
      <diagonal/>
    </border>
    <border>
      <left style="hair">
        <color theme="1" tint="0.499984740745262"/>
      </left>
      <right style="thin">
        <color theme="0"/>
      </right>
      <top/>
      <bottom/>
      <diagonal/>
    </border>
    <border>
      <left style="hair">
        <color theme="1" tint="0.499984740745262"/>
      </left>
      <right style="thin">
        <color theme="0"/>
      </right>
      <top/>
      <bottom style="thin">
        <color theme="0" tint="-0.499984740745262"/>
      </bottom>
      <diagonal/>
    </border>
    <border>
      <left style="hair">
        <color theme="1" tint="0.499984740745262"/>
      </left>
      <right style="thin">
        <color theme="0"/>
      </right>
      <top style="thin">
        <color theme="0" tint="-0.499984740745262"/>
      </top>
      <bottom/>
      <diagonal/>
    </border>
    <border>
      <left style="hair">
        <color theme="1" tint="0.499984740745262"/>
      </left>
      <right style="thin">
        <color theme="0"/>
      </right>
      <top/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0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0" tint="-0.499984740745262"/>
      </left>
      <right style="thin">
        <color theme="0"/>
      </right>
      <top style="thin">
        <color theme="1" tint="0.499984740745262"/>
      </top>
      <bottom style="thin">
        <color theme="0" tint="-0.499984740745262"/>
      </bottom>
      <diagonal/>
    </border>
    <border>
      <left/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/>
      </right>
      <top/>
      <bottom style="thin">
        <color theme="0" tint="-0.499984740745262"/>
      </bottom>
      <diagonal/>
    </border>
    <border>
      <left/>
      <right style="thin">
        <color theme="0"/>
      </right>
      <top style="thin">
        <color theme="0" tint="-0.499984740745262"/>
      </top>
      <bottom/>
      <diagonal/>
    </border>
    <border>
      <left style="hair">
        <color auto="1"/>
      </left>
      <right style="thin">
        <color theme="0"/>
      </right>
      <top style="thin">
        <color theme="1" tint="0.49998474074526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 tint="0.499984740745262"/>
      </bottom>
      <diagonal/>
    </border>
    <border>
      <left style="hair">
        <color theme="1"/>
      </left>
      <right/>
      <top style="hair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/>
      </right>
      <top style="thin">
        <color theme="1" tint="0.499984740745262"/>
      </top>
      <bottom style="thin">
        <color theme="0" tint="-0.499984740745262"/>
      </bottom>
      <diagonal/>
    </border>
    <border>
      <left style="hair">
        <color theme="1"/>
      </left>
      <right style="hair">
        <color theme="1"/>
      </right>
      <top style="thin">
        <color theme="1" tint="0.499984740745262"/>
      </top>
      <bottom style="thin">
        <color theme="0" tint="-0.499984740745262"/>
      </bottom>
      <diagonal/>
    </border>
    <border>
      <left style="hair">
        <color theme="1"/>
      </left>
      <right/>
      <top style="thin">
        <color theme="1" tint="0.499984740745262"/>
      </top>
      <bottom style="thin">
        <color theme="0" tint="-0.499984740745262"/>
      </bottom>
      <diagonal/>
    </border>
    <border>
      <left style="hair">
        <color auto="1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 style="thin">
        <color theme="0" tint="-0.499984740745262"/>
      </top>
      <bottom/>
      <diagonal/>
    </border>
    <border>
      <left style="hair">
        <color theme="1"/>
      </left>
      <right/>
      <top style="thin">
        <color theme="0" tint="-0.499984740745262"/>
      </top>
      <bottom/>
      <diagonal/>
    </border>
    <border>
      <left style="hair">
        <color auto="1"/>
      </left>
      <right style="hair">
        <color theme="1"/>
      </right>
      <top/>
      <bottom style="thin">
        <color theme="0" tint="-0.499984740745262"/>
      </bottom>
      <diagonal/>
    </border>
    <border>
      <left style="hair">
        <color theme="1"/>
      </left>
      <right style="hair">
        <color theme="1"/>
      </right>
      <top/>
      <bottom style="thin">
        <color theme="0" tint="-0.499984740745262"/>
      </bottom>
      <diagonal/>
    </border>
    <border>
      <left style="hair">
        <color theme="1"/>
      </left>
      <right/>
      <top/>
      <bottom style="thin">
        <color theme="0" tint="-0.499984740745262"/>
      </bottom>
      <diagonal/>
    </border>
    <border>
      <left style="hair">
        <color auto="1"/>
      </left>
      <right style="hair">
        <color theme="1"/>
      </right>
      <top style="thin">
        <color theme="1" tint="0.499984740745262"/>
      </top>
      <bottom style="thin">
        <color theme="0" tint="-0.499984740745262"/>
      </bottom>
      <diagonal/>
    </border>
    <border>
      <left style="hair">
        <color indexed="64"/>
      </left>
      <right style="hair">
        <color theme="1"/>
      </right>
      <top/>
      <bottom style="thin">
        <color indexed="64"/>
      </bottom>
      <diagonal/>
    </border>
    <border>
      <left/>
      <right style="hair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/>
      </left>
      <right style="hair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hair">
        <color auto="1"/>
      </left>
      <right style="hair">
        <color theme="1"/>
      </right>
      <top/>
      <bottom style="thin">
        <color theme="1" tint="0.499984740745262"/>
      </bottom>
      <diagonal/>
    </border>
    <border>
      <left style="hair">
        <color theme="1"/>
      </left>
      <right style="hair">
        <color theme="1"/>
      </right>
      <top/>
      <bottom style="thin">
        <color theme="1" tint="0.499984740745262"/>
      </bottom>
      <diagonal/>
    </border>
    <border>
      <left style="hair">
        <color theme="1"/>
      </left>
      <right/>
      <top/>
      <bottom style="thin">
        <color theme="1" tint="0.499984740745262"/>
      </bottom>
      <diagonal/>
    </border>
    <border>
      <left style="hair">
        <color theme="1"/>
      </left>
      <right style="hair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theme="1"/>
      </right>
      <top/>
      <bottom style="thin">
        <color theme="0" tint="-0.499984740745262"/>
      </bottom>
      <diagonal/>
    </border>
    <border>
      <left/>
      <right style="hair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hair">
        <color theme="1"/>
      </right>
      <top style="thin">
        <color theme="1" tint="0.499984740745262"/>
      </top>
      <bottom style="thin">
        <color theme="0" tint="-0.499984740745262"/>
      </bottom>
      <diagonal/>
    </border>
    <border>
      <left/>
      <right style="hair">
        <color theme="1"/>
      </right>
      <top style="thin">
        <color theme="0" tint="-0.499984740745262"/>
      </top>
      <bottom style="thin">
        <color theme="1" tint="0.499984740745262"/>
      </bottom>
      <diagonal/>
    </border>
    <border>
      <left style="hair">
        <color theme="1"/>
      </left>
      <right style="hair">
        <color theme="1"/>
      </right>
      <top style="thin">
        <color theme="0" tint="-0.499984740745262"/>
      </top>
      <bottom style="thin">
        <color theme="1" tint="0.499984740745262"/>
      </bottom>
      <diagonal/>
    </border>
    <border>
      <left style="hair">
        <color theme="1"/>
      </left>
      <right/>
      <top style="thin">
        <color theme="0" tint="-0.499984740745262"/>
      </top>
      <bottom style="thin">
        <color theme="1" tint="0.499984740745262"/>
      </bottom>
      <diagonal/>
    </border>
    <border>
      <left style="hair">
        <color theme="1"/>
      </left>
      <right style="hair">
        <color theme="1" tint="0.24994659260841701"/>
      </right>
      <top style="thin">
        <color theme="0" tint="-0.499984740745262"/>
      </top>
      <bottom/>
      <diagonal/>
    </border>
    <border>
      <left style="hair">
        <color theme="1"/>
      </left>
      <right style="hair">
        <color theme="1" tint="0.24994659260841701"/>
      </right>
      <top/>
      <bottom/>
      <diagonal/>
    </border>
    <border>
      <left style="hair">
        <color theme="1"/>
      </left>
      <right style="hair">
        <color theme="1" tint="0.24994659260841701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24994659260841701"/>
      </left>
      <right style="hair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/>
      </right>
      <top style="thin">
        <color theme="1" tint="0.499984740745262"/>
      </top>
      <bottom style="thin">
        <color theme="0" tint="-0.499984740745262"/>
      </bottom>
      <diagonal/>
    </border>
    <border>
      <left style="hair">
        <color theme="1"/>
      </left>
      <right style="hair">
        <color auto="1"/>
      </right>
      <top style="thin">
        <color theme="1" tint="0.499984740745262"/>
      </top>
      <bottom style="thin">
        <color theme="0" tint="-0.499984740745262"/>
      </bottom>
      <diagonal/>
    </border>
    <border>
      <left style="hair">
        <color theme="1"/>
      </left>
      <right style="hair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1"/>
      </left>
      <right style="hair">
        <color auto="1"/>
      </right>
      <top style="thin">
        <color theme="0" tint="-0.499984740745262"/>
      </top>
      <bottom style="thin">
        <color theme="1" tint="0.499984740745262"/>
      </bottom>
      <diagonal/>
    </border>
    <border>
      <left style="hair">
        <color theme="1"/>
      </left>
      <right style="hair">
        <color theme="1"/>
      </right>
      <top style="thin">
        <color theme="1" tint="0.499984740745262"/>
      </top>
      <bottom/>
      <diagonal/>
    </border>
    <border>
      <left style="hair">
        <color theme="1"/>
      </left>
      <right style="hair">
        <color auto="1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 style="hair">
        <color theme="1" tint="0.249977111117893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/>
      </left>
      <right style="thin">
        <color auto="1"/>
      </right>
      <top style="thin">
        <color auto="1"/>
      </top>
      <bottom/>
      <diagonal/>
    </border>
    <border>
      <left style="hair">
        <color theme="1" tint="0.249977111117893"/>
      </left>
      <right style="thin">
        <color theme="0"/>
      </right>
      <top style="thin">
        <color theme="1" tint="0.249977111117893"/>
      </top>
      <bottom/>
      <diagonal/>
    </border>
    <border>
      <left style="hair">
        <color theme="1" tint="0.249977111117893"/>
      </left>
      <right style="thin">
        <color theme="0"/>
      </right>
      <top style="hair">
        <color theme="0" tint="-0.499984740745262"/>
      </top>
      <bottom style="thin">
        <color auto="1"/>
      </bottom>
      <diagonal/>
    </border>
    <border>
      <left style="thin">
        <color indexed="55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55"/>
      </left>
      <right style="thin">
        <color theme="0"/>
      </right>
      <top style="thin">
        <color indexed="64"/>
      </top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55"/>
      </left>
      <right style="thin">
        <color auto="1"/>
      </right>
      <top/>
      <bottom/>
      <diagonal/>
    </border>
    <border>
      <left style="thin">
        <color indexed="55"/>
      </left>
      <right style="thin">
        <color theme="0"/>
      </right>
      <top/>
      <bottom/>
      <diagonal/>
    </border>
    <border>
      <left style="thin">
        <color auto="1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/>
      <bottom style="thin">
        <color indexed="64"/>
      </bottom>
      <diagonal/>
    </border>
    <border>
      <left style="thin">
        <color indexed="55"/>
      </left>
      <right style="thin">
        <color indexed="55"/>
      </right>
      <top/>
      <bottom style="thin">
        <color indexed="64"/>
      </bottom>
      <diagonal/>
    </border>
    <border>
      <left style="thin">
        <color indexed="55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55"/>
      </left>
      <right style="thin">
        <color theme="0"/>
      </right>
      <top/>
      <bottom style="thin">
        <color indexed="64"/>
      </bottom>
      <diagonal/>
    </border>
    <border>
      <left style="thin">
        <color indexed="55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hair">
        <color theme="1" tint="0.249977111117893"/>
      </left>
      <right style="thin">
        <color theme="0"/>
      </right>
      <top style="hair">
        <color theme="1"/>
      </top>
      <bottom style="thin">
        <color auto="1"/>
      </bottom>
      <diagonal/>
    </border>
    <border>
      <left style="thin">
        <color indexed="55"/>
      </left>
      <right style="hair">
        <color theme="1"/>
      </right>
      <top style="thin">
        <color indexed="64"/>
      </top>
      <bottom/>
      <diagonal/>
    </border>
    <border>
      <left style="thin">
        <color indexed="55"/>
      </left>
      <right/>
      <top/>
      <bottom/>
      <diagonal/>
    </border>
    <border>
      <left style="thin">
        <color indexed="55"/>
      </left>
      <right style="hair">
        <color theme="1"/>
      </right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auto="1"/>
      </left>
      <right style="hair">
        <color theme="1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/>
      <top/>
      <bottom/>
      <diagonal/>
    </border>
    <border>
      <left style="thin">
        <color indexed="55"/>
      </left>
      <right style="thin">
        <color auto="1"/>
      </right>
      <top/>
      <bottom/>
      <diagonal/>
    </border>
    <border>
      <left style="thin">
        <color indexed="55"/>
      </left>
      <right style="hair">
        <color theme="1"/>
      </right>
      <top/>
      <bottom/>
      <diagonal/>
    </border>
    <border>
      <left style="thin">
        <color indexed="55"/>
      </left>
      <right/>
      <top/>
      <bottom style="thin">
        <color indexed="64"/>
      </bottom>
      <diagonal/>
    </border>
    <border>
      <left style="thin">
        <color indexed="55"/>
      </left>
      <right style="hair">
        <color theme="1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auto="1"/>
      </left>
      <right style="hair">
        <color theme="1"/>
      </right>
      <top/>
      <bottom style="thin">
        <color indexed="64"/>
      </bottom>
      <diagonal/>
    </border>
    <border>
      <left style="thin">
        <color auto="1"/>
      </left>
      <right style="hair">
        <color theme="1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/>
      <top/>
      <bottom/>
      <diagonal/>
    </border>
    <border>
      <left style="thin">
        <color indexed="55"/>
      </left>
      <right style="thin">
        <color auto="1"/>
      </right>
      <top/>
      <bottom/>
      <diagonal/>
    </border>
    <border>
      <left style="thin">
        <color indexed="55"/>
      </left>
      <right style="hair">
        <color theme="1"/>
      </right>
      <top/>
      <bottom/>
      <diagonal/>
    </border>
    <border>
      <left style="hair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1" tint="0.499984740745262"/>
      </bottom>
      <diagonal/>
    </border>
    <border>
      <left style="hair">
        <color theme="1" tint="0.249977111117893"/>
      </left>
      <right style="thin">
        <color theme="0"/>
      </right>
      <top style="thin">
        <color theme="1" tint="0.499984740745262"/>
      </top>
      <bottom style="thin">
        <color theme="0" tint="-0.499984740745262"/>
      </bottom>
      <diagonal/>
    </border>
    <border>
      <left style="hair">
        <color theme="1" tint="0.249977111117893"/>
      </left>
      <right style="thin">
        <color theme="0"/>
      </right>
      <top/>
      <bottom/>
      <diagonal/>
    </border>
    <border>
      <left style="hair">
        <color theme="1" tint="0.249977111117893"/>
      </left>
      <right style="thin">
        <color theme="0"/>
      </right>
      <top style="thin">
        <color theme="0" tint="-0.499984740745262"/>
      </top>
      <bottom/>
      <diagonal/>
    </border>
    <border>
      <left style="hair">
        <color theme="1" tint="0.249977111117893"/>
      </left>
      <right style="thin">
        <color theme="0"/>
      </right>
      <top/>
      <bottom style="thin">
        <color theme="0" tint="-0.34998626667073579"/>
      </bottom>
      <diagonal/>
    </border>
    <border>
      <left style="hair">
        <color theme="1" tint="0.249977111117893"/>
      </left>
      <right style="thin">
        <color theme="0"/>
      </right>
      <top style="thin">
        <color theme="1" tint="0.499984740745262"/>
      </top>
      <bottom style="thin">
        <color theme="1" tint="0.249977111117893"/>
      </bottom>
      <diagonal/>
    </border>
    <border>
      <left style="hair">
        <color theme="1" tint="0.249977111117893"/>
      </left>
      <right style="thin">
        <color theme="0"/>
      </right>
      <top style="thin">
        <color theme="0" tint="-0.499984740745262"/>
      </top>
      <bottom style="thin">
        <color theme="1" tint="0.499984740745262"/>
      </bottom>
      <diagonal/>
    </border>
    <border>
      <left style="hair">
        <color theme="1" tint="0.249977111117893"/>
      </left>
      <right style="thin">
        <color theme="0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249977111117893"/>
      </left>
      <right style="thin">
        <color theme="0"/>
      </right>
      <top style="thin">
        <color theme="1" tint="0.499984740745262"/>
      </top>
      <bottom/>
      <diagonal/>
    </border>
    <border>
      <left style="hair">
        <color theme="1" tint="0.249977111117893"/>
      </left>
      <right style="thin">
        <color theme="0"/>
      </right>
      <top style="thin">
        <color theme="1" tint="0.249977111117893"/>
      </top>
      <bottom style="thin">
        <color theme="0" tint="-0.499984740745262"/>
      </bottom>
      <diagonal/>
    </border>
    <border>
      <left style="hair">
        <color theme="1" tint="0.249977111117893"/>
      </left>
      <right style="thin">
        <color theme="0"/>
      </right>
      <top/>
      <bottom style="thin">
        <color theme="0" tint="-0.499984740745262"/>
      </bottom>
      <diagonal/>
    </border>
    <border>
      <left style="hair">
        <color theme="1" tint="0.249977111117893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hair">
        <color theme="0" tint="-0.499984740745262"/>
      </left>
      <right style="thin">
        <color theme="0"/>
      </right>
      <top style="hair">
        <color theme="1"/>
      </top>
      <bottom/>
      <diagonal/>
    </border>
    <border>
      <left style="hair">
        <color theme="0" tint="-0.499984740745262"/>
      </left>
      <right style="thin">
        <color theme="0"/>
      </right>
      <top style="thin">
        <color auto="1"/>
      </top>
      <bottom/>
      <diagonal/>
    </border>
    <border>
      <left style="hair">
        <color auto="1"/>
      </left>
      <right style="thin">
        <color theme="0"/>
      </right>
      <top style="hair">
        <color theme="1"/>
      </top>
      <bottom style="thin">
        <color theme="1" tint="0.249977111117893"/>
      </bottom>
      <diagonal/>
    </border>
    <border>
      <left style="hair">
        <color theme="0" tint="-0.499984740745262"/>
      </left>
      <right style="thin">
        <color theme="0"/>
      </right>
      <top style="thin">
        <color theme="1" tint="0.249977111117893"/>
      </top>
      <bottom/>
      <diagonal/>
    </border>
    <border>
      <left style="thin">
        <color theme="0" tint="-0.499984740745262"/>
      </left>
      <right/>
      <top/>
      <bottom style="thin">
        <color indexed="64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auto="1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theme="0"/>
      </right>
      <top style="hair">
        <color theme="1"/>
      </top>
      <bottom style="thin">
        <color auto="1"/>
      </bottom>
      <diagonal/>
    </border>
    <border>
      <left style="hair">
        <color theme="0" tint="-0.499984740745262"/>
      </left>
      <right style="thin">
        <color theme="0"/>
      </right>
      <top style="thin">
        <color indexed="64"/>
      </top>
      <bottom style="thin">
        <color theme="0" tint="-0.4999847407452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hair">
        <color theme="1" tint="0.499984740745262"/>
      </left>
      <right/>
      <top/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theme="0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hair">
        <color theme="1" tint="0.499984740745262"/>
      </left>
      <right/>
      <top style="thin">
        <color theme="1" tint="0.499984740745262"/>
      </top>
      <bottom style="thin">
        <color theme="0" tint="-0.499984740745262"/>
      </bottom>
      <diagonal/>
    </border>
    <border>
      <left style="hair">
        <color theme="1" tint="0.499984740745262"/>
      </left>
      <right/>
      <top/>
      <bottom style="thin">
        <color theme="0" tint="-0.499984740745262"/>
      </bottom>
      <diagonal/>
    </border>
    <border>
      <left style="hair">
        <color theme="1" tint="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hair">
        <color theme="1" tint="0.499984740745262"/>
      </left>
      <right/>
      <top style="thin">
        <color theme="0" tint="-0.499984740745262"/>
      </top>
      <bottom/>
      <diagonal/>
    </border>
    <border>
      <left style="hair">
        <color theme="1" tint="0.499984740745262"/>
      </left>
      <right/>
      <top style="thin">
        <color theme="0" tint="-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/>
      <diagonal/>
    </border>
    <border>
      <left style="hair">
        <color auto="1"/>
      </left>
      <right style="hair">
        <color theme="1"/>
      </right>
      <top style="thin">
        <color theme="0" tint="-0.499984740745262"/>
      </top>
      <bottom/>
      <diagonal/>
    </border>
    <border>
      <left style="hair">
        <color auto="1"/>
      </left>
      <right style="hair">
        <color theme="0"/>
      </right>
      <top style="hair">
        <color theme="1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24994659260841701"/>
      </right>
      <top style="thin">
        <color theme="1" tint="0.499984740745262"/>
      </top>
      <bottom/>
      <diagonal/>
    </border>
    <border>
      <left style="hair">
        <color theme="1" tint="0.24994659260841701"/>
      </left>
      <right style="hair">
        <color theme="1" tint="0.24994659260841701"/>
      </right>
      <top style="thin">
        <color theme="1" tint="0.499984740745262"/>
      </top>
      <bottom/>
      <diagonal/>
    </border>
    <border>
      <left style="hair">
        <color theme="1" tint="0.499984740745262"/>
      </left>
      <right style="hair">
        <color theme="1"/>
      </right>
      <top style="thin">
        <color theme="1" tint="0.499984740745262"/>
      </top>
      <bottom/>
      <diagonal/>
    </border>
    <border>
      <left style="hair">
        <color theme="1"/>
      </left>
      <right style="hair">
        <color theme="1" tint="0.24994659260841701"/>
      </right>
      <top style="thin">
        <color theme="1" tint="0.499984740745262"/>
      </top>
      <bottom/>
      <diagonal/>
    </border>
    <border>
      <left style="thin">
        <color theme="0" tint="-0.499984740745262"/>
      </left>
      <right style="hair">
        <color auto="1"/>
      </right>
      <top/>
      <bottom style="thin">
        <color theme="1" tint="0.499984740745262"/>
      </bottom>
      <diagonal/>
    </border>
    <border>
      <left style="hair">
        <color auto="1"/>
      </left>
      <right style="thin">
        <color theme="0" tint="-0.499984740745262"/>
      </right>
      <top/>
      <bottom style="thin">
        <color theme="1" tint="0.499984740745262"/>
      </bottom>
      <diagonal/>
    </border>
    <border>
      <left style="thin">
        <color theme="0" tint="-0.499984740745262"/>
      </left>
      <right style="hair">
        <color theme="1" tint="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55"/>
      </left>
      <right style="thin">
        <color indexed="55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/>
      <right/>
      <top style="hair">
        <color indexed="64"/>
      </top>
      <bottom style="medium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/>
      <top style="hair">
        <color indexed="64"/>
      </top>
      <bottom style="medium">
        <color auto="1"/>
      </bottom>
      <diagonal/>
    </border>
    <border>
      <left style="thin">
        <color theme="1" tint="0.499984740745262"/>
      </left>
      <right style="hair">
        <color theme="1" tint="0.249977111117893"/>
      </right>
      <top style="hair">
        <color theme="1" tint="0.499984740745262"/>
      </top>
      <bottom/>
      <diagonal/>
    </border>
    <border>
      <left style="hair">
        <color theme="1" tint="0.249977111117893"/>
      </left>
      <right style="hair">
        <color theme="1" tint="0.249977111117893"/>
      </right>
      <top style="hair">
        <color theme="1" tint="0.499984740745262"/>
      </top>
      <bottom/>
      <diagonal/>
    </border>
    <border>
      <left style="hair">
        <color theme="1" tint="0.249977111117893"/>
      </left>
      <right/>
      <top style="thin">
        <color theme="1" tint="0.499984740745262"/>
      </top>
      <bottom style="thin">
        <color theme="0" tint="-0.499984740745262"/>
      </bottom>
      <diagonal/>
    </border>
    <border>
      <left style="hair">
        <color theme="1" tint="0.249977111117893"/>
      </left>
      <right/>
      <top style="hair">
        <color theme="1" tint="0.499984740745262"/>
      </top>
      <bottom/>
      <diagonal/>
    </border>
    <border>
      <left style="hair">
        <color theme="1" tint="0.249977111117893"/>
      </left>
      <right/>
      <top/>
      <bottom style="thin">
        <color theme="1" tint="0.499984740745262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1" tint="0.249977111117893"/>
      </left>
      <right style="hair">
        <color theme="1" tint="0.499984740745262"/>
      </right>
      <top style="thin">
        <color auto="1"/>
      </top>
      <bottom style="thin">
        <color theme="1" tint="0.499984740745262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1" tint="0.249977111117893"/>
      </left>
      <right style="hair">
        <color theme="1" tint="0.499984740745262"/>
      </right>
      <top/>
      <bottom style="thin">
        <color auto="1"/>
      </bottom>
      <diagonal/>
    </border>
    <border>
      <left style="hair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55"/>
      </left>
      <right style="thin">
        <color theme="0"/>
      </right>
      <top/>
      <bottom style="thin">
        <color indexed="64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auto="1"/>
      </bottom>
      <diagonal/>
    </border>
    <border>
      <left style="thin">
        <color auto="1"/>
      </left>
      <right/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indexed="64"/>
      </top>
      <bottom style="thin">
        <color theme="1"/>
      </bottom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/>
      <right style="thin">
        <color auto="1"/>
      </right>
      <top style="thin">
        <color theme="1"/>
      </top>
      <bottom/>
      <diagonal/>
    </border>
    <border>
      <left/>
      <right style="thin">
        <color auto="1"/>
      </right>
      <top/>
      <bottom style="thin">
        <color theme="1"/>
      </bottom>
      <diagonal/>
    </border>
    <border>
      <left/>
      <right/>
      <top style="dotted">
        <color theme="0" tint="-0.499984740745262"/>
      </top>
      <bottom/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hair">
        <color auto="1"/>
      </left>
      <right style="hair">
        <color theme="1"/>
      </right>
      <top style="thin">
        <color theme="1" tint="0.499984740745262"/>
      </top>
      <bottom/>
      <diagonal/>
    </border>
    <border>
      <left style="hair">
        <color theme="1"/>
      </left>
      <right/>
      <top style="thin">
        <color theme="1" tint="0.499984740745262"/>
      </top>
      <bottom/>
      <diagonal/>
    </border>
    <border>
      <left style="hair">
        <color theme="0" tint="-0.499984740745262"/>
      </left>
      <right style="hair">
        <color theme="1" tint="0.499984740745262"/>
      </right>
      <top/>
      <bottom/>
      <diagonal/>
    </border>
    <border>
      <left style="hair">
        <color theme="1" tint="0.499984740745262"/>
      </left>
      <right style="hair">
        <color theme="1"/>
      </right>
      <top/>
      <bottom/>
      <diagonal/>
    </border>
    <border>
      <left style="thin">
        <color theme="0"/>
      </left>
      <right style="hair">
        <color theme="0" tint="-0.499984740745262"/>
      </right>
      <top style="thin">
        <color auto="1"/>
      </top>
      <bottom style="thin">
        <color theme="1" tint="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1" tint="0.249977111117893"/>
      </left>
      <right style="thin">
        <color theme="0" tint="-0.499984740745262"/>
      </right>
      <top style="thin">
        <color auto="1"/>
      </top>
      <bottom style="thin">
        <color auto="1"/>
      </bottom>
      <diagonal/>
    </border>
    <border>
      <left/>
      <right style="hair">
        <color theme="1" tint="0.249977111117893"/>
      </right>
      <top style="hair">
        <color theme="0" tint="-0.499984740745262"/>
      </top>
      <bottom style="thin">
        <color auto="1"/>
      </bottom>
      <diagonal/>
    </border>
    <border>
      <left style="thin">
        <color theme="1" tint="0.249977111117893"/>
      </left>
      <right style="thin">
        <color theme="0" tint="-0.499984740745262"/>
      </right>
      <top/>
      <bottom/>
      <diagonal/>
    </border>
    <border>
      <left style="thin">
        <color auto="1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auto="1"/>
      </left>
      <right style="thin">
        <color theme="0" tint="-0.499984740745262"/>
      </right>
      <top/>
      <bottom/>
      <diagonal/>
    </border>
    <border>
      <left style="thin">
        <color auto="1"/>
      </left>
      <right style="thin">
        <color theme="0" tint="-0.499984740745262"/>
      </right>
      <top/>
      <bottom style="thin">
        <color indexed="64"/>
      </bottom>
      <diagonal/>
    </border>
    <border>
      <left/>
      <right style="thin">
        <color indexed="55"/>
      </right>
      <top/>
      <bottom style="thin">
        <color indexed="64"/>
      </bottom>
      <diagonal/>
    </border>
    <border>
      <left style="thin">
        <color indexed="64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auto="1"/>
      </bottom>
      <diagonal/>
    </border>
    <border>
      <left/>
      <right style="thin">
        <color theme="0" tint="-0.499984740745262"/>
      </right>
      <top style="thin">
        <color theme="1" tint="0.249977111117893"/>
      </top>
      <bottom style="thin">
        <color auto="1"/>
      </bottom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theme="0" tint="-0.499984740745262"/>
      </left>
      <right style="thin">
        <color theme="0"/>
      </right>
      <top style="thin">
        <color indexed="64"/>
      </top>
      <bottom style="thin">
        <color auto="1"/>
      </bottom>
      <diagonal/>
    </border>
    <border>
      <left style="thin">
        <color theme="0"/>
      </left>
      <right style="thin">
        <color theme="0" tint="-0.499984740745262"/>
      </right>
      <top style="thin">
        <color auto="1"/>
      </top>
      <bottom style="thin">
        <color theme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auto="1"/>
      </top>
      <bottom style="thin">
        <color theme="1"/>
      </bottom>
      <diagonal/>
    </border>
    <border>
      <left style="thin">
        <color theme="0" tint="-0.499984740745262"/>
      </left>
      <right style="thin">
        <color theme="0"/>
      </right>
      <top style="thin">
        <color auto="1"/>
      </top>
      <bottom style="thin">
        <color theme="1"/>
      </bottom>
      <diagonal/>
    </border>
    <border>
      <left style="thin">
        <color indexed="64"/>
      </left>
      <right style="thin">
        <color theme="0"/>
      </right>
      <top style="thin">
        <color theme="1"/>
      </top>
      <bottom/>
      <diagonal/>
    </border>
    <border>
      <left style="thin">
        <color auto="1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/>
      <right style="thin">
        <color indexed="64"/>
      </right>
      <top style="thin">
        <color theme="0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1"/>
      </bottom>
      <diagonal/>
    </border>
    <border>
      <left style="thin">
        <color theme="0"/>
      </left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1"/>
      </bottom>
      <diagonal/>
    </border>
    <border>
      <left/>
      <right style="thin">
        <color theme="0" tint="-0.499984740745262"/>
      </right>
      <top/>
      <bottom style="thin">
        <color theme="1"/>
      </bottom>
      <diagonal/>
    </border>
    <border>
      <left style="thin">
        <color indexed="64"/>
      </left>
      <right style="thin">
        <color theme="0"/>
      </right>
      <top/>
      <bottom style="thin">
        <color theme="1"/>
      </bottom>
      <diagonal/>
    </border>
    <border>
      <left/>
      <right style="thin">
        <color theme="0" tint="-0.499984740745262"/>
      </right>
      <top style="thin">
        <color theme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auto="1"/>
      </top>
      <bottom/>
      <diagonal/>
    </border>
    <border>
      <left style="thin">
        <color theme="0" tint="-0.499984740745262"/>
      </left>
      <right style="thin">
        <color theme="0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auto="1"/>
      </right>
      <top/>
      <bottom/>
      <diagonal/>
    </border>
    <border>
      <left style="thin">
        <color theme="0" tint="-0.499984740745262"/>
      </left>
      <right style="thin">
        <color theme="0"/>
      </right>
      <top/>
      <bottom/>
      <diagonal/>
    </border>
    <border>
      <left style="thin">
        <color theme="0" tint="-0.499984740745262"/>
      </left>
      <right style="thin">
        <color auto="1"/>
      </right>
      <top/>
      <bottom style="thin">
        <color auto="1"/>
      </bottom>
      <diagonal/>
    </border>
    <border>
      <left style="thin">
        <color theme="0" tint="-0.499984740745262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theme="0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/>
      <diagonal/>
    </border>
    <border>
      <left style="hair">
        <color theme="1" tint="0.34998626667073579"/>
      </left>
      <right style="hair">
        <color theme="1"/>
      </right>
      <top/>
      <bottom/>
      <diagonal/>
    </border>
    <border>
      <left style="hair">
        <color theme="1"/>
      </left>
      <right style="hair">
        <color theme="1" tint="0.34998626667073579"/>
      </right>
      <top/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auto="1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/>
      </top>
      <bottom/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thin">
        <color theme="1"/>
      </bottom>
      <diagonal/>
    </border>
    <border>
      <left style="hair">
        <color theme="1" tint="0.499984740745262"/>
      </left>
      <right style="thin">
        <color theme="1" tint="0.499984740745262"/>
      </right>
      <top/>
      <bottom style="thin">
        <color theme="1"/>
      </bottom>
      <diagonal/>
    </border>
  </borders>
  <cellStyleXfs count="8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6" fillId="0" borderId="0"/>
    <xf numFmtId="0" fontId="29" fillId="0" borderId="0"/>
    <xf numFmtId="0" fontId="77" fillId="0" borderId="0"/>
    <xf numFmtId="0" fontId="78" fillId="0" borderId="0"/>
  </cellStyleXfs>
  <cellXfs count="3528">
    <xf numFmtId="0" fontId="0" fillId="0" borderId="0" xfId="0">
      <alignment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77" fontId="5" fillId="0" borderId="11" xfId="0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13" xfId="0" applyNumberFormat="1" applyFont="1" applyFill="1" applyBorder="1" applyAlignment="1">
      <alignment horizontal="center" vertical="center"/>
    </xf>
    <xf numFmtId="177" fontId="5" fillId="0" borderId="16" xfId="0" applyNumberFormat="1" applyFont="1" applyFill="1" applyBorder="1" applyAlignment="1">
      <alignment horizontal="center" vertical="center"/>
    </xf>
    <xf numFmtId="177" fontId="5" fillId="0" borderId="17" xfId="0" applyNumberFormat="1" applyFont="1" applyFill="1" applyBorder="1" applyAlignment="1">
      <alignment horizontal="center" vertical="center"/>
    </xf>
    <xf numFmtId="177" fontId="5" fillId="0" borderId="18" xfId="0" applyNumberFormat="1" applyFont="1" applyFill="1" applyBorder="1" applyAlignment="1">
      <alignment horizontal="center" vertical="center"/>
    </xf>
    <xf numFmtId="177" fontId="5" fillId="3" borderId="25" xfId="0" applyNumberFormat="1" applyFont="1" applyFill="1" applyBorder="1" applyAlignment="1">
      <alignment horizontal="center" vertical="center"/>
    </xf>
    <xf numFmtId="177" fontId="5" fillId="3" borderId="26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8" fillId="0" borderId="33" xfId="1" applyNumberFormat="1" applyFont="1" applyFill="1" applyBorder="1" applyAlignment="1">
      <alignment horizontal="center" vertical="center"/>
    </xf>
    <xf numFmtId="176" fontId="8" fillId="0" borderId="34" xfId="1" applyNumberFormat="1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176" fontId="8" fillId="3" borderId="42" xfId="1" applyNumberFormat="1" applyFont="1" applyFill="1" applyBorder="1" applyAlignment="1">
      <alignment horizontal="center" vertical="center"/>
    </xf>
    <xf numFmtId="177" fontId="3" fillId="2" borderId="48" xfId="0" applyNumberFormat="1" applyFont="1" applyFill="1" applyBorder="1" applyAlignment="1">
      <alignment horizontal="center" vertical="center"/>
    </xf>
    <xf numFmtId="177" fontId="3" fillId="2" borderId="49" xfId="0" applyNumberFormat="1" applyFont="1" applyFill="1" applyBorder="1" applyAlignment="1">
      <alignment horizontal="center" vertical="center"/>
    </xf>
    <xf numFmtId="177" fontId="5" fillId="4" borderId="21" xfId="0" applyNumberFormat="1" applyFont="1" applyFill="1" applyBorder="1" applyAlignment="1">
      <alignment horizontal="center" vertical="center"/>
    </xf>
    <xf numFmtId="177" fontId="5" fillId="4" borderId="56" xfId="0" applyNumberFormat="1" applyFont="1" applyFill="1" applyBorder="1" applyAlignment="1">
      <alignment horizontal="center" vertical="center"/>
    </xf>
    <xf numFmtId="177" fontId="5" fillId="4" borderId="22" xfId="0" applyNumberFormat="1" applyFont="1" applyFill="1" applyBorder="1" applyAlignment="1">
      <alignment horizontal="center" vertical="center"/>
    </xf>
    <xf numFmtId="177" fontId="5" fillId="0" borderId="0" xfId="0" applyNumberFormat="1" applyFont="1" applyFill="1" applyBorder="1" applyAlignment="1">
      <alignment horizontal="center" vertical="center"/>
    </xf>
    <xf numFmtId="0" fontId="9" fillId="0" borderId="0" xfId="0" applyFont="1">
      <alignment vertical="center"/>
    </xf>
    <xf numFmtId="180" fontId="9" fillId="0" borderId="0" xfId="0" applyNumberFormat="1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11" fillId="3" borderId="42" xfId="0" applyFont="1" applyFill="1" applyBorder="1" applyAlignment="1">
      <alignment horizontal="left" vertical="center" indent="1"/>
    </xf>
    <xf numFmtId="0" fontId="11" fillId="3" borderId="42" xfId="0" applyFont="1" applyFill="1" applyBorder="1">
      <alignment vertical="center"/>
    </xf>
    <xf numFmtId="0" fontId="11" fillId="3" borderId="62" xfId="0" applyFont="1" applyFill="1" applyBorder="1">
      <alignment vertical="center"/>
    </xf>
    <xf numFmtId="0" fontId="11" fillId="0" borderId="35" xfId="0" applyFont="1" applyBorder="1" applyAlignment="1">
      <alignment horizontal="left" vertical="center" indent="2"/>
    </xf>
    <xf numFmtId="0" fontId="11" fillId="0" borderId="35" xfId="0" applyFont="1" applyBorder="1" applyAlignment="1">
      <alignment horizontal="left" vertical="center" indent="1"/>
    </xf>
    <xf numFmtId="0" fontId="11" fillId="0" borderId="63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2"/>
    </xf>
    <xf numFmtId="0" fontId="7" fillId="0" borderId="0" xfId="0" applyFont="1" applyBorder="1" applyAlignment="1">
      <alignment horizontal="left" vertical="center" indent="1"/>
    </xf>
    <xf numFmtId="0" fontId="5" fillId="0" borderId="43" xfId="0" applyFont="1" applyBorder="1" applyAlignment="1">
      <alignment horizontal="left" vertical="center" indent="2"/>
    </xf>
    <xf numFmtId="0" fontId="7" fillId="0" borderId="43" xfId="0" applyFont="1" applyBorder="1" applyAlignment="1">
      <alignment horizontal="left" vertical="center" indent="1"/>
    </xf>
    <xf numFmtId="0" fontId="5" fillId="0" borderId="0" xfId="0" applyFont="1" applyFill="1" applyBorder="1" applyAlignment="1">
      <alignment horizontal="left" vertical="center" indent="3"/>
    </xf>
    <xf numFmtId="0" fontId="7" fillId="0" borderId="0" xfId="0" applyFont="1" applyBorder="1" applyAlignment="1">
      <alignment horizontal="left" vertical="center" indent="2"/>
    </xf>
    <xf numFmtId="0" fontId="13" fillId="0" borderId="0" xfId="0" applyFont="1" applyFill="1" applyBorder="1" applyAlignment="1">
      <alignment horizontal="left" vertical="center" indent="2"/>
    </xf>
    <xf numFmtId="0" fontId="5" fillId="0" borderId="43" xfId="0" applyFont="1" applyFill="1" applyBorder="1" applyAlignment="1">
      <alignment horizontal="left" vertical="center" indent="3"/>
    </xf>
    <xf numFmtId="0" fontId="7" fillId="0" borderId="43" xfId="0" applyFont="1" applyBorder="1" applyAlignment="1">
      <alignment horizontal="left" vertical="center" indent="2"/>
    </xf>
    <xf numFmtId="0" fontId="7" fillId="0" borderId="64" xfId="0" applyFont="1" applyBorder="1" applyAlignment="1">
      <alignment horizontal="left" vertical="center" indent="2"/>
    </xf>
    <xf numFmtId="0" fontId="11" fillId="0" borderId="35" xfId="0" applyFont="1" applyFill="1" applyBorder="1" applyAlignment="1">
      <alignment horizontal="left" vertical="center" indent="2"/>
    </xf>
    <xf numFmtId="0" fontId="5" fillId="0" borderId="0" xfId="0" applyFont="1" applyBorder="1" applyAlignment="1">
      <alignment horizontal="left" vertical="center" indent="3"/>
    </xf>
    <xf numFmtId="0" fontId="5" fillId="0" borderId="43" xfId="0" applyFont="1" applyBorder="1" applyAlignment="1">
      <alignment horizontal="left" vertical="center" indent="3"/>
    </xf>
    <xf numFmtId="0" fontId="5" fillId="0" borderId="35" xfId="0" applyFont="1" applyBorder="1" applyAlignment="1">
      <alignment horizontal="left" vertical="center" indent="2"/>
    </xf>
    <xf numFmtId="0" fontId="7" fillId="0" borderId="35" xfId="0" applyFont="1" applyBorder="1" applyAlignment="1">
      <alignment horizontal="left" vertical="center" indent="1"/>
    </xf>
    <xf numFmtId="0" fontId="7" fillId="0" borderId="63" xfId="0" applyFont="1" applyBorder="1">
      <alignment vertical="center"/>
    </xf>
    <xf numFmtId="0" fontId="7" fillId="0" borderId="64" xfId="0" applyFont="1" applyBorder="1">
      <alignment vertical="center"/>
    </xf>
    <xf numFmtId="0" fontId="5" fillId="0" borderId="35" xfId="0" applyFont="1" applyFill="1" applyBorder="1" applyAlignment="1">
      <alignment horizontal="left" vertical="center" indent="2"/>
    </xf>
    <xf numFmtId="0" fontId="7" fillId="0" borderId="35" xfId="0" applyFont="1" applyBorder="1">
      <alignment vertical="center"/>
    </xf>
    <xf numFmtId="0" fontId="14" fillId="0" borderId="0" xfId="0" applyFont="1" applyBorder="1">
      <alignment vertical="center"/>
    </xf>
    <xf numFmtId="0" fontId="7" fillId="0" borderId="43" xfId="0" applyFont="1" applyBorder="1">
      <alignment vertical="center"/>
    </xf>
    <xf numFmtId="0" fontId="7" fillId="0" borderId="42" xfId="0" applyFont="1" applyFill="1" applyBorder="1">
      <alignment vertical="center"/>
    </xf>
    <xf numFmtId="0" fontId="7" fillId="0" borderId="62" xfId="0" applyFont="1" applyFill="1" applyBorder="1">
      <alignment vertical="center"/>
    </xf>
    <xf numFmtId="0" fontId="5" fillId="0" borderId="42" xfId="0" applyFont="1" applyFill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2"/>
    </xf>
    <xf numFmtId="0" fontId="11" fillId="0" borderId="0" xfId="0" applyFont="1" applyBorder="1" applyAlignment="1">
      <alignment horizontal="left" vertical="center" indent="1"/>
    </xf>
    <xf numFmtId="177" fontId="8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right"/>
    </xf>
    <xf numFmtId="177" fontId="5" fillId="4" borderId="66" xfId="0" applyNumberFormat="1" applyFont="1" applyFill="1" applyBorder="1" applyAlignment="1">
      <alignment horizontal="center" vertical="center"/>
    </xf>
    <xf numFmtId="0" fontId="11" fillId="0" borderId="67" xfId="0" applyFont="1" applyBorder="1" applyAlignment="1">
      <alignment horizontal="left" vertical="center" indent="1"/>
    </xf>
    <xf numFmtId="0" fontId="7" fillId="0" borderId="67" xfId="0" applyFont="1" applyBorder="1" applyAlignment="1">
      <alignment horizontal="left" vertical="center" indent="2"/>
    </xf>
    <xf numFmtId="183" fontId="5" fillId="0" borderId="17" xfId="3" applyNumberFormat="1" applyFont="1" applyFill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180" fontId="5" fillId="5" borderId="11" xfId="0" applyNumberFormat="1" applyFont="1" applyFill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6" fontId="8" fillId="3" borderId="9" xfId="1" applyNumberFormat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76" fontId="8" fillId="0" borderId="22" xfId="1" applyNumberFormat="1" applyFont="1" applyFill="1" applyBorder="1" applyAlignment="1">
      <alignment horizontal="center" vertical="center"/>
    </xf>
    <xf numFmtId="0" fontId="8" fillId="3" borderId="56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8" fillId="0" borderId="29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horizontal="center" vertical="center" wrapText="1"/>
    </xf>
    <xf numFmtId="0" fontId="8" fillId="0" borderId="27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176" fontId="8" fillId="3" borderId="21" xfId="1" applyNumberFormat="1" applyFont="1" applyFill="1" applyBorder="1" applyAlignment="1">
      <alignment horizontal="center" vertical="center"/>
    </xf>
    <xf numFmtId="177" fontId="3" fillId="2" borderId="70" xfId="0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0" fontId="8" fillId="0" borderId="56" xfId="0" applyFont="1" applyFill="1" applyBorder="1" applyAlignment="1">
      <alignment horizontal="center" vertical="center" wrapText="1"/>
    </xf>
    <xf numFmtId="176" fontId="8" fillId="3" borderId="69" xfId="1" applyNumberFormat="1" applyFont="1" applyFill="1" applyBorder="1" applyAlignment="1">
      <alignment horizontal="center" vertical="center"/>
    </xf>
    <xf numFmtId="176" fontId="8" fillId="3" borderId="31" xfId="1" applyNumberFormat="1" applyFont="1" applyFill="1" applyBorder="1" applyAlignment="1">
      <alignment horizontal="center" vertical="center"/>
    </xf>
    <xf numFmtId="177" fontId="3" fillId="2" borderId="75" xfId="0" applyNumberFormat="1" applyFont="1" applyFill="1" applyBorder="1" applyAlignment="1">
      <alignment horizontal="center" vertical="center"/>
    </xf>
    <xf numFmtId="9" fontId="9" fillId="4" borderId="60" xfId="3" applyFont="1" applyFill="1" applyBorder="1">
      <alignment vertical="center"/>
    </xf>
    <xf numFmtId="177" fontId="3" fillId="2" borderId="78" xfId="0" applyNumberFormat="1" applyFont="1" applyFill="1" applyBorder="1" applyAlignment="1">
      <alignment horizontal="center" vertical="center"/>
    </xf>
    <xf numFmtId="41" fontId="9" fillId="0" borderId="0" xfId="2" applyFont="1" applyFill="1">
      <alignment vertical="center"/>
    </xf>
    <xf numFmtId="0" fontId="15" fillId="0" borderId="0" xfId="0" applyFont="1">
      <alignment vertical="center"/>
    </xf>
    <xf numFmtId="180" fontId="5" fillId="3" borderId="31" xfId="0" applyNumberFormat="1" applyFont="1" applyFill="1" applyBorder="1" applyAlignment="1">
      <alignment horizontal="center" vertical="center"/>
    </xf>
    <xf numFmtId="180" fontId="5" fillId="3" borderId="79" xfId="0" applyNumberFormat="1" applyFont="1" applyFill="1" applyBorder="1" applyAlignment="1">
      <alignment horizontal="center" vertical="center"/>
    </xf>
    <xf numFmtId="177" fontId="11" fillId="4" borderId="66" xfId="0" applyNumberFormat="1" applyFont="1" applyFill="1" applyBorder="1" applyAlignment="1">
      <alignment horizontal="center" vertical="center"/>
    </xf>
    <xf numFmtId="177" fontId="5" fillId="0" borderId="19" xfId="0" applyNumberFormat="1" applyFont="1" applyFill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76" fontId="5" fillId="3" borderId="9" xfId="1" applyNumberFormat="1" applyFont="1" applyFill="1" applyBorder="1" applyAlignment="1">
      <alignment horizontal="center" vertical="center"/>
    </xf>
    <xf numFmtId="180" fontId="5" fillId="0" borderId="0" xfId="0" applyNumberFormat="1" applyFont="1" applyFill="1" applyBorder="1" applyAlignment="1">
      <alignment horizontal="center" vertical="center"/>
    </xf>
    <xf numFmtId="180" fontId="5" fillId="0" borderId="19" xfId="0" applyNumberFormat="1" applyFont="1" applyFill="1" applyBorder="1" applyAlignment="1">
      <alignment horizontal="center" vertical="center"/>
    </xf>
    <xf numFmtId="180" fontId="5" fillId="3" borderId="77" xfId="0" applyNumberFormat="1" applyFont="1" applyFill="1" applyBorder="1" applyAlignment="1">
      <alignment horizontal="center" vertical="center"/>
    </xf>
    <xf numFmtId="177" fontId="9" fillId="0" borderId="61" xfId="0" applyNumberFormat="1" applyFont="1" applyFill="1" applyBorder="1" applyAlignment="1">
      <alignment horizontal="center" vertical="center"/>
    </xf>
    <xf numFmtId="180" fontId="5" fillId="0" borderId="38" xfId="0" applyNumberFormat="1" applyFont="1" applyFill="1" applyBorder="1" applyAlignment="1">
      <alignment horizontal="center" vertical="center"/>
    </xf>
    <xf numFmtId="180" fontId="5" fillId="0" borderId="11" xfId="0" applyNumberFormat="1" applyFont="1" applyFill="1" applyBorder="1" applyAlignment="1">
      <alignment horizontal="center" vertical="center"/>
    </xf>
    <xf numFmtId="180" fontId="5" fillId="0" borderId="16" xfId="0" applyNumberFormat="1" applyFont="1" applyFill="1" applyBorder="1" applyAlignment="1">
      <alignment horizontal="center" vertical="center"/>
    </xf>
    <xf numFmtId="180" fontId="5" fillId="3" borderId="81" xfId="0" applyNumberFormat="1" applyFont="1" applyFill="1" applyBorder="1" applyAlignment="1">
      <alignment horizontal="center" vertical="center"/>
    </xf>
    <xf numFmtId="180" fontId="8" fillId="0" borderId="50" xfId="0" applyNumberFormat="1" applyFont="1" applyFill="1" applyBorder="1">
      <alignment vertical="center"/>
    </xf>
    <xf numFmtId="180" fontId="8" fillId="0" borderId="51" xfId="0" applyNumberFormat="1" applyFont="1" applyFill="1" applyBorder="1">
      <alignment vertical="center"/>
    </xf>
    <xf numFmtId="180" fontId="8" fillId="3" borderId="47" xfId="1" applyNumberFormat="1" applyFont="1" applyFill="1" applyBorder="1" applyAlignment="1">
      <alignment horizontal="center" vertical="center"/>
    </xf>
    <xf numFmtId="183" fontId="5" fillId="0" borderId="16" xfId="3" applyNumberFormat="1" applyFont="1" applyFill="1" applyBorder="1" applyAlignment="1">
      <alignment horizontal="center" vertical="center"/>
    </xf>
    <xf numFmtId="183" fontId="5" fillId="0" borderId="18" xfId="0" applyNumberFormat="1" applyFont="1" applyFill="1" applyBorder="1" applyAlignment="1">
      <alignment horizontal="center" vertical="center"/>
    </xf>
    <xf numFmtId="177" fontId="5" fillId="3" borderId="9" xfId="0" applyNumberFormat="1" applyFont="1" applyFill="1" applyBorder="1" applyAlignment="1">
      <alignment horizontal="center" vertical="center"/>
    </xf>
    <xf numFmtId="177" fontId="3" fillId="2" borderId="85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8" fillId="4" borderId="56" xfId="0" applyNumberFormat="1" applyFont="1" applyFill="1" applyBorder="1" applyAlignment="1">
      <alignment horizontal="center" vertical="center"/>
    </xf>
    <xf numFmtId="179" fontId="8" fillId="4" borderId="22" xfId="0" applyNumberFormat="1" applyFont="1" applyFill="1" applyBorder="1" applyAlignment="1">
      <alignment horizontal="center" vertical="center"/>
    </xf>
    <xf numFmtId="179" fontId="9" fillId="3" borderId="32" xfId="0" applyNumberFormat="1" applyFont="1" applyFill="1" applyBorder="1" applyAlignment="1">
      <alignment horizontal="center" vertical="center"/>
    </xf>
    <xf numFmtId="179" fontId="9" fillId="4" borderId="22" xfId="0" applyNumberFormat="1" applyFont="1" applyFill="1" applyBorder="1" applyAlignment="1">
      <alignment horizontal="center" vertical="center"/>
    </xf>
    <xf numFmtId="179" fontId="9" fillId="0" borderId="0" xfId="0" applyNumberFormat="1" applyFont="1" applyAlignment="1">
      <alignment horizontal="center" vertical="center"/>
    </xf>
    <xf numFmtId="41" fontId="8" fillId="0" borderId="54" xfId="0" applyNumberFormat="1" applyFont="1" applyFill="1" applyBorder="1">
      <alignment vertical="center"/>
    </xf>
    <xf numFmtId="41" fontId="0" fillId="0" borderId="0" xfId="2" applyFont="1">
      <alignment vertical="center"/>
    </xf>
    <xf numFmtId="0" fontId="0" fillId="0" borderId="0" xfId="0" applyFill="1">
      <alignment vertical="center"/>
    </xf>
    <xf numFmtId="177" fontId="0" fillId="0" borderId="0" xfId="0" applyNumberFormat="1">
      <alignment vertical="center"/>
    </xf>
    <xf numFmtId="0" fontId="8" fillId="0" borderId="21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vertical="center"/>
    </xf>
    <xf numFmtId="180" fontId="5" fillId="0" borderId="37" xfId="0" applyNumberFormat="1" applyFont="1" applyFill="1" applyBorder="1" applyAlignment="1">
      <alignment horizontal="center" vertical="center"/>
    </xf>
    <xf numFmtId="177" fontId="5" fillId="0" borderId="37" xfId="0" applyNumberFormat="1" applyFont="1" applyFill="1" applyBorder="1" applyAlignment="1">
      <alignment horizontal="center" vertical="center"/>
    </xf>
    <xf numFmtId="180" fontId="5" fillId="5" borderId="38" xfId="0" applyNumberFormat="1" applyFont="1" applyFill="1" applyBorder="1" applyAlignment="1">
      <alignment horizontal="center" vertical="center"/>
    </xf>
    <xf numFmtId="180" fontId="5" fillId="5" borderId="16" xfId="0" applyNumberFormat="1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vertical="center" wrapText="1"/>
    </xf>
    <xf numFmtId="0" fontId="5" fillId="3" borderId="27" xfId="0" applyFont="1" applyFill="1" applyBorder="1" applyAlignment="1">
      <alignment vertical="center" wrapText="1"/>
    </xf>
    <xf numFmtId="0" fontId="5" fillId="3" borderId="28" xfId="0" applyFont="1" applyFill="1" applyBorder="1" applyAlignment="1">
      <alignment vertical="center" wrapText="1"/>
    </xf>
    <xf numFmtId="0" fontId="5" fillId="3" borderId="29" xfId="0" applyFont="1" applyFill="1" applyBorder="1" applyAlignment="1">
      <alignment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91" xfId="0" applyBorder="1" applyAlignment="1">
      <alignment horizontal="left" vertical="center"/>
    </xf>
    <xf numFmtId="0" fontId="0" fillId="0" borderId="90" xfId="0" applyBorder="1" applyAlignment="1">
      <alignment horizontal="left" vertical="center"/>
    </xf>
    <xf numFmtId="0" fontId="0" fillId="3" borderId="88" xfId="0" applyFill="1" applyBorder="1" applyAlignment="1">
      <alignment horizontal="center" vertical="center"/>
    </xf>
    <xf numFmtId="177" fontId="3" fillId="2" borderId="94" xfId="0" applyNumberFormat="1" applyFont="1" applyFill="1" applyBorder="1" applyAlignment="1">
      <alignment horizontal="center" vertical="center"/>
    </xf>
    <xf numFmtId="0" fontId="8" fillId="5" borderId="29" xfId="0" applyFont="1" applyFill="1" applyBorder="1" applyAlignment="1">
      <alignment horizontal="center" vertical="center" wrapText="1"/>
    </xf>
    <xf numFmtId="0" fontId="8" fillId="5" borderId="56" xfId="0" applyFont="1" applyFill="1" applyBorder="1" applyAlignment="1">
      <alignment horizontal="center" vertical="center" wrapText="1"/>
    </xf>
    <xf numFmtId="178" fontId="8" fillId="3" borderId="105" xfId="0" applyNumberFormat="1" applyFont="1" applyFill="1" applyBorder="1">
      <alignment vertical="center"/>
    </xf>
    <xf numFmtId="180" fontId="8" fillId="3" borderId="105" xfId="0" applyNumberFormat="1" applyFont="1" applyFill="1" applyBorder="1">
      <alignment vertical="center"/>
    </xf>
    <xf numFmtId="180" fontId="8" fillId="3" borderId="106" xfId="0" applyNumberFormat="1" applyFont="1" applyFill="1" applyBorder="1">
      <alignment vertical="center"/>
    </xf>
    <xf numFmtId="178" fontId="8" fillId="3" borderId="106" xfId="0" applyNumberFormat="1" applyFont="1" applyFill="1" applyBorder="1">
      <alignment vertical="center"/>
    </xf>
    <xf numFmtId="9" fontId="8" fillId="0" borderId="115" xfId="3" applyFont="1" applyBorder="1">
      <alignment vertical="center"/>
    </xf>
    <xf numFmtId="9" fontId="8" fillId="0" borderId="116" xfId="3" applyFont="1" applyBorder="1">
      <alignment vertical="center"/>
    </xf>
    <xf numFmtId="41" fontId="8" fillId="3" borderId="119" xfId="0" applyNumberFormat="1" applyFont="1" applyFill="1" applyBorder="1">
      <alignment vertical="center"/>
    </xf>
    <xf numFmtId="180" fontId="8" fillId="3" borderId="121" xfId="1" applyNumberFormat="1" applyFont="1" applyFill="1" applyBorder="1" applyAlignment="1">
      <alignment horizontal="center" vertical="center"/>
    </xf>
    <xf numFmtId="180" fontId="8" fillId="0" borderId="96" xfId="0" applyNumberFormat="1" applyFont="1" applyBorder="1" applyAlignment="1">
      <alignment horizontal="center" vertical="center"/>
    </xf>
    <xf numFmtId="180" fontId="8" fillId="0" borderId="122" xfId="0" applyNumberFormat="1" applyFont="1" applyBorder="1" applyAlignment="1">
      <alignment horizontal="center" vertical="center"/>
    </xf>
    <xf numFmtId="180" fontId="8" fillId="0" borderId="97" xfId="0" applyNumberFormat="1" applyFont="1" applyBorder="1" applyAlignment="1">
      <alignment horizontal="center" vertical="center"/>
    </xf>
    <xf numFmtId="180" fontId="8" fillId="3" borderId="123" xfId="1" applyNumberFormat="1" applyFont="1" applyFill="1" applyBorder="1" applyAlignment="1">
      <alignment horizontal="center" vertical="center"/>
    </xf>
    <xf numFmtId="180" fontId="8" fillId="0" borderId="124" xfId="0" applyNumberFormat="1" applyFont="1" applyBorder="1" applyAlignment="1">
      <alignment horizontal="center" vertical="center"/>
    </xf>
    <xf numFmtId="180" fontId="8" fillId="3" borderId="125" xfId="1" applyNumberFormat="1" applyFont="1" applyFill="1" applyBorder="1" applyAlignment="1">
      <alignment horizontal="center" vertical="center"/>
    </xf>
    <xf numFmtId="9" fontId="8" fillId="0" borderId="95" xfId="3" applyFont="1" applyFill="1" applyBorder="1" applyAlignment="1">
      <alignment horizontal="center" vertical="center"/>
    </xf>
    <xf numFmtId="180" fontId="8" fillId="3" borderId="126" xfId="1" applyNumberFormat="1" applyFont="1" applyFill="1" applyBorder="1" applyAlignment="1">
      <alignment horizontal="center" vertical="center"/>
    </xf>
    <xf numFmtId="180" fontId="8" fillId="3" borderId="95" xfId="1" applyNumberFormat="1" applyFont="1" applyFill="1" applyBorder="1" applyAlignment="1">
      <alignment horizontal="center" vertical="center"/>
    </xf>
    <xf numFmtId="180" fontId="8" fillId="0" borderId="122" xfId="2" applyNumberFormat="1" applyFont="1" applyBorder="1" applyAlignment="1">
      <alignment horizontal="center" vertical="center"/>
    </xf>
    <xf numFmtId="180" fontId="8" fillId="0" borderId="96" xfId="2" applyNumberFormat="1" applyFont="1" applyBorder="1" applyAlignment="1">
      <alignment horizontal="center" vertical="center"/>
    </xf>
    <xf numFmtId="180" fontId="8" fillId="0" borderId="127" xfId="2" applyNumberFormat="1" applyFont="1" applyBorder="1" applyAlignment="1">
      <alignment horizontal="center" vertical="center"/>
    </xf>
    <xf numFmtId="176" fontId="8" fillId="3" borderId="129" xfId="1" applyNumberFormat="1" applyFont="1" applyFill="1" applyBorder="1" applyAlignment="1">
      <alignment horizontal="center" vertical="center"/>
    </xf>
    <xf numFmtId="0" fontId="8" fillId="0" borderId="128" xfId="0" applyFont="1" applyBorder="1" applyAlignment="1">
      <alignment horizontal="center" vertical="center"/>
    </xf>
    <xf numFmtId="0" fontId="8" fillId="0" borderId="128" xfId="0" applyFont="1" applyBorder="1" applyAlignment="1">
      <alignment horizontal="left" vertical="center" indent="1"/>
    </xf>
    <xf numFmtId="0" fontId="8" fillId="0" borderId="131" xfId="0" applyFont="1" applyBorder="1" applyAlignment="1">
      <alignment horizontal="center" vertical="center"/>
    </xf>
    <xf numFmtId="176" fontId="8" fillId="3" borderId="132" xfId="1" applyNumberFormat="1" applyFont="1" applyFill="1" applyBorder="1" applyAlignment="1">
      <alignment horizontal="center" vertical="center"/>
    </xf>
    <xf numFmtId="176" fontId="8" fillId="3" borderId="134" xfId="1" applyNumberFormat="1" applyFont="1" applyFill="1" applyBorder="1" applyAlignment="1">
      <alignment horizontal="center" vertical="center"/>
    </xf>
    <xf numFmtId="176" fontId="8" fillId="0" borderId="132" xfId="1" applyNumberFormat="1" applyFont="1" applyFill="1" applyBorder="1" applyAlignment="1">
      <alignment horizontal="center" vertical="center"/>
    </xf>
    <xf numFmtId="176" fontId="8" fillId="3" borderId="135" xfId="1" applyNumberFormat="1" applyFont="1" applyFill="1" applyBorder="1" applyAlignment="1">
      <alignment horizontal="center" vertical="center"/>
    </xf>
    <xf numFmtId="0" fontId="18" fillId="5" borderId="137" xfId="0" quotePrefix="1" applyFont="1" applyFill="1" applyBorder="1" applyAlignment="1">
      <alignment horizontal="left" vertical="center"/>
    </xf>
    <xf numFmtId="41" fontId="8" fillId="3" borderId="139" xfId="0" applyNumberFormat="1" applyFont="1" applyFill="1" applyBorder="1">
      <alignment vertical="center"/>
    </xf>
    <xf numFmtId="41" fontId="8" fillId="4" borderId="140" xfId="0" applyNumberFormat="1" applyFont="1" applyFill="1" applyBorder="1">
      <alignment vertical="center"/>
    </xf>
    <xf numFmtId="41" fontId="8" fillId="4" borderId="140" xfId="2" applyNumberFormat="1" applyFont="1" applyFill="1" applyBorder="1">
      <alignment vertical="center"/>
    </xf>
    <xf numFmtId="41" fontId="8" fillId="4" borderId="141" xfId="0" applyNumberFormat="1" applyFont="1" applyFill="1" applyBorder="1">
      <alignment vertical="center"/>
    </xf>
    <xf numFmtId="180" fontId="8" fillId="4" borderId="140" xfId="0" applyNumberFormat="1" applyFont="1" applyFill="1" applyBorder="1">
      <alignment vertical="center"/>
    </xf>
    <xf numFmtId="178" fontId="8" fillId="3" borderId="143" xfId="0" applyNumberFormat="1" applyFont="1" applyFill="1" applyBorder="1">
      <alignment vertical="center"/>
    </xf>
    <xf numFmtId="178" fontId="8" fillId="4" borderId="140" xfId="0" applyNumberFormat="1" applyFont="1" applyFill="1" applyBorder="1">
      <alignment vertical="center"/>
    </xf>
    <xf numFmtId="180" fontId="8" fillId="3" borderId="143" xfId="0" applyNumberFormat="1" applyFont="1" applyFill="1" applyBorder="1">
      <alignment vertical="center"/>
    </xf>
    <xf numFmtId="180" fontId="8" fillId="4" borderId="144" xfId="0" applyNumberFormat="1" applyFont="1" applyFill="1" applyBorder="1">
      <alignment vertical="center"/>
    </xf>
    <xf numFmtId="41" fontId="8" fillId="3" borderId="146" xfId="0" applyNumberFormat="1" applyFont="1" applyFill="1" applyBorder="1">
      <alignment vertical="center"/>
    </xf>
    <xf numFmtId="41" fontId="8" fillId="3" borderId="147" xfId="0" applyNumberFormat="1" applyFont="1" applyFill="1" applyBorder="1">
      <alignment vertical="center"/>
    </xf>
    <xf numFmtId="41" fontId="8" fillId="4" borderId="148" xfId="0" applyNumberFormat="1" applyFont="1" applyFill="1" applyBorder="1">
      <alignment vertical="center"/>
    </xf>
    <xf numFmtId="177" fontId="3" fillId="2" borderId="151" xfId="0" applyNumberFormat="1" applyFont="1" applyFill="1" applyBorder="1" applyAlignment="1">
      <alignment horizontal="center" vertical="center"/>
    </xf>
    <xf numFmtId="177" fontId="3" fillId="2" borderId="82" xfId="0" applyNumberFormat="1" applyFont="1" applyFill="1" applyBorder="1" applyAlignment="1">
      <alignment horizontal="center" vertical="center"/>
    </xf>
    <xf numFmtId="179" fontId="9" fillId="4" borderId="156" xfId="0" applyNumberFormat="1" applyFont="1" applyFill="1" applyBorder="1" applyAlignment="1">
      <alignment horizontal="center" vertical="center"/>
    </xf>
    <xf numFmtId="179" fontId="9" fillId="4" borderId="82" xfId="0" applyNumberFormat="1" applyFont="1" applyFill="1" applyBorder="1" applyAlignment="1">
      <alignment horizontal="center" vertical="center"/>
    </xf>
    <xf numFmtId="0" fontId="9" fillId="0" borderId="158" xfId="0" applyFont="1" applyBorder="1" applyAlignment="1">
      <alignment horizontal="center" vertical="center"/>
    </xf>
    <xf numFmtId="179" fontId="9" fillId="4" borderId="158" xfId="0" applyNumberFormat="1" applyFont="1" applyFill="1" applyBorder="1" applyAlignment="1">
      <alignment horizontal="center" vertical="center"/>
    </xf>
    <xf numFmtId="176" fontId="5" fillId="3" borderId="161" xfId="1" applyNumberFormat="1" applyFont="1" applyFill="1" applyBorder="1" applyAlignment="1">
      <alignment horizontal="center" vertical="center"/>
    </xf>
    <xf numFmtId="0" fontId="5" fillId="0" borderId="128" xfId="0" applyFont="1" applyBorder="1" applyAlignment="1">
      <alignment horizontal="center" vertical="center"/>
    </xf>
    <xf numFmtId="0" fontId="5" fillId="0" borderId="137" xfId="0" applyFont="1" applyBorder="1" applyAlignment="1">
      <alignment horizontal="center" vertical="center"/>
    </xf>
    <xf numFmtId="0" fontId="5" fillId="0" borderId="130" xfId="0" applyFont="1" applyBorder="1" applyAlignment="1">
      <alignment horizontal="center" vertical="center"/>
    </xf>
    <xf numFmtId="0" fontId="5" fillId="0" borderId="138" xfId="0" applyFont="1" applyBorder="1" applyAlignment="1">
      <alignment horizontal="center" vertical="center"/>
    </xf>
    <xf numFmtId="0" fontId="5" fillId="3" borderId="162" xfId="0" applyFont="1" applyFill="1" applyBorder="1" applyAlignment="1">
      <alignment horizontal="center" vertical="center"/>
    </xf>
    <xf numFmtId="177" fontId="5" fillId="3" borderId="167" xfId="0" applyNumberFormat="1" applyFont="1" applyFill="1" applyBorder="1" applyAlignment="1">
      <alignment horizontal="center" vertical="center"/>
    </xf>
    <xf numFmtId="177" fontId="5" fillId="4" borderId="164" xfId="0" applyNumberFormat="1" applyFont="1" applyFill="1" applyBorder="1" applyAlignment="1">
      <alignment horizontal="center" vertical="center"/>
    </xf>
    <xf numFmtId="177" fontId="5" fillId="4" borderId="165" xfId="0" applyNumberFormat="1" applyFont="1" applyFill="1" applyBorder="1" applyAlignment="1">
      <alignment horizontal="center" vertical="center"/>
    </xf>
    <xf numFmtId="177" fontId="5" fillId="4" borderId="166" xfId="0" applyNumberFormat="1" applyFont="1" applyFill="1" applyBorder="1" applyAlignment="1">
      <alignment horizontal="center" vertical="center"/>
    </xf>
    <xf numFmtId="179" fontId="0" fillId="4" borderId="168" xfId="0" applyNumberFormat="1" applyFill="1" applyBorder="1" applyAlignment="1">
      <alignment horizontal="center" vertical="center"/>
    </xf>
    <xf numFmtId="176" fontId="5" fillId="3" borderId="129" xfId="1" applyNumberFormat="1" applyFont="1" applyFill="1" applyBorder="1" applyAlignment="1">
      <alignment horizontal="center" vertical="center"/>
    </xf>
    <xf numFmtId="177" fontId="5" fillId="3" borderId="172" xfId="0" applyNumberFormat="1" applyFont="1" applyFill="1" applyBorder="1" applyAlignment="1">
      <alignment horizontal="center" vertical="center"/>
    </xf>
    <xf numFmtId="177" fontId="5" fillId="3" borderId="175" xfId="0" applyNumberFormat="1" applyFont="1" applyFill="1" applyBorder="1" applyAlignment="1">
      <alignment horizontal="center" vertical="center"/>
    </xf>
    <xf numFmtId="177" fontId="5" fillId="3" borderId="176" xfId="0" applyNumberFormat="1" applyFont="1" applyFill="1" applyBorder="1" applyAlignment="1">
      <alignment horizontal="center" vertical="center"/>
    </xf>
    <xf numFmtId="177" fontId="5" fillId="3" borderId="177" xfId="0" applyNumberFormat="1" applyFont="1" applyFill="1" applyBorder="1" applyAlignment="1">
      <alignment horizontal="center" vertical="center"/>
    </xf>
    <xf numFmtId="0" fontId="5" fillId="0" borderId="171" xfId="0" applyFont="1" applyBorder="1" applyAlignment="1">
      <alignment horizontal="center" vertical="center"/>
    </xf>
    <xf numFmtId="177" fontId="5" fillId="0" borderId="179" xfId="0" applyNumberFormat="1" applyFont="1" applyFill="1" applyBorder="1" applyAlignment="1">
      <alignment horizontal="center" vertical="center"/>
    </xf>
    <xf numFmtId="177" fontId="5" fillId="0" borderId="180" xfId="0" applyNumberFormat="1" applyFont="1" applyFill="1" applyBorder="1" applyAlignment="1">
      <alignment horizontal="center" vertical="center"/>
    </xf>
    <xf numFmtId="177" fontId="5" fillId="0" borderId="181" xfId="0" applyNumberFormat="1" applyFont="1" applyFill="1" applyBorder="1" applyAlignment="1">
      <alignment horizontal="center" vertical="center"/>
    </xf>
    <xf numFmtId="177" fontId="5" fillId="0" borderId="89" xfId="0" applyNumberFormat="1" applyFont="1" applyFill="1" applyBorder="1" applyAlignment="1">
      <alignment horizontal="center" vertical="center"/>
    </xf>
    <xf numFmtId="180" fontId="5" fillId="3" borderId="175" xfId="0" applyNumberFormat="1" applyFont="1" applyFill="1" applyBorder="1" applyAlignment="1">
      <alignment horizontal="center" vertical="center"/>
    </xf>
    <xf numFmtId="180" fontId="5" fillId="3" borderId="109" xfId="0" applyNumberFormat="1" applyFont="1" applyFill="1" applyBorder="1" applyAlignment="1">
      <alignment horizontal="center" vertical="center"/>
    </xf>
    <xf numFmtId="180" fontId="5" fillId="5" borderId="37" xfId="0" applyNumberFormat="1" applyFont="1" applyFill="1" applyBorder="1" applyAlignment="1">
      <alignment horizontal="center" vertical="center"/>
    </xf>
    <xf numFmtId="180" fontId="5" fillId="5" borderId="0" xfId="0" applyNumberFormat="1" applyFont="1" applyFill="1" applyBorder="1" applyAlignment="1">
      <alignment horizontal="center" vertical="center"/>
    </xf>
    <xf numFmtId="180" fontId="5" fillId="5" borderId="19" xfId="0" applyNumberFormat="1" applyFont="1" applyFill="1" applyBorder="1" applyAlignment="1">
      <alignment horizontal="center" vertical="center"/>
    </xf>
    <xf numFmtId="177" fontId="5" fillId="0" borderId="183" xfId="0" applyNumberFormat="1" applyFont="1" applyFill="1" applyBorder="1" applyAlignment="1">
      <alignment horizontal="center" vertical="center"/>
    </xf>
    <xf numFmtId="177" fontId="5" fillId="3" borderId="109" xfId="0" applyNumberFormat="1" applyFont="1" applyFill="1" applyBorder="1" applyAlignment="1">
      <alignment horizontal="center" vertical="center"/>
    </xf>
    <xf numFmtId="0" fontId="5" fillId="3" borderId="154" xfId="0" applyFont="1" applyFill="1" applyBorder="1" applyAlignment="1">
      <alignment horizontal="center" vertical="center"/>
    </xf>
    <xf numFmtId="176" fontId="5" fillId="3" borderId="182" xfId="1" applyNumberFormat="1" applyFont="1" applyFill="1" applyBorder="1" applyAlignment="1">
      <alignment horizontal="center" vertical="center"/>
    </xf>
    <xf numFmtId="0" fontId="5" fillId="0" borderId="120" xfId="0" applyFont="1" applyBorder="1" applyAlignment="1">
      <alignment horizontal="center" vertical="center"/>
    </xf>
    <xf numFmtId="176" fontId="5" fillId="3" borderId="21" xfId="1" applyNumberFormat="1" applyFont="1" applyFill="1" applyBorder="1" applyAlignment="1">
      <alignment horizontal="center" vertical="center"/>
    </xf>
    <xf numFmtId="180" fontId="5" fillId="3" borderId="57" xfId="0" applyNumberFormat="1" applyFont="1" applyFill="1" applyBorder="1" applyAlignment="1">
      <alignment horizontal="center" vertical="center"/>
    </xf>
    <xf numFmtId="180" fontId="5" fillId="3" borderId="58" xfId="0" applyNumberFormat="1" applyFont="1" applyFill="1" applyBorder="1" applyAlignment="1">
      <alignment horizontal="center" vertical="center"/>
    </xf>
    <xf numFmtId="180" fontId="5" fillId="3" borderId="27" xfId="0" applyNumberFormat="1" applyFont="1" applyFill="1" applyBorder="1" applyAlignment="1">
      <alignment horizontal="center" vertical="center"/>
    </xf>
    <xf numFmtId="180" fontId="5" fillId="3" borderId="59" xfId="0" applyNumberFormat="1" applyFont="1" applyFill="1" applyBorder="1" applyAlignment="1">
      <alignment horizontal="center" vertical="center"/>
    </xf>
    <xf numFmtId="177" fontId="5" fillId="3" borderId="185" xfId="0" applyNumberFormat="1" applyFont="1" applyFill="1" applyBorder="1" applyAlignment="1">
      <alignment horizontal="center" vertical="center"/>
    </xf>
    <xf numFmtId="176" fontId="5" fillId="3" borderId="56" xfId="1" applyNumberFormat="1" applyFont="1" applyFill="1" applyBorder="1" applyAlignment="1">
      <alignment horizontal="center" vertical="center"/>
    </xf>
    <xf numFmtId="180" fontId="5" fillId="3" borderId="76" xfId="0" applyNumberFormat="1" applyFont="1" applyFill="1" applyBorder="1" applyAlignment="1">
      <alignment horizontal="center" vertical="center"/>
    </xf>
    <xf numFmtId="180" fontId="5" fillId="3" borderId="80" xfId="0" applyNumberFormat="1" applyFont="1" applyFill="1" applyBorder="1" applyAlignment="1">
      <alignment horizontal="center" vertical="center"/>
    </xf>
    <xf numFmtId="180" fontId="5" fillId="3" borderId="84" xfId="0" applyNumberFormat="1" applyFont="1" applyFill="1" applyBorder="1" applyAlignment="1">
      <alignment horizontal="center" vertical="center"/>
    </xf>
    <xf numFmtId="176" fontId="8" fillId="3" borderId="182" xfId="1" applyNumberFormat="1" applyFont="1" applyFill="1" applyBorder="1" applyAlignment="1">
      <alignment horizontal="center" vertical="center"/>
    </xf>
    <xf numFmtId="179" fontId="8" fillId="3" borderId="182" xfId="0" applyNumberFormat="1" applyFont="1" applyFill="1" applyBorder="1" applyAlignment="1">
      <alignment horizontal="center" vertical="center"/>
    </xf>
    <xf numFmtId="179" fontId="17" fillId="2" borderId="186" xfId="0" applyNumberFormat="1" applyFont="1" applyFill="1" applyBorder="1" applyAlignment="1">
      <alignment horizontal="center" vertical="center"/>
    </xf>
    <xf numFmtId="179" fontId="9" fillId="3" borderId="182" xfId="0" applyNumberFormat="1" applyFont="1" applyFill="1" applyBorder="1" applyAlignment="1">
      <alignment horizontal="center" vertical="center"/>
    </xf>
    <xf numFmtId="179" fontId="9" fillId="3" borderId="109" xfId="0" applyNumberFormat="1" applyFont="1" applyFill="1" applyBorder="1" applyAlignment="1">
      <alignment horizontal="center" vertical="center"/>
    </xf>
    <xf numFmtId="177" fontId="3" fillId="2" borderId="187" xfId="0" applyNumberFormat="1" applyFont="1" applyFill="1" applyBorder="1" applyAlignment="1">
      <alignment horizontal="center" vertical="center"/>
    </xf>
    <xf numFmtId="177" fontId="3" fillId="2" borderId="188" xfId="0" applyNumberFormat="1" applyFont="1" applyFill="1" applyBorder="1" applyAlignment="1">
      <alignment horizontal="center" vertical="center"/>
    </xf>
    <xf numFmtId="177" fontId="3" fillId="2" borderId="189" xfId="0" applyNumberFormat="1" applyFont="1" applyFill="1" applyBorder="1" applyAlignment="1">
      <alignment horizontal="center" vertical="center"/>
    </xf>
    <xf numFmtId="177" fontId="3" fillId="2" borderId="190" xfId="0" applyNumberFormat="1" applyFont="1" applyFill="1" applyBorder="1" applyAlignment="1">
      <alignment horizontal="center" vertical="center"/>
    </xf>
    <xf numFmtId="177" fontId="5" fillId="4" borderId="120" xfId="0" applyNumberFormat="1" applyFont="1" applyFill="1" applyBorder="1" applyAlignment="1">
      <alignment horizontal="center" vertical="center"/>
    </xf>
    <xf numFmtId="176" fontId="8" fillId="0" borderId="192" xfId="1" applyNumberFormat="1" applyFont="1" applyFill="1" applyBorder="1" applyAlignment="1">
      <alignment horizontal="center" vertical="center"/>
    </xf>
    <xf numFmtId="177" fontId="5" fillId="4" borderId="118" xfId="0" applyNumberFormat="1" applyFont="1" applyFill="1" applyBorder="1" applyAlignment="1">
      <alignment horizontal="center" vertical="center"/>
    </xf>
    <xf numFmtId="177" fontId="5" fillId="0" borderId="193" xfId="0" applyNumberFormat="1" applyFont="1" applyFill="1" applyBorder="1" applyAlignment="1">
      <alignment horizontal="center" vertical="center"/>
    </xf>
    <xf numFmtId="176" fontId="5" fillId="3" borderId="109" xfId="1" applyNumberFormat="1" applyFont="1" applyFill="1" applyBorder="1" applyAlignment="1">
      <alignment horizontal="center" vertical="center"/>
    </xf>
    <xf numFmtId="177" fontId="5" fillId="3" borderId="182" xfId="0" applyNumberFormat="1" applyFont="1" applyFill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177" fontId="17" fillId="2" borderId="172" xfId="1" applyNumberFormat="1" applyFont="1" applyFill="1" applyBorder="1" applyAlignment="1">
      <alignment horizontal="center" vertical="center"/>
    </xf>
    <xf numFmtId="177" fontId="5" fillId="3" borderId="172" xfId="1" applyNumberFormat="1" applyFont="1" applyFill="1" applyBorder="1" applyAlignment="1">
      <alignment horizontal="center" vertical="center"/>
    </xf>
    <xf numFmtId="0" fontId="8" fillId="3" borderId="120" xfId="0" applyFont="1" applyFill="1" applyBorder="1" applyAlignment="1">
      <alignment horizontal="center" vertical="center"/>
    </xf>
    <xf numFmtId="179" fontId="17" fillId="2" borderId="120" xfId="0" applyNumberFormat="1" applyFont="1" applyFill="1" applyBorder="1" applyAlignment="1">
      <alignment horizontal="center" vertical="center"/>
    </xf>
    <xf numFmtId="177" fontId="3" fillId="2" borderId="197" xfId="0" applyNumberFormat="1" applyFont="1" applyFill="1" applyBorder="1" applyAlignment="1">
      <alignment horizontal="center" vertical="center"/>
    </xf>
    <xf numFmtId="177" fontId="3" fillId="2" borderId="198" xfId="0" applyNumberFormat="1" applyFont="1" applyFill="1" applyBorder="1" applyAlignment="1">
      <alignment horizontal="center" vertical="center"/>
    </xf>
    <xf numFmtId="41" fontId="9" fillId="4" borderId="98" xfId="2" applyFont="1" applyFill="1" applyBorder="1">
      <alignment vertical="center"/>
    </xf>
    <xf numFmtId="41" fontId="9" fillId="4" borderId="99" xfId="2" applyFont="1" applyFill="1" applyBorder="1">
      <alignment vertical="center"/>
    </xf>
    <xf numFmtId="41" fontId="9" fillId="0" borderId="0" xfId="2" applyFont="1" applyBorder="1">
      <alignment vertical="center"/>
    </xf>
    <xf numFmtId="41" fontId="9" fillId="4" borderId="100" xfId="2" applyFont="1" applyFill="1" applyBorder="1">
      <alignment vertical="center"/>
    </xf>
    <xf numFmtId="41" fontId="9" fillId="3" borderId="98" xfId="2" applyFont="1" applyFill="1" applyBorder="1">
      <alignment vertical="center"/>
    </xf>
    <xf numFmtId="41" fontId="9" fillId="3" borderId="88" xfId="2" applyFont="1" applyFill="1" applyBorder="1">
      <alignment vertical="center"/>
    </xf>
    <xf numFmtId="177" fontId="5" fillId="3" borderId="32" xfId="0" applyNumberFormat="1" applyFont="1" applyFill="1" applyBorder="1" applyAlignment="1">
      <alignment horizontal="center" vertical="center"/>
    </xf>
    <xf numFmtId="186" fontId="8" fillId="3" borderId="52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181" fontId="5" fillId="0" borderId="12" xfId="0" applyNumberFormat="1" applyFont="1" applyFill="1" applyBorder="1" applyAlignment="1">
      <alignment horizontal="center" vertical="center"/>
    </xf>
    <xf numFmtId="0" fontId="8" fillId="0" borderId="163" xfId="0" applyFont="1" applyBorder="1" applyAlignment="1">
      <alignment horizontal="center" vertical="center"/>
    </xf>
    <xf numFmtId="178" fontId="8" fillId="0" borderId="122" xfId="0" applyNumberFormat="1" applyFont="1" applyBorder="1" applyAlignment="1">
      <alignment horizontal="center" vertical="center"/>
    </xf>
    <xf numFmtId="180" fontId="8" fillId="4" borderId="141" xfId="0" applyNumberFormat="1" applyFont="1" applyFill="1" applyBorder="1">
      <alignment vertical="center"/>
    </xf>
    <xf numFmtId="178" fontId="8" fillId="0" borderId="124" xfId="0" applyNumberFormat="1" applyFont="1" applyBorder="1" applyAlignment="1">
      <alignment horizontal="center" vertical="center"/>
    </xf>
    <xf numFmtId="178" fontId="8" fillId="4" borderId="144" xfId="0" applyNumberFormat="1" applyFont="1" applyFill="1" applyBorder="1">
      <alignment vertical="center"/>
    </xf>
    <xf numFmtId="41" fontId="8" fillId="4" borderId="76" xfId="2" applyFont="1" applyFill="1" applyBorder="1" applyAlignment="1">
      <alignment horizontal="center" vertical="center"/>
    </xf>
    <xf numFmtId="41" fontId="8" fillId="0" borderId="0" xfId="2" applyFont="1" applyAlignment="1">
      <alignment horizontal="center" vertical="center"/>
    </xf>
    <xf numFmtId="41" fontId="8" fillId="4" borderId="57" xfId="2" applyFont="1" applyFill="1" applyBorder="1" applyAlignment="1">
      <alignment horizontal="center" vertical="center"/>
    </xf>
    <xf numFmtId="41" fontId="8" fillId="4" borderId="60" xfId="2" applyFont="1" applyFill="1" applyBorder="1" applyAlignment="1">
      <alignment horizontal="center" vertical="center"/>
    </xf>
    <xf numFmtId="41" fontId="8" fillId="3" borderId="77" xfId="2" applyFont="1" applyFill="1" applyBorder="1" applyAlignment="1">
      <alignment horizontal="center" vertical="center"/>
    </xf>
    <xf numFmtId="41" fontId="8" fillId="3" borderId="32" xfId="2" applyFont="1" applyFill="1" applyBorder="1" applyAlignment="1">
      <alignment horizontal="center" vertical="center"/>
    </xf>
    <xf numFmtId="41" fontId="8" fillId="4" borderId="77" xfId="2" applyFont="1" applyFill="1" applyBorder="1" applyAlignment="1">
      <alignment horizontal="center" vertical="center"/>
    </xf>
    <xf numFmtId="0" fontId="0" fillId="0" borderId="91" xfId="0" quotePrefix="1" applyBorder="1" applyAlignment="1">
      <alignment horizontal="left" vertical="center"/>
    </xf>
    <xf numFmtId="0" fontId="0" fillId="5" borderId="92" xfId="0" applyFill="1" applyBorder="1" applyAlignment="1">
      <alignment horizontal="left" vertical="center"/>
    </xf>
    <xf numFmtId="0" fontId="0" fillId="5" borderId="91" xfId="0" applyFill="1" applyBorder="1" applyAlignment="1">
      <alignment horizontal="left" vertical="center"/>
    </xf>
    <xf numFmtId="41" fontId="9" fillId="4" borderId="77" xfId="2" applyFont="1" applyFill="1" applyBorder="1">
      <alignment vertical="center"/>
    </xf>
    <xf numFmtId="41" fontId="9" fillId="4" borderId="76" xfId="2" applyFont="1" applyFill="1" applyBorder="1">
      <alignment vertical="center"/>
    </xf>
    <xf numFmtId="41" fontId="9" fillId="0" borderId="80" xfId="2" applyFont="1" applyFill="1" applyBorder="1">
      <alignment vertical="center"/>
    </xf>
    <xf numFmtId="41" fontId="9" fillId="4" borderId="60" xfId="2" applyFont="1" applyFill="1" applyBorder="1">
      <alignment vertical="center"/>
    </xf>
    <xf numFmtId="41" fontId="9" fillId="0" borderId="61" xfId="2" applyFont="1" applyFill="1" applyBorder="1">
      <alignment vertical="center"/>
    </xf>
    <xf numFmtId="176" fontId="8" fillId="3" borderId="168" xfId="1" applyNumberFormat="1" applyFont="1" applyFill="1" applyBorder="1" applyAlignment="1">
      <alignment horizontal="center" vertical="center"/>
    </xf>
    <xf numFmtId="179" fontId="8" fillId="3" borderId="168" xfId="0" applyNumberFormat="1" applyFont="1" applyFill="1" applyBorder="1" applyAlignment="1">
      <alignment horizontal="center" vertical="center"/>
    </xf>
    <xf numFmtId="177" fontId="3" fillId="2" borderId="208" xfId="0" applyNumberFormat="1" applyFont="1" applyFill="1" applyBorder="1" applyAlignment="1">
      <alignment horizontal="center" vertical="center"/>
    </xf>
    <xf numFmtId="177" fontId="3" fillId="2" borderId="209" xfId="0" applyNumberFormat="1" applyFont="1" applyFill="1" applyBorder="1" applyAlignment="1">
      <alignment horizontal="center" vertical="center"/>
    </xf>
    <xf numFmtId="177" fontId="3" fillId="2" borderId="210" xfId="0" applyNumberFormat="1" applyFont="1" applyFill="1" applyBorder="1" applyAlignment="1">
      <alignment horizontal="center" vertical="center"/>
    </xf>
    <xf numFmtId="177" fontId="3" fillId="2" borderId="211" xfId="0" applyNumberFormat="1" applyFont="1" applyFill="1" applyBorder="1" applyAlignment="1">
      <alignment horizontal="center" vertical="center"/>
    </xf>
    <xf numFmtId="176" fontId="5" fillId="3" borderId="132" xfId="1" applyNumberFormat="1" applyFont="1" applyFill="1" applyBorder="1" applyAlignment="1">
      <alignment horizontal="center" vertical="center"/>
    </xf>
    <xf numFmtId="180" fontId="5" fillId="0" borderId="179" xfId="0" applyNumberFormat="1" applyFont="1" applyFill="1" applyBorder="1" applyAlignment="1">
      <alignment horizontal="center" vertical="center"/>
    </xf>
    <xf numFmtId="180" fontId="5" fillId="0" borderId="89" xfId="0" applyNumberFormat="1" applyFont="1" applyFill="1" applyBorder="1" applyAlignment="1">
      <alignment horizontal="center" vertical="center"/>
    </xf>
    <xf numFmtId="180" fontId="5" fillId="5" borderId="179" xfId="0" applyNumberFormat="1" applyFont="1" applyFill="1" applyBorder="1" applyAlignment="1">
      <alignment horizontal="center" vertical="center"/>
    </xf>
    <xf numFmtId="180" fontId="5" fillId="5" borderId="89" xfId="0" applyNumberFormat="1" applyFont="1" applyFill="1" applyBorder="1" applyAlignment="1">
      <alignment horizontal="center" vertical="center"/>
    </xf>
    <xf numFmtId="177" fontId="5" fillId="0" borderId="11" xfId="2" applyNumberFormat="1" applyFont="1" applyFill="1" applyBorder="1" applyAlignment="1">
      <alignment horizontal="center" vertical="center"/>
    </xf>
    <xf numFmtId="177" fontId="5" fillId="0" borderId="0" xfId="2" applyNumberFormat="1" applyFont="1" applyFill="1" applyBorder="1" applyAlignment="1">
      <alignment horizontal="center" vertical="center"/>
    </xf>
    <xf numFmtId="0" fontId="5" fillId="0" borderId="133" xfId="0" applyFont="1" applyBorder="1" applyAlignment="1">
      <alignment horizontal="center" vertical="center"/>
    </xf>
    <xf numFmtId="177" fontId="5" fillId="0" borderId="117" xfId="0" applyNumberFormat="1" applyFont="1" applyFill="1" applyBorder="1" applyAlignment="1">
      <alignment horizontal="center" vertical="center"/>
    </xf>
    <xf numFmtId="0" fontId="5" fillId="0" borderId="213" xfId="0" applyFont="1" applyBorder="1" applyAlignment="1">
      <alignment horizontal="center" vertical="center"/>
    </xf>
    <xf numFmtId="177" fontId="5" fillId="0" borderId="88" xfId="0" applyNumberFormat="1" applyFont="1" applyFill="1" applyBorder="1" applyAlignment="1">
      <alignment horizontal="center" vertical="center"/>
    </xf>
    <xf numFmtId="0" fontId="5" fillId="0" borderId="214" xfId="0" applyFont="1" applyBorder="1" applyAlignment="1">
      <alignment horizontal="center" vertical="center"/>
    </xf>
    <xf numFmtId="0" fontId="0" fillId="3" borderId="88" xfId="0" applyFill="1" applyBorder="1" applyAlignment="1">
      <alignment horizontal="center" vertical="center"/>
    </xf>
    <xf numFmtId="41" fontId="9" fillId="3" borderId="87" xfId="2" applyFont="1" applyFill="1" applyBorder="1">
      <alignment vertical="center"/>
    </xf>
    <xf numFmtId="41" fontId="9" fillId="3" borderId="216" xfId="2" applyFont="1" applyFill="1" applyBorder="1">
      <alignment vertical="center"/>
    </xf>
    <xf numFmtId="41" fontId="0" fillId="0" borderId="0" xfId="0" applyNumberFormat="1">
      <alignment vertical="center"/>
    </xf>
    <xf numFmtId="177" fontId="5" fillId="6" borderId="11" xfId="0" applyNumberFormat="1" applyFont="1" applyFill="1" applyBorder="1" applyAlignment="1">
      <alignment horizontal="center" vertical="center"/>
    </xf>
    <xf numFmtId="177" fontId="5" fillId="6" borderId="38" xfId="0" applyNumberFormat="1" applyFont="1" applyFill="1" applyBorder="1" applyAlignment="1">
      <alignment horizontal="center" vertical="center"/>
    </xf>
    <xf numFmtId="177" fontId="5" fillId="6" borderId="16" xfId="0" applyNumberFormat="1" applyFont="1" applyFill="1" applyBorder="1" applyAlignment="1">
      <alignment horizontal="center" vertical="center"/>
    </xf>
    <xf numFmtId="181" fontId="5" fillId="6" borderId="16" xfId="0" applyNumberFormat="1" applyFont="1" applyFill="1" applyBorder="1" applyAlignment="1">
      <alignment horizontal="center" vertical="center"/>
    </xf>
    <xf numFmtId="41" fontId="8" fillId="6" borderId="0" xfId="2" applyFont="1" applyFill="1" applyAlignment="1">
      <alignment horizontal="center" vertical="center"/>
    </xf>
    <xf numFmtId="41" fontId="8" fillId="6" borderId="32" xfId="2" applyFont="1" applyFill="1" applyBorder="1" applyAlignment="1">
      <alignment horizontal="center" vertical="center"/>
    </xf>
    <xf numFmtId="177" fontId="5" fillId="6" borderId="179" xfId="0" applyNumberFormat="1" applyFont="1" applyFill="1" applyBorder="1" applyAlignment="1">
      <alignment horizontal="center" vertical="center"/>
    </xf>
    <xf numFmtId="177" fontId="5" fillId="6" borderId="172" xfId="0" applyNumberFormat="1" applyFont="1" applyFill="1" applyBorder="1" applyAlignment="1">
      <alignment horizontal="center" vertical="center"/>
    </xf>
    <xf numFmtId="177" fontId="9" fillId="6" borderId="61" xfId="0" applyNumberFormat="1" applyFont="1" applyFill="1" applyBorder="1" applyAlignment="1">
      <alignment horizontal="center" vertical="center"/>
    </xf>
    <xf numFmtId="41" fontId="9" fillId="6" borderId="79" xfId="2" applyFont="1" applyFill="1" applyBorder="1">
      <alignment vertical="center"/>
    </xf>
    <xf numFmtId="41" fontId="9" fillId="6" borderId="80" xfId="2" applyFont="1" applyFill="1" applyBorder="1">
      <alignment vertical="center"/>
    </xf>
    <xf numFmtId="41" fontId="9" fillId="6" borderId="61" xfId="2" applyFont="1" applyFill="1" applyBorder="1">
      <alignment vertical="center"/>
    </xf>
    <xf numFmtId="41" fontId="8" fillId="6" borderId="0" xfId="2" applyFont="1" applyFill="1" applyBorder="1" applyAlignment="1">
      <alignment horizontal="center" vertical="center"/>
    </xf>
    <xf numFmtId="41" fontId="8" fillId="6" borderId="37" xfId="2" applyFont="1" applyFill="1" applyBorder="1" applyAlignment="1">
      <alignment horizontal="center" vertical="center"/>
    </xf>
    <xf numFmtId="41" fontId="8" fillId="6" borderId="19" xfId="2" applyFont="1" applyFill="1" applyBorder="1" applyAlignment="1">
      <alignment horizontal="center" vertical="center"/>
    </xf>
    <xf numFmtId="41" fontId="9" fillId="6" borderId="88" xfId="2" applyFont="1" applyFill="1" applyBorder="1">
      <alignment vertical="center"/>
    </xf>
    <xf numFmtId="41" fontId="9" fillId="6" borderId="0" xfId="2" applyFont="1" applyFill="1" applyBorder="1">
      <alignment vertical="center"/>
    </xf>
    <xf numFmtId="41" fontId="9" fillId="6" borderId="89" xfId="2" applyFont="1" applyFill="1" applyBorder="1">
      <alignment vertical="center"/>
    </xf>
    <xf numFmtId="183" fontId="5" fillId="6" borderId="175" xfId="0" applyNumberFormat="1" applyFont="1" applyFill="1" applyBorder="1" applyAlignment="1">
      <alignment horizontal="center" vertical="center"/>
    </xf>
    <xf numFmtId="179" fontId="5" fillId="6" borderId="11" xfId="0" applyNumberFormat="1" applyFont="1" applyFill="1" applyBorder="1" applyAlignment="1">
      <alignment horizontal="center" vertical="center"/>
    </xf>
    <xf numFmtId="182" fontId="5" fillId="6" borderId="80" xfId="0" applyNumberFormat="1" applyFont="1" applyFill="1" applyBorder="1" applyAlignment="1">
      <alignment horizontal="center" vertical="center"/>
    </xf>
    <xf numFmtId="177" fontId="5" fillId="6" borderId="80" xfId="0" applyNumberFormat="1" applyFont="1" applyFill="1" applyBorder="1" applyAlignment="1">
      <alignment horizontal="center" vertical="center"/>
    </xf>
    <xf numFmtId="177" fontId="5" fillId="6" borderId="178" xfId="0" applyNumberFormat="1" applyFont="1" applyFill="1" applyBorder="1" applyAlignment="1">
      <alignment horizontal="center" vertical="center"/>
    </xf>
    <xf numFmtId="177" fontId="5" fillId="6" borderId="58" xfId="0" applyNumberFormat="1" applyFont="1" applyFill="1" applyBorder="1" applyAlignment="1">
      <alignment horizontal="center" vertical="center"/>
    </xf>
    <xf numFmtId="177" fontId="5" fillId="6" borderId="61" xfId="0" applyNumberFormat="1" applyFont="1" applyFill="1" applyBorder="1" applyAlignment="1">
      <alignment horizontal="center" vertical="center"/>
    </xf>
    <xf numFmtId="180" fontId="5" fillId="6" borderId="12" xfId="0" applyNumberFormat="1" applyFont="1" applyFill="1" applyBorder="1" applyAlignment="1">
      <alignment horizontal="center" vertical="center"/>
    </xf>
    <xf numFmtId="177" fontId="5" fillId="6" borderId="17" xfId="0" applyNumberFormat="1" applyFont="1" applyFill="1" applyBorder="1" applyAlignment="1">
      <alignment horizontal="center" vertical="center"/>
    </xf>
    <xf numFmtId="177" fontId="5" fillId="6" borderId="12" xfId="0" applyNumberFormat="1" applyFont="1" applyFill="1" applyBorder="1" applyAlignment="1">
      <alignment horizontal="center" vertical="center"/>
    </xf>
    <xf numFmtId="181" fontId="5" fillId="6" borderId="17" xfId="0" applyNumberFormat="1" applyFont="1" applyFill="1" applyBorder="1" applyAlignment="1">
      <alignment horizontal="center" vertical="center"/>
    </xf>
    <xf numFmtId="180" fontId="5" fillId="6" borderId="17" xfId="0" applyNumberFormat="1" applyFont="1" applyFill="1" applyBorder="1" applyAlignment="1">
      <alignment horizontal="center" vertical="center"/>
    </xf>
    <xf numFmtId="177" fontId="5" fillId="6" borderId="39" xfId="0" applyNumberFormat="1" applyFont="1" applyFill="1" applyBorder="1" applyAlignment="1">
      <alignment horizontal="center" vertical="center"/>
    </xf>
    <xf numFmtId="177" fontId="5" fillId="6" borderId="180" xfId="0" applyNumberFormat="1" applyFont="1" applyFill="1" applyBorder="1" applyAlignment="1">
      <alignment horizontal="center" vertical="center"/>
    </xf>
    <xf numFmtId="179" fontId="9" fillId="3" borderId="24" xfId="0" applyNumberFormat="1" applyFont="1" applyFill="1" applyBorder="1" applyAlignment="1">
      <alignment horizontal="center" vertical="center"/>
    </xf>
    <xf numFmtId="179" fontId="9" fillId="4" borderId="83" xfId="0" applyNumberFormat="1" applyFont="1" applyFill="1" applyBorder="1" applyAlignment="1">
      <alignment horizontal="center" vertical="center"/>
    </xf>
    <xf numFmtId="179" fontId="9" fillId="6" borderId="159" xfId="0" applyNumberFormat="1" applyFont="1" applyFill="1" applyBorder="1" applyAlignment="1">
      <alignment horizontal="center" vertical="center"/>
    </xf>
    <xf numFmtId="177" fontId="9" fillId="6" borderId="103" xfId="0" applyNumberFormat="1" applyFont="1" applyFill="1" applyBorder="1" applyAlignment="1">
      <alignment horizontal="center" vertical="center"/>
    </xf>
    <xf numFmtId="179" fontId="9" fillId="6" borderId="202" xfId="0" applyNumberFormat="1" applyFont="1" applyFill="1" applyBorder="1" applyAlignment="1">
      <alignment horizontal="center" vertical="center"/>
    </xf>
    <xf numFmtId="179" fontId="9" fillId="6" borderId="221" xfId="0" applyNumberFormat="1" applyFont="1" applyFill="1" applyBorder="1" applyAlignment="1">
      <alignment horizontal="center" vertical="center"/>
    </xf>
    <xf numFmtId="9" fontId="9" fillId="6" borderId="19" xfId="3" applyFont="1" applyFill="1" applyBorder="1">
      <alignment vertical="center"/>
    </xf>
    <xf numFmtId="181" fontId="5" fillId="6" borderId="11" xfId="0" applyNumberFormat="1" applyFont="1" applyFill="1" applyBorder="1" applyAlignment="1">
      <alignment horizontal="center" vertical="center"/>
    </xf>
    <xf numFmtId="181" fontId="5" fillId="6" borderId="12" xfId="0" applyNumberFormat="1" applyFont="1" applyFill="1" applyBorder="1" applyAlignment="1">
      <alignment horizontal="center" vertical="center"/>
    </xf>
    <xf numFmtId="179" fontId="5" fillId="6" borderId="12" xfId="0" applyNumberFormat="1" applyFont="1" applyFill="1" applyBorder="1" applyAlignment="1">
      <alignment horizontal="center" vertical="center"/>
    </xf>
    <xf numFmtId="179" fontId="5" fillId="6" borderId="17" xfId="0" applyNumberFormat="1" applyFont="1" applyFill="1" applyBorder="1" applyAlignment="1">
      <alignment horizontal="center" vertical="center"/>
    </xf>
    <xf numFmtId="183" fontId="5" fillId="6" borderId="12" xfId="3" applyNumberFormat="1" applyFont="1" applyFill="1" applyBorder="1" applyAlignment="1">
      <alignment horizontal="center" vertical="center"/>
    </xf>
    <xf numFmtId="183" fontId="5" fillId="6" borderId="17" xfId="3" applyNumberFormat="1" applyFont="1" applyFill="1" applyBorder="1" applyAlignment="1">
      <alignment horizontal="center" vertical="center"/>
    </xf>
    <xf numFmtId="183" fontId="5" fillId="6" borderId="176" xfId="0" applyNumberFormat="1" applyFont="1" applyFill="1" applyBorder="1" applyAlignment="1">
      <alignment horizontal="center" vertical="center"/>
    </xf>
    <xf numFmtId="180" fontId="5" fillId="6" borderId="175" xfId="0" applyNumberFormat="1" applyFont="1" applyFill="1" applyBorder="1" applyAlignment="1">
      <alignment horizontal="center" vertical="center"/>
    </xf>
    <xf numFmtId="179" fontId="9" fillId="6" borderId="32" xfId="0" applyNumberFormat="1" applyFont="1" applyFill="1" applyBorder="1" applyAlignment="1">
      <alignment horizontal="center" vertical="center"/>
    </xf>
    <xf numFmtId="183" fontId="8" fillId="0" borderId="0" xfId="3" applyNumberFormat="1" applyFont="1" applyAlignment="1">
      <alignment horizontal="center" vertical="center"/>
    </xf>
    <xf numFmtId="177" fontId="5" fillId="6" borderId="175" xfId="0" applyNumberFormat="1" applyFont="1" applyFill="1" applyBorder="1" applyAlignment="1">
      <alignment horizontal="center" vertical="center"/>
    </xf>
    <xf numFmtId="180" fontId="9" fillId="6" borderId="80" xfId="0" applyNumberFormat="1" applyFont="1" applyFill="1" applyBorder="1" applyAlignment="1">
      <alignment horizontal="center" vertical="center"/>
    </xf>
    <xf numFmtId="179" fontId="9" fillId="4" borderId="224" xfId="0" applyNumberFormat="1" applyFont="1" applyFill="1" applyBorder="1" applyAlignment="1">
      <alignment horizontal="center" vertical="center"/>
    </xf>
    <xf numFmtId="180" fontId="9" fillId="6" borderId="223" xfId="0" applyNumberFormat="1" applyFont="1" applyFill="1" applyBorder="1" applyAlignment="1">
      <alignment horizontal="center" vertical="center"/>
    </xf>
    <xf numFmtId="180" fontId="9" fillId="6" borderId="152" xfId="0" applyNumberFormat="1" applyFont="1" applyFill="1" applyBorder="1" applyAlignment="1">
      <alignment horizontal="center" vertical="center"/>
    </xf>
    <xf numFmtId="182" fontId="8" fillId="6" borderId="54" xfId="0" applyNumberFormat="1" applyFont="1" applyFill="1" applyBorder="1">
      <alignment vertical="center"/>
    </xf>
    <xf numFmtId="180" fontId="5" fillId="6" borderId="180" xfId="0" applyNumberFormat="1" applyFont="1" applyFill="1" applyBorder="1" applyAlignment="1">
      <alignment horizontal="center" vertical="center"/>
    </xf>
    <xf numFmtId="180" fontId="5" fillId="6" borderId="80" xfId="0" applyNumberFormat="1" applyFont="1" applyFill="1" applyBorder="1" applyAlignment="1">
      <alignment horizontal="center" vertical="center"/>
    </xf>
    <xf numFmtId="9" fontId="0" fillId="0" borderId="0" xfId="3" applyFont="1">
      <alignment vertical="center"/>
    </xf>
    <xf numFmtId="179" fontId="0" fillId="5" borderId="158" xfId="0" applyNumberFormat="1" applyFill="1" applyBorder="1" applyAlignment="1">
      <alignment horizontal="center" vertical="center"/>
    </xf>
    <xf numFmtId="41" fontId="9" fillId="0" borderId="0" xfId="2" applyFont="1" applyFill="1" applyBorder="1">
      <alignment vertical="center"/>
    </xf>
    <xf numFmtId="41" fontId="8" fillId="4" borderId="142" xfId="2" applyFont="1" applyFill="1" applyBorder="1">
      <alignment vertical="center"/>
    </xf>
    <xf numFmtId="181" fontId="5" fillId="6" borderId="180" xfId="0" applyNumberFormat="1" applyFont="1" applyFill="1" applyBorder="1" applyAlignment="1">
      <alignment horizontal="center" vertical="center"/>
    </xf>
    <xf numFmtId="177" fontId="5" fillId="6" borderId="172" xfId="1" applyNumberFormat="1" applyFont="1" applyFill="1" applyBorder="1" applyAlignment="1">
      <alignment horizontal="center" vertical="center"/>
    </xf>
    <xf numFmtId="177" fontId="5" fillId="3" borderId="226" xfId="0" applyNumberFormat="1" applyFont="1" applyFill="1" applyBorder="1" applyAlignment="1">
      <alignment horizontal="center" vertical="center"/>
    </xf>
    <xf numFmtId="177" fontId="5" fillId="4" borderId="201" xfId="0" applyNumberFormat="1" applyFont="1" applyFill="1" applyBorder="1" applyAlignment="1">
      <alignment horizontal="center" vertical="center"/>
    </xf>
    <xf numFmtId="177" fontId="5" fillId="4" borderId="227" xfId="0" applyNumberFormat="1" applyFont="1" applyFill="1" applyBorder="1" applyAlignment="1">
      <alignment horizontal="center" vertical="center"/>
    </xf>
    <xf numFmtId="177" fontId="5" fillId="4" borderId="228" xfId="0" applyNumberFormat="1" applyFont="1" applyFill="1" applyBorder="1" applyAlignment="1">
      <alignment horizontal="center" vertical="center"/>
    </xf>
    <xf numFmtId="177" fontId="5" fillId="4" borderId="212" xfId="0" applyNumberFormat="1" applyFont="1" applyFill="1" applyBorder="1" applyAlignment="1">
      <alignment horizontal="center" vertical="center"/>
    </xf>
    <xf numFmtId="177" fontId="17" fillId="2" borderId="226" xfId="0" applyNumberFormat="1" applyFont="1" applyFill="1" applyBorder="1" applyAlignment="1">
      <alignment horizontal="center" vertical="center"/>
    </xf>
    <xf numFmtId="180" fontId="5" fillId="3" borderId="201" xfId="0" applyNumberFormat="1" applyFont="1" applyFill="1" applyBorder="1" applyAlignment="1">
      <alignment horizontal="center" vertical="center"/>
    </xf>
    <xf numFmtId="181" fontId="5" fillId="6" borderId="179" xfId="0" applyNumberFormat="1" applyFont="1" applyFill="1" applyBorder="1" applyAlignment="1">
      <alignment horizontal="center" vertical="center"/>
    </xf>
    <xf numFmtId="181" fontId="8" fillId="3" borderId="32" xfId="0" applyNumberFormat="1" applyFont="1" applyFill="1" applyBorder="1" applyAlignment="1">
      <alignment horizontal="center" vertical="center"/>
    </xf>
    <xf numFmtId="181" fontId="8" fillId="3" borderId="9" xfId="0" applyNumberFormat="1" applyFont="1" applyFill="1" applyBorder="1" applyAlignment="1">
      <alignment horizontal="center" vertical="center"/>
    </xf>
    <xf numFmtId="181" fontId="8" fillId="4" borderId="56" xfId="0" applyNumberFormat="1" applyFont="1" applyFill="1" applyBorder="1" applyAlignment="1">
      <alignment horizontal="center" vertical="center"/>
    </xf>
    <xf numFmtId="41" fontId="9" fillId="0" borderId="84" xfId="2" applyFont="1" applyFill="1" applyBorder="1">
      <alignment vertical="center"/>
    </xf>
    <xf numFmtId="41" fontId="9" fillId="0" borderId="58" xfId="2" applyFont="1" applyFill="1" applyBorder="1">
      <alignment vertical="center"/>
    </xf>
    <xf numFmtId="41" fontId="9" fillId="4" borderId="57" xfId="2" applyFont="1" applyFill="1" applyBorder="1">
      <alignment vertical="center"/>
    </xf>
    <xf numFmtId="41" fontId="9" fillId="6" borderId="37" xfId="2" applyFont="1" applyFill="1" applyBorder="1">
      <alignment vertical="center"/>
    </xf>
    <xf numFmtId="41" fontId="9" fillId="3" borderId="77" xfId="2" applyFont="1" applyFill="1" applyBorder="1">
      <alignment vertical="center"/>
    </xf>
    <xf numFmtId="188" fontId="8" fillId="6" borderId="53" xfId="0" applyNumberFormat="1" applyFont="1" applyFill="1" applyBorder="1" applyAlignment="1">
      <alignment horizontal="center" vertical="center"/>
    </xf>
    <xf numFmtId="180" fontId="9" fillId="4" borderId="169" xfId="0" applyNumberFormat="1" applyFont="1" applyFill="1" applyBorder="1" applyAlignment="1">
      <alignment horizontal="center" vertical="center"/>
    </xf>
    <xf numFmtId="177" fontId="5" fillId="6" borderId="185" xfId="0" applyNumberFormat="1" applyFont="1" applyFill="1" applyBorder="1" applyAlignment="1">
      <alignment horizontal="center" vertical="center"/>
    </xf>
    <xf numFmtId="177" fontId="5" fillId="6" borderId="0" xfId="0" applyNumberFormat="1" applyFont="1" applyFill="1" applyBorder="1" applyAlignment="1">
      <alignment horizontal="center" vertical="center"/>
    </xf>
    <xf numFmtId="177" fontId="5" fillId="3" borderId="219" xfId="0" applyNumberFormat="1" applyFont="1" applyFill="1" applyBorder="1" applyAlignment="1">
      <alignment horizontal="center" vertical="center"/>
    </xf>
    <xf numFmtId="177" fontId="5" fillId="4" borderId="102" xfId="0" applyNumberFormat="1" applyFont="1" applyFill="1" applyBorder="1" applyAlignment="1">
      <alignment horizontal="center" vertical="center"/>
    </xf>
    <xf numFmtId="177" fontId="5" fillId="4" borderId="220" xfId="0" applyNumberFormat="1" applyFont="1" applyFill="1" applyBorder="1" applyAlignment="1">
      <alignment horizontal="center" vertical="center"/>
    </xf>
    <xf numFmtId="177" fontId="5" fillId="4" borderId="103" xfId="0" applyNumberFormat="1" applyFont="1" applyFill="1" applyBorder="1" applyAlignment="1">
      <alignment horizontal="center" vertical="center"/>
    </xf>
    <xf numFmtId="177" fontId="5" fillId="4" borderId="229" xfId="0" applyNumberFormat="1" applyFont="1" applyFill="1" applyBorder="1" applyAlignment="1">
      <alignment horizontal="center" vertical="center"/>
    </xf>
    <xf numFmtId="183" fontId="5" fillId="3" borderId="219" xfId="0" applyNumberFormat="1" applyFont="1" applyFill="1" applyBorder="1" applyAlignment="1">
      <alignment horizontal="center" vertical="center"/>
    </xf>
    <xf numFmtId="183" fontId="5" fillId="4" borderId="102" xfId="0" applyNumberFormat="1" applyFont="1" applyFill="1" applyBorder="1" applyAlignment="1">
      <alignment horizontal="center" vertical="center"/>
    </xf>
    <xf numFmtId="183" fontId="5" fillId="4" borderId="220" xfId="0" applyNumberFormat="1" applyFont="1" applyFill="1" applyBorder="1" applyAlignment="1">
      <alignment horizontal="center" vertical="center"/>
    </xf>
    <xf numFmtId="183" fontId="5" fillId="4" borderId="103" xfId="0" applyNumberFormat="1" applyFont="1" applyFill="1" applyBorder="1" applyAlignment="1">
      <alignment horizontal="center" vertical="center"/>
    </xf>
    <xf numFmtId="179" fontId="5" fillId="3" borderId="219" xfId="0" applyNumberFormat="1" applyFont="1" applyFill="1" applyBorder="1" applyAlignment="1">
      <alignment horizontal="center" vertical="center"/>
    </xf>
    <xf numFmtId="179" fontId="5" fillId="4" borderId="102" xfId="0" applyNumberFormat="1" applyFont="1" applyFill="1" applyBorder="1" applyAlignment="1">
      <alignment horizontal="center" vertical="center"/>
    </xf>
    <xf numFmtId="179" fontId="5" fillId="4" borderId="220" xfId="0" applyNumberFormat="1" applyFont="1" applyFill="1" applyBorder="1" applyAlignment="1">
      <alignment horizontal="center" vertical="center"/>
    </xf>
    <xf numFmtId="179" fontId="5" fillId="4" borderId="103" xfId="0" applyNumberFormat="1" applyFont="1" applyFill="1" applyBorder="1" applyAlignment="1">
      <alignment horizontal="center" vertical="center"/>
    </xf>
    <xf numFmtId="180" fontId="5" fillId="3" borderId="219" xfId="0" applyNumberFormat="1" applyFont="1" applyFill="1" applyBorder="1" applyAlignment="1">
      <alignment horizontal="center" vertical="center"/>
    </xf>
    <xf numFmtId="177" fontId="5" fillId="3" borderId="220" xfId="0" applyNumberFormat="1" applyFont="1" applyFill="1" applyBorder="1" applyAlignment="1">
      <alignment horizontal="center" vertical="center"/>
    </xf>
    <xf numFmtId="177" fontId="5" fillId="4" borderId="230" xfId="0" applyNumberFormat="1" applyFont="1" applyFill="1" applyBorder="1" applyAlignment="1">
      <alignment horizontal="center" vertical="center"/>
    </xf>
    <xf numFmtId="177" fontId="5" fillId="4" borderId="101" xfId="0" applyNumberFormat="1" applyFont="1" applyFill="1" applyBorder="1" applyAlignment="1">
      <alignment horizontal="center" vertical="center"/>
    </xf>
    <xf numFmtId="177" fontId="5" fillId="3" borderId="215" xfId="0" applyNumberFormat="1" applyFont="1" applyFill="1" applyBorder="1" applyAlignment="1">
      <alignment horizontal="center" vertical="center"/>
    </xf>
    <xf numFmtId="177" fontId="5" fillId="3" borderId="202" xfId="0" applyNumberFormat="1" applyFont="1" applyFill="1" applyBorder="1" applyAlignment="1">
      <alignment horizontal="center" vertical="center"/>
    </xf>
    <xf numFmtId="180" fontId="5" fillId="6" borderId="194" xfId="0" applyNumberFormat="1" applyFont="1" applyFill="1" applyBorder="1" applyAlignment="1">
      <alignment horizontal="center" vertical="center"/>
    </xf>
    <xf numFmtId="177" fontId="11" fillId="3" borderId="231" xfId="0" applyNumberFormat="1" applyFont="1" applyFill="1" applyBorder="1" applyAlignment="1">
      <alignment horizontal="center" vertical="center"/>
    </xf>
    <xf numFmtId="179" fontId="5" fillId="6" borderId="38" xfId="0" applyNumberFormat="1" applyFont="1" applyFill="1" applyBorder="1" applyAlignment="1">
      <alignment horizontal="center" vertical="center"/>
    </xf>
    <xf numFmtId="179" fontId="5" fillId="6" borderId="39" xfId="0" applyNumberFormat="1" applyFont="1" applyFill="1" applyBorder="1" applyAlignment="1">
      <alignment horizontal="center" vertical="center"/>
    </xf>
    <xf numFmtId="177" fontId="5" fillId="6" borderId="232" xfId="0" applyNumberFormat="1" applyFont="1" applyFill="1" applyBorder="1" applyAlignment="1">
      <alignment horizontal="center" vertical="center"/>
    </xf>
    <xf numFmtId="9" fontId="0" fillId="0" borderId="0" xfId="0" applyNumberFormat="1" applyFill="1">
      <alignment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177" fontId="3" fillId="2" borderId="235" xfId="0" applyNumberFormat="1" applyFont="1" applyFill="1" applyBorder="1" applyAlignment="1">
      <alignment horizontal="center" vertical="center"/>
    </xf>
    <xf numFmtId="177" fontId="5" fillId="6" borderId="14" xfId="0" applyNumberFormat="1" applyFont="1" applyFill="1" applyBorder="1" applyAlignment="1">
      <alignment horizontal="center" vertical="center"/>
    </xf>
    <xf numFmtId="177" fontId="5" fillId="6" borderId="15" xfId="0" applyNumberFormat="1" applyFont="1" applyFill="1" applyBorder="1" applyAlignment="1">
      <alignment horizontal="center" vertical="center"/>
    </xf>
    <xf numFmtId="0" fontId="5" fillId="0" borderId="233" xfId="0" applyFont="1" applyBorder="1" applyAlignment="1">
      <alignment horizontal="center" vertical="center"/>
    </xf>
    <xf numFmtId="177" fontId="5" fillId="4" borderId="217" xfId="0" applyNumberFormat="1" applyFont="1" applyFill="1" applyBorder="1" applyAlignment="1">
      <alignment horizontal="center" vertical="center"/>
    </xf>
    <xf numFmtId="182" fontId="9" fillId="6" borderId="80" xfId="2" applyNumberFormat="1" applyFont="1" applyFill="1" applyBorder="1">
      <alignment vertical="center"/>
    </xf>
    <xf numFmtId="0" fontId="8" fillId="0" borderId="0" xfId="0" applyFont="1" applyFill="1">
      <alignment vertical="center"/>
    </xf>
    <xf numFmtId="41" fontId="9" fillId="6" borderId="81" xfId="2" applyFont="1" applyFill="1" applyBorder="1">
      <alignment vertical="center"/>
    </xf>
    <xf numFmtId="41" fontId="9" fillId="6" borderId="84" xfId="2" applyFont="1" applyFill="1" applyBorder="1">
      <alignment vertical="center"/>
    </xf>
    <xf numFmtId="182" fontId="9" fillId="6" borderId="0" xfId="2" applyNumberFormat="1" applyFont="1" applyFill="1" applyBorder="1">
      <alignment vertical="center"/>
    </xf>
    <xf numFmtId="177" fontId="8" fillId="6" borderId="19" xfId="0" applyNumberFormat="1" applyFont="1" applyFill="1" applyBorder="1" applyAlignment="1">
      <alignment horizontal="center" vertical="center"/>
    </xf>
    <xf numFmtId="182" fontId="8" fillId="6" borderId="113" xfId="0" applyNumberFormat="1" applyFont="1" applyFill="1" applyBorder="1">
      <alignment vertical="center"/>
    </xf>
    <xf numFmtId="182" fontId="8" fillId="6" borderId="113" xfId="2" applyNumberFormat="1" applyFont="1" applyFill="1" applyBorder="1">
      <alignment vertical="center"/>
    </xf>
    <xf numFmtId="189" fontId="8" fillId="6" borderId="50" xfId="0" applyNumberFormat="1" applyFont="1" applyFill="1" applyBorder="1">
      <alignment vertical="center"/>
    </xf>
    <xf numFmtId="189" fontId="8" fillId="6" borderId="110" xfId="0" applyNumberFormat="1" applyFont="1" applyFill="1" applyBorder="1">
      <alignment vertical="center"/>
    </xf>
    <xf numFmtId="182" fontId="8" fillId="6" borderId="114" xfId="0" applyNumberFormat="1" applyFont="1" applyFill="1" applyBorder="1">
      <alignment vertical="center"/>
    </xf>
    <xf numFmtId="41" fontId="9" fillId="6" borderId="32" xfId="2" applyFont="1" applyFill="1" applyBorder="1">
      <alignment vertical="center"/>
    </xf>
    <xf numFmtId="179" fontId="17" fillId="2" borderId="19" xfId="0" applyNumberFormat="1" applyFont="1" applyFill="1" applyBorder="1" applyAlignment="1">
      <alignment horizontal="center" vertical="center"/>
    </xf>
    <xf numFmtId="179" fontId="9" fillId="6" borderId="79" xfId="0" applyNumberFormat="1" applyFont="1" applyFill="1" applyBorder="1" applyAlignment="1">
      <alignment horizontal="center" vertical="center"/>
    </xf>
    <xf numFmtId="179" fontId="9" fillId="6" borderId="68" xfId="0" applyNumberFormat="1" applyFont="1" applyFill="1" applyBorder="1" applyAlignment="1">
      <alignment horizontal="center" vertical="center"/>
    </xf>
    <xf numFmtId="179" fontId="9" fillId="3" borderId="132" xfId="0" applyNumberFormat="1" applyFont="1" applyFill="1" applyBorder="1" applyAlignment="1">
      <alignment horizontal="center" vertical="center"/>
    </xf>
    <xf numFmtId="179" fontId="17" fillId="2" borderId="131" xfId="0" applyNumberFormat="1" applyFont="1" applyFill="1" applyBorder="1" applyAlignment="1">
      <alignment horizontal="center" vertical="center"/>
    </xf>
    <xf numFmtId="179" fontId="9" fillId="6" borderId="237" xfId="0" applyNumberFormat="1" applyFont="1" applyFill="1" applyBorder="1" applyAlignment="1">
      <alignment horizontal="center" vertical="center"/>
    </xf>
    <xf numFmtId="179" fontId="9" fillId="6" borderId="239" xfId="0" applyNumberFormat="1" applyFont="1" applyFill="1" applyBorder="1" applyAlignment="1">
      <alignment horizontal="center" vertical="center"/>
    </xf>
    <xf numFmtId="179" fontId="17" fillId="2" borderId="89" xfId="0" applyNumberFormat="1" applyFont="1" applyFill="1" applyBorder="1" applyAlignment="1">
      <alignment horizontal="center" vertical="center"/>
    </xf>
    <xf numFmtId="184" fontId="8" fillId="3" borderId="87" xfId="0" applyNumberFormat="1" applyFont="1" applyFill="1" applyBorder="1" applyAlignment="1">
      <alignment horizontal="center" vertical="center"/>
    </xf>
    <xf numFmtId="179" fontId="9" fillId="6" borderId="173" xfId="0" applyNumberFormat="1" applyFont="1" applyFill="1" applyBorder="1" applyAlignment="1">
      <alignment horizontal="center" vertical="center"/>
    </xf>
    <xf numFmtId="179" fontId="9" fillId="6" borderId="178" xfId="0" applyNumberFormat="1" applyFont="1" applyFill="1" applyBorder="1" applyAlignment="1">
      <alignment horizontal="center" vertical="center"/>
    </xf>
    <xf numFmtId="177" fontId="5" fillId="6" borderId="109" xfId="0" applyNumberFormat="1" applyFont="1" applyFill="1" applyBorder="1" applyAlignment="1">
      <alignment horizontal="center" vertical="center"/>
    </xf>
    <xf numFmtId="177" fontId="5" fillId="6" borderId="87" xfId="0" applyNumberFormat="1" applyFont="1" applyFill="1" applyBorder="1" applyAlignment="1">
      <alignment horizontal="center" vertical="center"/>
    </xf>
    <xf numFmtId="177" fontId="5" fillId="6" borderId="184" xfId="0" applyNumberFormat="1" applyFont="1" applyFill="1" applyBorder="1" applyAlignment="1">
      <alignment horizontal="center" vertical="center"/>
    </xf>
    <xf numFmtId="177" fontId="5" fillId="6" borderId="13" xfId="0" applyNumberFormat="1" applyFont="1" applyFill="1" applyBorder="1" applyAlignment="1">
      <alignment horizontal="center" vertical="center"/>
    </xf>
    <xf numFmtId="177" fontId="5" fillId="6" borderId="18" xfId="0" applyNumberFormat="1" applyFont="1" applyFill="1" applyBorder="1" applyAlignment="1">
      <alignment horizontal="center" vertical="center"/>
    </xf>
    <xf numFmtId="177" fontId="5" fillId="6" borderId="181" xfId="0" applyNumberFormat="1" applyFont="1" applyFill="1" applyBorder="1" applyAlignment="1">
      <alignment horizontal="center" vertical="center"/>
    </xf>
    <xf numFmtId="177" fontId="5" fillId="6" borderId="40" xfId="0" applyNumberFormat="1" applyFont="1" applyFill="1" applyBorder="1" applyAlignment="1">
      <alignment horizontal="center" vertical="center"/>
    </xf>
    <xf numFmtId="179" fontId="5" fillId="6" borderId="13" xfId="0" applyNumberFormat="1" applyFont="1" applyFill="1" applyBorder="1" applyAlignment="1">
      <alignment horizontal="center" vertical="center"/>
    </xf>
    <xf numFmtId="177" fontId="5" fillId="6" borderId="84" xfId="0" applyNumberFormat="1" applyFont="1" applyFill="1" applyBorder="1" applyAlignment="1">
      <alignment horizontal="center" vertical="center"/>
    </xf>
    <xf numFmtId="177" fontId="5" fillId="6" borderId="37" xfId="0" applyNumberFormat="1" applyFont="1" applyFill="1" applyBorder="1" applyAlignment="1">
      <alignment horizontal="center" vertical="center"/>
    </xf>
    <xf numFmtId="177" fontId="5" fillId="6" borderId="19" xfId="0" applyNumberFormat="1" applyFont="1" applyFill="1" applyBorder="1" applyAlignment="1">
      <alignment horizontal="center" vertical="center"/>
    </xf>
    <xf numFmtId="177" fontId="5" fillId="6" borderId="195" xfId="0" applyNumberFormat="1" applyFont="1" applyFill="1" applyBorder="1" applyAlignment="1">
      <alignment horizontal="center" vertical="center"/>
    </xf>
    <xf numFmtId="41" fontId="8" fillId="6" borderId="50" xfId="0" applyNumberFormat="1" applyFont="1" applyFill="1" applyBorder="1">
      <alignment vertical="center"/>
    </xf>
    <xf numFmtId="41" fontId="8" fillId="6" borderId="50" xfId="2" applyNumberFormat="1" applyFont="1" applyFill="1" applyBorder="1">
      <alignment vertical="center"/>
    </xf>
    <xf numFmtId="41" fontId="8" fillId="6" borderId="50" xfId="2" applyFont="1" applyFill="1" applyBorder="1">
      <alignment vertical="center"/>
    </xf>
    <xf numFmtId="41" fontId="8" fillId="6" borderId="54" xfId="0" applyNumberFormat="1" applyFont="1" applyFill="1" applyBorder="1">
      <alignment vertical="center"/>
    </xf>
    <xf numFmtId="180" fontId="8" fillId="6" borderId="54" xfId="0" applyNumberFormat="1" applyFont="1" applyFill="1" applyBorder="1">
      <alignment vertical="center"/>
    </xf>
    <xf numFmtId="180" fontId="8" fillId="6" borderId="50" xfId="0" applyNumberFormat="1" applyFont="1" applyFill="1" applyBorder="1">
      <alignment vertical="center"/>
    </xf>
    <xf numFmtId="41" fontId="8" fillId="6" borderId="55" xfId="0" applyNumberFormat="1" applyFont="1" applyFill="1" applyBorder="1">
      <alignment vertical="center"/>
    </xf>
    <xf numFmtId="41" fontId="9" fillId="6" borderId="58" xfId="2" applyFont="1" applyFill="1" applyBorder="1">
      <alignment vertical="center"/>
    </xf>
    <xf numFmtId="180" fontId="8" fillId="6" borderId="110" xfId="0" applyNumberFormat="1" applyFont="1" applyFill="1" applyBorder="1">
      <alignment vertical="center"/>
    </xf>
    <xf numFmtId="41" fontId="8" fillId="6" borderId="108" xfId="0" applyNumberFormat="1" applyFont="1" applyFill="1" applyBorder="1">
      <alignment vertical="center"/>
    </xf>
    <xf numFmtId="177" fontId="8" fillId="6" borderId="37" xfId="0" applyNumberFormat="1" applyFont="1" applyFill="1" applyBorder="1" applyAlignment="1">
      <alignment horizontal="center" vertical="center"/>
    </xf>
    <xf numFmtId="179" fontId="9" fillId="6" borderId="172" xfId="0" applyNumberFormat="1" applyFont="1" applyFill="1" applyBorder="1" applyAlignment="1">
      <alignment horizontal="center" vertical="center"/>
    </xf>
    <xf numFmtId="185" fontId="8" fillId="6" borderId="218" xfId="0" applyNumberFormat="1" applyFont="1" applyFill="1" applyBorder="1" applyAlignment="1">
      <alignment horizontal="center" vertical="center"/>
    </xf>
    <xf numFmtId="177" fontId="9" fillId="6" borderId="159" xfId="0" applyNumberFormat="1" applyFont="1" applyFill="1" applyBorder="1" applyAlignment="1">
      <alignment horizontal="center" vertical="center"/>
    </xf>
    <xf numFmtId="177" fontId="8" fillId="0" borderId="0" xfId="0" applyNumberFormat="1" applyFont="1" applyFill="1" applyBorder="1" applyAlignment="1">
      <alignment horizontal="center" vertical="center"/>
    </xf>
    <xf numFmtId="177" fontId="9" fillId="6" borderId="0" xfId="2" applyNumberFormat="1" applyFont="1" applyFill="1" applyBorder="1">
      <alignment vertical="center"/>
    </xf>
    <xf numFmtId="184" fontId="9" fillId="6" borderId="0" xfId="2" applyNumberFormat="1" applyFont="1" applyFill="1" applyBorder="1">
      <alignment vertical="center"/>
    </xf>
    <xf numFmtId="0" fontId="7" fillId="0" borderId="67" xfId="0" applyFont="1" applyBorder="1">
      <alignment vertical="center"/>
    </xf>
    <xf numFmtId="183" fontId="5" fillId="6" borderId="11" xfId="3" applyNumberFormat="1" applyFont="1" applyFill="1" applyBorder="1" applyAlignment="1">
      <alignment horizontal="center" vertical="center"/>
    </xf>
    <xf numFmtId="183" fontId="5" fillId="6" borderId="16" xfId="3" applyNumberFormat="1" applyFont="1" applyFill="1" applyBorder="1" applyAlignment="1">
      <alignment horizontal="center" vertical="center"/>
    </xf>
    <xf numFmtId="183" fontId="5" fillId="6" borderId="17" xfId="0" applyNumberFormat="1" applyFont="1" applyFill="1" applyBorder="1" applyAlignment="1">
      <alignment horizontal="center" vertical="center"/>
    </xf>
    <xf numFmtId="181" fontId="8" fillId="6" borderId="152" xfId="0" applyNumberFormat="1" applyFont="1" applyFill="1" applyBorder="1" applyAlignment="1">
      <alignment horizontal="center" vertical="center"/>
    </xf>
    <xf numFmtId="179" fontId="5" fillId="3" borderId="176" xfId="0" applyNumberFormat="1" applyFont="1" applyFill="1" applyBorder="1" applyAlignment="1">
      <alignment horizontal="center" vertical="center"/>
    </xf>
    <xf numFmtId="179" fontId="9" fillId="0" borderId="0" xfId="0" applyNumberFormat="1" applyFont="1" applyBorder="1" applyAlignment="1">
      <alignment horizontal="center" vertical="center"/>
    </xf>
    <xf numFmtId="179" fontId="0" fillId="0" borderId="0" xfId="0" applyNumberFormat="1" applyBorder="1" applyAlignment="1">
      <alignment horizontal="center" vertical="center"/>
    </xf>
    <xf numFmtId="182" fontId="0" fillId="0" borderId="0" xfId="0" applyNumberFormat="1">
      <alignment vertical="center"/>
    </xf>
    <xf numFmtId="181" fontId="5" fillId="6" borderId="25" xfId="0" applyNumberFormat="1" applyFont="1" applyFill="1" applyBorder="1" applyAlignment="1">
      <alignment horizontal="center" vertical="center"/>
    </xf>
    <xf numFmtId="181" fontId="5" fillId="6" borderId="26" xfId="0" applyNumberFormat="1" applyFont="1" applyFill="1" applyBorder="1" applyAlignment="1">
      <alignment horizontal="center" vertical="center"/>
    </xf>
    <xf numFmtId="41" fontId="8" fillId="6" borderId="51" xfId="0" applyNumberFormat="1" applyFont="1" applyFill="1" applyBorder="1">
      <alignment vertical="center"/>
    </xf>
    <xf numFmtId="41" fontId="8" fillId="6" borderId="51" xfId="2" applyNumberFormat="1" applyFont="1" applyFill="1" applyBorder="1">
      <alignment vertical="center"/>
    </xf>
    <xf numFmtId="180" fontId="8" fillId="6" borderId="71" xfId="0" applyNumberFormat="1" applyFont="1" applyFill="1" applyBorder="1">
      <alignment vertical="center"/>
    </xf>
    <xf numFmtId="180" fontId="8" fillId="6" borderId="51" xfId="0" applyNumberFormat="1" applyFont="1" applyFill="1" applyBorder="1">
      <alignment vertical="center"/>
    </xf>
    <xf numFmtId="41" fontId="8" fillId="6" borderId="51" xfId="2" applyFont="1" applyFill="1" applyBorder="1">
      <alignment vertical="center"/>
    </xf>
    <xf numFmtId="179" fontId="9" fillId="0" borderId="0" xfId="0" applyNumberFormat="1" applyFont="1" applyFill="1" applyAlignment="1">
      <alignment horizontal="center" vertical="center"/>
    </xf>
    <xf numFmtId="41" fontId="9" fillId="0" borderId="81" xfId="2" applyFont="1" applyFill="1" applyBorder="1">
      <alignment vertical="center"/>
    </xf>
    <xf numFmtId="41" fontId="9" fillId="0" borderId="59" xfId="2" applyFont="1" applyFill="1" applyBorder="1">
      <alignment vertical="center"/>
    </xf>
    <xf numFmtId="41" fontId="9" fillId="0" borderId="83" xfId="2" applyFont="1" applyFill="1" applyBorder="1">
      <alignment vertical="center"/>
    </xf>
    <xf numFmtId="41" fontId="9" fillId="0" borderId="241" xfId="2" applyFont="1" applyFill="1" applyBorder="1">
      <alignment vertical="center"/>
    </xf>
    <xf numFmtId="41" fontId="9" fillId="0" borderId="242" xfId="2" applyFont="1" applyFill="1" applyBorder="1">
      <alignment vertical="center"/>
    </xf>
    <xf numFmtId="41" fontId="9" fillId="0" borderId="243" xfId="2" applyFont="1" applyFill="1" applyBorder="1">
      <alignment vertical="center"/>
    </xf>
    <xf numFmtId="41" fontId="9" fillId="0" borderId="244" xfId="2" applyFont="1" applyFill="1" applyBorder="1">
      <alignment vertical="center"/>
    </xf>
    <xf numFmtId="41" fontId="9" fillId="0" borderId="245" xfId="2" applyFont="1" applyFill="1" applyBorder="1">
      <alignment vertical="center"/>
    </xf>
    <xf numFmtId="41" fontId="9" fillId="0" borderId="246" xfId="2" applyFont="1" applyFill="1" applyBorder="1">
      <alignment vertical="center"/>
    </xf>
    <xf numFmtId="0" fontId="0" fillId="0" borderId="0" xfId="0" applyFill="1" applyAlignment="1">
      <alignment horizontal="center" vertical="center"/>
    </xf>
    <xf numFmtId="0" fontId="9" fillId="0" borderId="0" xfId="0" applyFont="1" applyFill="1">
      <alignment vertical="center"/>
    </xf>
    <xf numFmtId="182" fontId="9" fillId="0" borderId="0" xfId="0" applyNumberFormat="1" applyFont="1" applyFill="1">
      <alignment vertical="center"/>
    </xf>
    <xf numFmtId="189" fontId="8" fillId="0" borderId="110" xfId="0" applyNumberFormat="1" applyFont="1" applyFill="1" applyBorder="1">
      <alignment vertical="center"/>
    </xf>
    <xf numFmtId="189" fontId="8" fillId="0" borderId="111" xfId="0" applyNumberFormat="1" applyFont="1" applyFill="1" applyBorder="1">
      <alignment vertical="center"/>
    </xf>
    <xf numFmtId="41" fontId="8" fillId="3" borderId="254" xfId="0" applyNumberFormat="1" applyFont="1" applyFill="1" applyBorder="1">
      <alignment vertical="center"/>
    </xf>
    <xf numFmtId="188" fontId="8" fillId="0" borderId="53" xfId="0" applyNumberFormat="1" applyFont="1" applyFill="1" applyBorder="1" applyAlignment="1">
      <alignment horizontal="center" vertical="center"/>
    </xf>
    <xf numFmtId="177" fontId="0" fillId="0" borderId="0" xfId="0" applyNumberFormat="1" applyBorder="1">
      <alignment vertical="center"/>
    </xf>
    <xf numFmtId="182" fontId="5" fillId="4" borderId="164" xfId="0" applyNumberFormat="1" applyFont="1" applyFill="1" applyBorder="1" applyAlignment="1">
      <alignment horizontal="center" vertical="center"/>
    </xf>
    <xf numFmtId="179" fontId="5" fillId="3" borderId="177" xfId="0" applyNumberFormat="1" applyFont="1" applyFill="1" applyBorder="1" applyAlignment="1">
      <alignment horizontal="center" vertical="center"/>
    </xf>
    <xf numFmtId="177" fontId="5" fillId="0" borderId="10" xfId="0" applyNumberFormat="1" applyFont="1" applyFill="1" applyBorder="1" applyAlignment="1">
      <alignment horizontal="center" vertical="center"/>
    </xf>
    <xf numFmtId="177" fontId="5" fillId="0" borderId="26" xfId="0" applyNumberFormat="1" applyFont="1" applyFill="1" applyBorder="1" applyAlignment="1">
      <alignment horizontal="center" vertical="center"/>
    </xf>
    <xf numFmtId="177" fontId="5" fillId="7" borderId="12" xfId="0" applyNumberFormat="1" applyFont="1" applyFill="1" applyBorder="1" applyAlignment="1">
      <alignment horizontal="center" vertical="center"/>
    </xf>
    <xf numFmtId="177" fontId="5" fillId="7" borderId="13" xfId="0" applyNumberFormat="1" applyFont="1" applyFill="1" applyBorder="1" applyAlignment="1">
      <alignment horizontal="center" vertical="center"/>
    </xf>
    <xf numFmtId="183" fontId="5" fillId="3" borderId="176" xfId="0" applyNumberFormat="1" applyFont="1" applyFill="1" applyBorder="1" applyAlignment="1">
      <alignment horizontal="center" vertical="center"/>
    </xf>
    <xf numFmtId="183" fontId="5" fillId="3" borderId="177" xfId="0" applyNumberFormat="1" applyFont="1" applyFill="1" applyBorder="1" applyAlignment="1">
      <alignment horizontal="center" vertical="center"/>
    </xf>
    <xf numFmtId="183" fontId="5" fillId="0" borderId="12" xfId="3" applyNumberFormat="1" applyFont="1" applyFill="1" applyBorder="1" applyAlignment="1">
      <alignment horizontal="center" vertical="center"/>
    </xf>
    <xf numFmtId="183" fontId="5" fillId="0" borderId="13" xfId="3" applyNumberFormat="1" applyFont="1" applyFill="1" applyBorder="1" applyAlignment="1">
      <alignment horizontal="center" vertical="center"/>
    </xf>
    <xf numFmtId="183" fontId="5" fillId="0" borderId="18" xfId="3" applyNumberFormat="1" applyFont="1" applyFill="1" applyBorder="1" applyAlignment="1">
      <alignment horizontal="center" vertical="center"/>
    </xf>
    <xf numFmtId="183" fontId="5" fillId="0" borderId="179" xfId="3" applyNumberFormat="1" applyFont="1" applyFill="1" applyBorder="1" applyAlignment="1">
      <alignment horizontal="center" vertical="center"/>
    </xf>
    <xf numFmtId="183" fontId="5" fillId="0" borderId="180" xfId="3" applyNumberFormat="1" applyFont="1" applyFill="1" applyBorder="1" applyAlignment="1">
      <alignment horizontal="center" vertical="center"/>
    </xf>
    <xf numFmtId="183" fontId="5" fillId="0" borderId="181" xfId="3" applyNumberFormat="1" applyFont="1" applyFill="1" applyBorder="1" applyAlignment="1">
      <alignment horizontal="center" vertical="center"/>
    </xf>
    <xf numFmtId="187" fontId="5" fillId="0" borderId="12" xfId="0" applyNumberFormat="1" applyFont="1" applyFill="1" applyBorder="1" applyAlignment="1">
      <alignment horizontal="center" vertical="center"/>
    </xf>
    <xf numFmtId="187" fontId="5" fillId="0" borderId="13" xfId="0" applyNumberFormat="1" applyFont="1" applyFill="1" applyBorder="1" applyAlignment="1">
      <alignment horizontal="center" vertical="center"/>
    </xf>
    <xf numFmtId="187" fontId="5" fillId="0" borderId="17" xfId="0" applyNumberFormat="1" applyFont="1" applyFill="1" applyBorder="1" applyAlignment="1">
      <alignment horizontal="center" vertical="center"/>
    </xf>
    <xf numFmtId="187" fontId="5" fillId="0" borderId="18" xfId="0" applyNumberFormat="1" applyFont="1" applyFill="1" applyBorder="1" applyAlignment="1">
      <alignment horizontal="center" vertical="center"/>
    </xf>
    <xf numFmtId="180" fontId="5" fillId="0" borderId="76" xfId="0" applyNumberFormat="1" applyFont="1" applyFill="1" applyBorder="1" applyAlignment="1">
      <alignment horizontal="center" vertical="center"/>
    </xf>
    <xf numFmtId="177" fontId="8" fillId="3" borderId="263" xfId="0" applyNumberFormat="1" applyFont="1" applyFill="1" applyBorder="1" applyAlignment="1">
      <alignment horizontal="center" vertical="center"/>
    </xf>
    <xf numFmtId="177" fontId="8" fillId="3" borderId="264" xfId="0" applyNumberFormat="1" applyFont="1" applyFill="1" applyBorder="1" applyAlignment="1">
      <alignment horizontal="center" vertical="center"/>
    </xf>
    <xf numFmtId="179" fontId="15" fillId="0" borderId="0" xfId="0" applyNumberFormat="1" applyFont="1" applyFill="1" applyAlignment="1">
      <alignment horizontal="center" vertical="center"/>
    </xf>
    <xf numFmtId="179" fontId="15" fillId="0" borderId="0" xfId="0" applyNumberFormat="1" applyFont="1" applyFill="1" applyBorder="1" applyAlignment="1">
      <alignment horizontal="center" vertical="center"/>
    </xf>
    <xf numFmtId="37" fontId="9" fillId="3" borderId="79" xfId="0" applyNumberFormat="1" applyFont="1" applyFill="1" applyBorder="1" applyAlignment="1">
      <alignment horizontal="center" vertical="center"/>
    </xf>
    <xf numFmtId="37" fontId="9" fillId="3" borderId="81" xfId="0" applyNumberFormat="1" applyFont="1" applyFill="1" applyBorder="1" applyAlignment="1">
      <alignment horizontal="center" vertical="center"/>
    </xf>
    <xf numFmtId="179" fontId="9" fillId="0" borderId="19" xfId="0" applyNumberFormat="1" applyFont="1" applyFill="1" applyBorder="1" applyAlignment="1">
      <alignment horizontal="center" vertical="center"/>
    </xf>
    <xf numFmtId="177" fontId="5" fillId="0" borderId="195" xfId="0" applyNumberFormat="1" applyFont="1" applyFill="1" applyBorder="1" applyAlignment="1">
      <alignment horizontal="center" vertical="center"/>
    </xf>
    <xf numFmtId="177" fontId="5" fillId="0" borderId="194" xfId="0" applyNumberFormat="1" applyFont="1" applyFill="1" applyBorder="1" applyAlignment="1">
      <alignment horizontal="center" vertical="center"/>
    </xf>
    <xf numFmtId="183" fontId="5" fillId="0" borderId="17" xfId="0" applyNumberFormat="1" applyFont="1" applyFill="1" applyBorder="1" applyAlignment="1">
      <alignment horizontal="center" vertical="center"/>
    </xf>
    <xf numFmtId="179" fontId="9" fillId="3" borderId="237" xfId="0" applyNumberFormat="1" applyFont="1" applyFill="1" applyBorder="1" applyAlignment="1">
      <alignment horizontal="center" vertical="center"/>
    </xf>
    <xf numFmtId="179" fontId="9" fillId="0" borderId="238" xfId="0" applyNumberFormat="1" applyFont="1" applyFill="1" applyBorder="1" applyAlignment="1">
      <alignment horizontal="center" vertical="center"/>
    </xf>
    <xf numFmtId="180" fontId="9" fillId="0" borderId="0" xfId="0" applyNumberFormat="1" applyFont="1" applyBorder="1">
      <alignment vertical="center"/>
    </xf>
    <xf numFmtId="180" fontId="9" fillId="0" borderId="0" xfId="0" applyNumberFormat="1" applyFont="1" applyFill="1">
      <alignment vertical="center"/>
    </xf>
    <xf numFmtId="180" fontId="9" fillId="0" borderId="0" xfId="0" applyNumberFormat="1" applyFont="1" applyFill="1" applyBorder="1">
      <alignment vertical="center"/>
    </xf>
    <xf numFmtId="179" fontId="9" fillId="0" borderId="0" xfId="0" applyNumberFormat="1" applyFont="1" applyFill="1" applyBorder="1" applyAlignment="1">
      <alignment horizontal="center" vertical="center"/>
    </xf>
    <xf numFmtId="177" fontId="3" fillId="2" borderId="269" xfId="0" applyNumberFormat="1" applyFont="1" applyFill="1" applyBorder="1" applyAlignment="1">
      <alignment horizontal="center" vertical="center"/>
    </xf>
    <xf numFmtId="41" fontId="8" fillId="3" borderId="79" xfId="2" applyFont="1" applyFill="1" applyBorder="1" applyAlignment="1">
      <alignment horizontal="center" vertical="center"/>
    </xf>
    <xf numFmtId="41" fontId="8" fillId="3" borderId="81" xfId="2" applyFont="1" applyFill="1" applyBorder="1" applyAlignment="1">
      <alignment horizontal="center" vertical="center"/>
    </xf>
    <xf numFmtId="41" fontId="8" fillId="0" borderId="79" xfId="2" applyFont="1" applyFill="1" applyBorder="1" applyAlignment="1">
      <alignment horizontal="center" vertical="center"/>
    </xf>
    <xf numFmtId="9" fontId="0" fillId="0" borderId="0" xfId="0" applyNumberFormat="1">
      <alignment vertical="center"/>
    </xf>
    <xf numFmtId="41" fontId="9" fillId="0" borderId="88" xfId="2" applyFont="1" applyFill="1" applyBorder="1">
      <alignment vertical="center"/>
    </xf>
    <xf numFmtId="41" fontId="9" fillId="0" borderId="89" xfId="2" applyFont="1" applyFill="1" applyBorder="1">
      <alignment vertical="center"/>
    </xf>
    <xf numFmtId="184" fontId="9" fillId="0" borderId="0" xfId="2" applyNumberFormat="1" applyFont="1" applyFill="1" applyBorder="1">
      <alignment vertical="center"/>
    </xf>
    <xf numFmtId="182" fontId="15" fillId="7" borderId="0" xfId="0" applyNumberFormat="1" applyFont="1" applyFill="1">
      <alignment vertical="center"/>
    </xf>
    <xf numFmtId="182" fontId="15" fillId="7" borderId="0" xfId="2" applyNumberFormat="1" applyFont="1" applyFill="1">
      <alignment vertical="center"/>
    </xf>
    <xf numFmtId="182" fontId="5" fillId="6" borderId="270" xfId="0" applyNumberFormat="1" applyFont="1" applyFill="1" applyBorder="1" applyAlignment="1">
      <alignment horizontal="center" vertical="center"/>
    </xf>
    <xf numFmtId="177" fontId="5" fillId="6" borderId="271" xfId="1" applyNumberFormat="1" applyFont="1" applyFill="1" applyBorder="1" applyAlignment="1">
      <alignment horizontal="center" vertical="center"/>
    </xf>
    <xf numFmtId="177" fontId="5" fillId="6" borderId="272" xfId="0" applyNumberFormat="1" applyFont="1" applyFill="1" applyBorder="1" applyAlignment="1">
      <alignment horizontal="center" vertical="center"/>
    </xf>
    <xf numFmtId="177" fontId="5" fillId="6" borderId="273" xfId="0" applyNumberFormat="1" applyFont="1" applyFill="1" applyBorder="1" applyAlignment="1">
      <alignment horizontal="center" vertical="center"/>
    </xf>
    <xf numFmtId="177" fontId="5" fillId="6" borderId="274" xfId="0" applyNumberFormat="1" applyFont="1" applyFill="1" applyBorder="1" applyAlignment="1">
      <alignment horizontal="center" vertical="center"/>
    </xf>
    <xf numFmtId="177" fontId="5" fillId="6" borderId="275" xfId="0" applyNumberFormat="1" applyFont="1" applyFill="1" applyBorder="1" applyAlignment="1">
      <alignment horizontal="center" vertical="center"/>
    </xf>
    <xf numFmtId="182" fontId="9" fillId="0" borderId="0" xfId="0" applyNumberFormat="1" applyFont="1" applyFill="1" applyAlignment="1">
      <alignment horizontal="center" vertical="center"/>
    </xf>
    <xf numFmtId="179" fontId="5" fillId="3" borderId="199" xfId="0" applyNumberFormat="1" applyFont="1" applyFill="1" applyBorder="1" applyAlignment="1">
      <alignment horizontal="center" vertical="center"/>
    </xf>
    <xf numFmtId="9" fontId="8" fillId="0" borderId="0" xfId="3" applyFont="1" applyAlignment="1">
      <alignment horizontal="center" vertical="center"/>
    </xf>
    <xf numFmtId="177" fontId="5" fillId="6" borderId="257" xfId="0" applyNumberFormat="1" applyFont="1" applyFill="1" applyBorder="1" applyAlignment="1">
      <alignment horizontal="center" vertical="center"/>
    </xf>
    <xf numFmtId="181" fontId="8" fillId="6" borderId="259" xfId="0" applyNumberFormat="1" applyFont="1" applyFill="1" applyBorder="1" applyAlignment="1">
      <alignment horizontal="center" vertical="center"/>
    </xf>
    <xf numFmtId="181" fontId="8" fillId="6" borderId="260" xfId="0" applyNumberFormat="1" applyFont="1" applyFill="1" applyBorder="1" applyAlignment="1">
      <alignment horizontal="center" vertical="center"/>
    </xf>
    <xf numFmtId="177" fontId="8" fillId="6" borderId="260" xfId="0" applyNumberFormat="1" applyFont="1" applyFill="1" applyBorder="1" applyAlignment="1">
      <alignment horizontal="center" vertical="center"/>
    </xf>
    <xf numFmtId="177" fontId="8" fillId="6" borderId="261" xfId="0" applyNumberFormat="1" applyFont="1" applyFill="1" applyBorder="1" applyAlignment="1">
      <alignment horizontal="center" vertical="center"/>
    </xf>
    <xf numFmtId="37" fontId="9" fillId="6" borderId="60" xfId="2" applyNumberFormat="1" applyFont="1" applyFill="1" applyBorder="1" applyAlignment="1">
      <alignment horizontal="center" vertical="center"/>
    </xf>
    <xf numFmtId="180" fontId="9" fillId="6" borderId="160" xfId="0" applyNumberFormat="1" applyFont="1" applyFill="1" applyBorder="1" applyAlignment="1">
      <alignment horizontal="center" vertical="center"/>
    </xf>
    <xf numFmtId="180" fontId="9" fillId="6" borderId="237" xfId="0" applyNumberFormat="1" applyFont="1" applyFill="1" applyBorder="1" applyAlignment="1">
      <alignment horizontal="center" vertical="center"/>
    </xf>
    <xf numFmtId="180" fontId="8" fillId="6" borderId="215" xfId="0" applyNumberFormat="1" applyFont="1" applyFill="1" applyBorder="1" applyAlignment="1">
      <alignment horizontal="center" vertical="center"/>
    </xf>
    <xf numFmtId="182" fontId="9" fillId="6" borderId="223" xfId="0" applyNumberFormat="1" applyFont="1" applyFill="1" applyBorder="1" applyAlignment="1">
      <alignment horizontal="center" vertical="center"/>
    </xf>
    <xf numFmtId="182" fontId="9" fillId="6" borderId="80" xfId="0" applyNumberFormat="1" applyFont="1" applyFill="1" applyBorder="1" applyAlignment="1">
      <alignment horizontal="center" vertical="center"/>
    </xf>
    <xf numFmtId="182" fontId="9" fillId="6" borderId="152" xfId="0" applyNumberFormat="1" applyFont="1" applyFill="1" applyBorder="1" applyAlignment="1">
      <alignment horizontal="center" vertical="center"/>
    </xf>
    <xf numFmtId="182" fontId="9" fillId="6" borderId="159" xfId="2" applyNumberFormat="1" applyFont="1" applyFill="1" applyBorder="1" applyAlignment="1">
      <alignment horizontal="center" vertical="center"/>
    </xf>
    <xf numFmtId="182" fontId="9" fillId="6" borderId="159" xfId="0" applyNumberFormat="1" applyFont="1" applyFill="1" applyBorder="1" applyAlignment="1">
      <alignment horizontal="center" vertical="center"/>
    </xf>
    <xf numFmtId="182" fontId="8" fillId="6" borderId="252" xfId="2" applyNumberFormat="1" applyFont="1" applyFill="1" applyBorder="1">
      <alignment vertical="center"/>
    </xf>
    <xf numFmtId="41" fontId="8" fillId="6" borderId="116" xfId="0" applyNumberFormat="1" applyFont="1" applyFill="1" applyBorder="1">
      <alignment vertical="center"/>
    </xf>
    <xf numFmtId="177" fontId="9" fillId="6" borderId="244" xfId="2" applyNumberFormat="1" applyFont="1" applyFill="1" applyBorder="1">
      <alignment vertical="center"/>
    </xf>
    <xf numFmtId="41" fontId="8" fillId="6" borderId="58" xfId="2" applyFont="1" applyFill="1" applyBorder="1" applyAlignment="1">
      <alignment horizontal="center" vertical="center"/>
    </xf>
    <xf numFmtId="41" fontId="8" fillId="6" borderId="80" xfId="2" applyFont="1" applyFill="1" applyBorder="1" applyAlignment="1">
      <alignment horizontal="center" vertical="center"/>
    </xf>
    <xf numFmtId="41" fontId="8" fillId="6" borderId="79" xfId="2" applyFont="1" applyFill="1" applyBorder="1" applyAlignment="1">
      <alignment horizontal="center" vertical="center"/>
    </xf>
    <xf numFmtId="177" fontId="5" fillId="6" borderId="258" xfId="0" applyNumberFormat="1" applyFont="1" applyFill="1" applyBorder="1" applyAlignment="1">
      <alignment horizontal="center" vertical="center"/>
    </xf>
    <xf numFmtId="181" fontId="8" fillId="6" borderId="245" xfId="0" applyNumberFormat="1" applyFont="1" applyFill="1" applyBorder="1" applyAlignment="1">
      <alignment horizontal="center" vertical="center"/>
    </xf>
    <xf numFmtId="181" fontId="8" fillId="6" borderId="242" xfId="0" applyNumberFormat="1" applyFont="1" applyFill="1" applyBorder="1" applyAlignment="1">
      <alignment horizontal="center" vertical="center"/>
    </xf>
    <xf numFmtId="177" fontId="8" fillId="6" borderId="266" xfId="0" applyNumberFormat="1" applyFont="1" applyFill="1" applyBorder="1" applyAlignment="1">
      <alignment horizontal="center" vertical="center"/>
    </xf>
    <xf numFmtId="177" fontId="8" fillId="6" borderId="265" xfId="0" applyNumberFormat="1" applyFont="1" applyFill="1" applyBorder="1" applyAlignment="1">
      <alignment horizontal="center" vertical="center"/>
    </xf>
    <xf numFmtId="37" fontId="9" fillId="6" borderId="61" xfId="2" applyNumberFormat="1" applyFont="1" applyFill="1" applyBorder="1" applyAlignment="1">
      <alignment horizontal="center" vertical="center"/>
    </xf>
    <xf numFmtId="41" fontId="9" fillId="6" borderId="159" xfId="2" applyFont="1" applyFill="1" applyBorder="1" applyAlignment="1">
      <alignment horizontal="center" vertical="center"/>
    </xf>
    <xf numFmtId="41" fontId="8" fillId="6" borderId="253" xfId="0" applyNumberFormat="1" applyFont="1" applyFill="1" applyBorder="1">
      <alignment vertical="center"/>
    </xf>
    <xf numFmtId="177" fontId="9" fillId="6" borderId="245" xfId="2" applyNumberFormat="1" applyFont="1" applyFill="1" applyBorder="1">
      <alignment vertical="center"/>
    </xf>
    <xf numFmtId="182" fontId="9" fillId="6" borderId="242" xfId="2" applyNumberFormat="1" applyFont="1" applyFill="1" applyBorder="1">
      <alignment vertical="center"/>
    </xf>
    <xf numFmtId="177" fontId="5" fillId="6" borderId="231" xfId="0" applyNumberFormat="1" applyFont="1" applyFill="1" applyBorder="1" applyAlignment="1">
      <alignment horizontal="center" vertical="center"/>
    </xf>
    <xf numFmtId="177" fontId="5" fillId="6" borderId="245" xfId="0" applyNumberFormat="1" applyFont="1" applyFill="1" applyBorder="1" applyAlignment="1">
      <alignment horizontal="center" vertical="center"/>
    </xf>
    <xf numFmtId="177" fontId="5" fillId="6" borderId="242" xfId="0" applyNumberFormat="1" applyFont="1" applyFill="1" applyBorder="1" applyAlignment="1">
      <alignment horizontal="center" vertical="center"/>
    </xf>
    <xf numFmtId="182" fontId="15" fillId="0" borderId="0" xfId="0" applyNumberFormat="1" applyFont="1" applyFill="1">
      <alignment vertical="center"/>
    </xf>
    <xf numFmtId="182" fontId="15" fillId="0" borderId="0" xfId="2" applyNumberFormat="1" applyFont="1" applyFill="1">
      <alignment vertical="center"/>
    </xf>
    <xf numFmtId="182" fontId="20" fillId="0" borderId="0" xfId="2" applyNumberFormat="1" applyFont="1" applyFill="1">
      <alignment vertical="center"/>
    </xf>
    <xf numFmtId="177" fontId="5" fillId="6" borderId="256" xfId="0" applyNumberFormat="1" applyFont="1" applyFill="1" applyBorder="1" applyAlignment="1">
      <alignment horizontal="center" vertical="center"/>
    </xf>
    <xf numFmtId="177" fontId="5" fillId="6" borderId="255" xfId="0" applyNumberFormat="1" applyFont="1" applyFill="1" applyBorder="1" applyAlignment="1">
      <alignment horizontal="center" vertical="center"/>
    </xf>
    <xf numFmtId="177" fontId="5" fillId="6" borderId="176" xfId="0" applyNumberFormat="1" applyFont="1" applyFill="1" applyBorder="1" applyAlignment="1">
      <alignment horizontal="center" vertical="center"/>
    </xf>
    <xf numFmtId="177" fontId="5" fillId="6" borderId="276" xfId="0" applyNumberFormat="1" applyFont="1" applyFill="1" applyBorder="1" applyAlignment="1">
      <alignment horizontal="center" vertical="center"/>
    </xf>
    <xf numFmtId="177" fontId="5" fillId="6" borderId="277" xfId="0" applyNumberFormat="1" applyFont="1" applyFill="1" applyBorder="1" applyAlignment="1">
      <alignment horizontal="center" vertical="center"/>
    </xf>
    <xf numFmtId="180" fontId="0" fillId="0" borderId="0" xfId="0" applyNumberFormat="1">
      <alignment vertical="center"/>
    </xf>
    <xf numFmtId="41" fontId="8" fillId="6" borderId="61" xfId="2" applyFont="1" applyFill="1" applyBorder="1" applyAlignment="1">
      <alignment horizontal="center" vertical="center"/>
    </xf>
    <xf numFmtId="41" fontId="9" fillId="6" borderId="242" xfId="2" applyFont="1" applyFill="1" applyBorder="1">
      <alignment vertical="center"/>
    </xf>
    <xf numFmtId="184" fontId="9" fillId="6" borderId="89" xfId="2" applyNumberFormat="1" applyFont="1" applyFill="1" applyBorder="1">
      <alignment vertical="center"/>
    </xf>
    <xf numFmtId="41" fontId="8" fillId="3" borderId="145" xfId="2" applyFont="1" applyFill="1" applyBorder="1">
      <alignment vertical="center"/>
    </xf>
    <xf numFmtId="0" fontId="8" fillId="3" borderId="0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177" fontId="5" fillId="6" borderId="225" xfId="0" applyNumberFormat="1" applyFont="1" applyFill="1" applyBorder="1" applyAlignment="1">
      <alignment horizontal="center" vertical="center"/>
    </xf>
    <xf numFmtId="177" fontId="5" fillId="6" borderId="86" xfId="0" applyNumberFormat="1" applyFont="1" applyFill="1" applyBorder="1" applyAlignment="1">
      <alignment horizontal="center" vertical="center"/>
    </xf>
    <xf numFmtId="177" fontId="8" fillId="3" borderId="262" xfId="0" applyNumberFormat="1" applyFont="1" applyFill="1" applyBorder="1" applyAlignment="1">
      <alignment horizontal="center" vertical="center"/>
    </xf>
    <xf numFmtId="37" fontId="9" fillId="3" borderId="109" xfId="0" applyNumberFormat="1" applyFont="1" applyFill="1" applyBorder="1" applyAlignment="1">
      <alignment horizontal="center" vertical="center"/>
    </xf>
    <xf numFmtId="180" fontId="5" fillId="0" borderId="12" xfId="0" applyNumberFormat="1" applyFont="1" applyFill="1" applyBorder="1" applyAlignment="1">
      <alignment horizontal="center" vertical="center"/>
    </xf>
    <xf numFmtId="180" fontId="5" fillId="0" borderId="17" xfId="0" applyNumberFormat="1" applyFont="1" applyFill="1" applyBorder="1" applyAlignment="1">
      <alignment horizontal="center" vertical="center"/>
    </xf>
    <xf numFmtId="180" fontId="5" fillId="0" borderId="180" xfId="0" applyNumberFormat="1" applyFont="1" applyFill="1" applyBorder="1" applyAlignment="1">
      <alignment horizontal="center" vertical="center"/>
    </xf>
    <xf numFmtId="181" fontId="5" fillId="0" borderId="11" xfId="0" applyNumberFormat="1" applyFont="1" applyFill="1" applyBorder="1" applyAlignment="1">
      <alignment horizontal="center" vertical="center"/>
    </xf>
    <xf numFmtId="181" fontId="5" fillId="0" borderId="16" xfId="0" applyNumberFormat="1" applyFont="1" applyFill="1" applyBorder="1" applyAlignment="1">
      <alignment horizontal="center" vertical="center"/>
    </xf>
    <xf numFmtId="181" fontId="5" fillId="0" borderId="17" xfId="0" applyNumberFormat="1" applyFont="1" applyFill="1" applyBorder="1" applyAlignment="1">
      <alignment horizontal="center" vertical="center"/>
    </xf>
    <xf numFmtId="181" fontId="5" fillId="0" borderId="25" xfId="0" applyNumberFormat="1" applyFont="1" applyFill="1" applyBorder="1" applyAlignment="1">
      <alignment horizontal="center" vertical="center"/>
    </xf>
    <xf numFmtId="181" fontId="5" fillId="0" borderId="26" xfId="0" applyNumberFormat="1" applyFont="1" applyFill="1" applyBorder="1" applyAlignment="1">
      <alignment horizontal="center" vertical="center"/>
    </xf>
    <xf numFmtId="181" fontId="5" fillId="0" borderId="180" xfId="0" applyNumberFormat="1" applyFont="1" applyFill="1" applyBorder="1" applyAlignment="1">
      <alignment horizontal="center" vertical="center"/>
    </xf>
    <xf numFmtId="183" fontId="5" fillId="0" borderId="11" xfId="3" applyNumberFormat="1" applyFont="1" applyFill="1" applyBorder="1" applyAlignment="1">
      <alignment horizontal="center" vertical="center"/>
    </xf>
    <xf numFmtId="177" fontId="5" fillId="0" borderId="15" xfId="0" applyNumberFormat="1" applyFont="1" applyFill="1" applyBorder="1" applyAlignment="1">
      <alignment horizontal="center" vertical="center"/>
    </xf>
    <xf numFmtId="179" fontId="9" fillId="0" borderId="203" xfId="0" applyNumberFormat="1" applyFont="1" applyFill="1" applyBorder="1" applyAlignment="1">
      <alignment horizontal="center" vertical="center"/>
    </xf>
    <xf numFmtId="188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80" fontId="5" fillId="6" borderId="242" xfId="0" applyNumberFormat="1" applyFont="1" applyFill="1" applyBorder="1" applyAlignment="1">
      <alignment horizontal="center" vertical="center"/>
    </xf>
    <xf numFmtId="180" fontId="5" fillId="6" borderId="245" xfId="0" applyNumberFormat="1" applyFont="1" applyFill="1" applyBorder="1" applyAlignment="1">
      <alignment horizontal="center" vertical="center"/>
    </xf>
    <xf numFmtId="177" fontId="9" fillId="8" borderId="61" xfId="0" applyNumberFormat="1" applyFont="1" applyFill="1" applyBorder="1" applyAlignment="1">
      <alignment horizontal="center" vertical="center"/>
    </xf>
    <xf numFmtId="179" fontId="9" fillId="8" borderId="19" xfId="0" applyNumberFormat="1" applyFont="1" applyFill="1" applyBorder="1" applyAlignment="1">
      <alignment horizontal="center" vertical="center"/>
    </xf>
    <xf numFmtId="177" fontId="15" fillId="0" borderId="172" xfId="0" applyNumberFormat="1" applyFont="1" applyBorder="1" applyAlignment="1">
      <alignment horizontal="center" vertical="center"/>
    </xf>
    <xf numFmtId="177" fontId="15" fillId="0" borderId="77" xfId="0" applyNumberFormat="1" applyFont="1" applyBorder="1" applyAlignment="1">
      <alignment horizontal="center" vertical="center"/>
    </xf>
    <xf numFmtId="177" fontId="15" fillId="0" borderId="79" xfId="0" applyNumberFormat="1" applyFont="1" applyBorder="1" applyAlignment="1">
      <alignment horizontal="center" vertical="center"/>
    </xf>
    <xf numFmtId="9" fontId="9" fillId="6" borderId="251" xfId="3" applyFont="1" applyFill="1" applyBorder="1">
      <alignment vertical="center"/>
    </xf>
    <xf numFmtId="177" fontId="8" fillId="4" borderId="22" xfId="0" applyNumberFormat="1" applyFont="1" applyFill="1" applyBorder="1" applyAlignment="1">
      <alignment horizontal="center" vertical="center"/>
    </xf>
    <xf numFmtId="179" fontId="0" fillId="0" borderId="0" xfId="0" applyNumberForma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177" fontId="8" fillId="4" borderId="21" xfId="0" applyNumberFormat="1" applyFont="1" applyFill="1" applyBorder="1" applyAlignment="1">
      <alignment horizontal="center" vertical="center"/>
    </xf>
    <xf numFmtId="0" fontId="24" fillId="0" borderId="0" xfId="0" applyFont="1" applyFill="1">
      <alignment vertical="center"/>
    </xf>
    <xf numFmtId="9" fontId="0" fillId="0" borderId="0" xfId="3" applyFont="1" applyAlignment="1">
      <alignment horizontal="center" vertical="center"/>
    </xf>
    <xf numFmtId="9" fontId="15" fillId="0" borderId="0" xfId="3" applyFont="1" applyFill="1">
      <alignment vertical="center"/>
    </xf>
    <xf numFmtId="182" fontId="9" fillId="0" borderId="0" xfId="2" applyNumberFormat="1" applyFont="1" applyFill="1" applyBorder="1">
      <alignment vertical="center"/>
    </xf>
    <xf numFmtId="41" fontId="9" fillId="3" borderId="282" xfId="2" applyFont="1" applyFill="1" applyBorder="1">
      <alignment vertical="center"/>
    </xf>
    <xf numFmtId="9" fontId="9" fillId="0" borderId="0" xfId="3" applyFont="1" applyFill="1" applyBorder="1">
      <alignment vertical="center"/>
    </xf>
    <xf numFmtId="41" fontId="21" fillId="0" borderId="0" xfId="3" applyNumberFormat="1" applyFont="1">
      <alignment vertical="center"/>
    </xf>
    <xf numFmtId="183" fontId="21" fillId="0" borderId="0" xfId="3" applyNumberFormat="1" applyFont="1">
      <alignment vertical="center"/>
    </xf>
    <xf numFmtId="181" fontId="8" fillId="6" borderId="267" xfId="0" applyNumberFormat="1" applyFont="1" applyFill="1" applyBorder="1" applyAlignment="1">
      <alignment horizontal="center" vertical="center"/>
    </xf>
    <xf numFmtId="181" fontId="8" fillId="6" borderId="266" xfId="0" applyNumberFormat="1" applyFont="1" applyFill="1" applyBorder="1" applyAlignment="1">
      <alignment horizontal="center" vertical="center"/>
    </xf>
    <xf numFmtId="37" fontId="8" fillId="6" borderId="79" xfId="0" applyNumberFormat="1" applyFont="1" applyFill="1" applyBorder="1" applyAlignment="1">
      <alignment horizontal="center" vertical="center"/>
    </xf>
    <xf numFmtId="37" fontId="9" fillId="6" borderId="79" xfId="0" applyNumberFormat="1" applyFont="1" applyFill="1" applyBorder="1" applyAlignment="1">
      <alignment horizontal="center" vertical="center"/>
    </xf>
    <xf numFmtId="180" fontId="8" fillId="6" borderId="111" xfId="0" applyNumberFormat="1" applyFont="1" applyFill="1" applyBorder="1">
      <alignment vertical="center"/>
    </xf>
    <xf numFmtId="41" fontId="8" fillId="6" borderId="113" xfId="2" applyFont="1" applyFill="1" applyBorder="1">
      <alignment vertical="center"/>
    </xf>
    <xf numFmtId="41" fontId="8" fillId="6" borderId="254" xfId="0" applyNumberFormat="1" applyFont="1" applyFill="1" applyBorder="1">
      <alignment vertical="center"/>
    </xf>
    <xf numFmtId="41" fontId="8" fillId="6" borderId="72" xfId="0" applyNumberFormat="1" applyFont="1" applyFill="1" applyBorder="1">
      <alignment vertical="center"/>
    </xf>
    <xf numFmtId="41" fontId="8" fillId="6" borderId="84" xfId="2" applyFont="1" applyFill="1" applyBorder="1" applyAlignment="1">
      <alignment horizontal="center" vertical="center"/>
    </xf>
    <xf numFmtId="41" fontId="8" fillId="6" borderId="83" xfId="2" applyFont="1" applyFill="1" applyBorder="1" applyAlignment="1">
      <alignment horizontal="center" vertical="center"/>
    </xf>
    <xf numFmtId="41" fontId="8" fillId="6" borderId="81" xfId="2" applyFont="1" applyFill="1" applyBorder="1" applyAlignment="1">
      <alignment horizontal="center" vertical="center"/>
    </xf>
    <xf numFmtId="182" fontId="9" fillId="6" borderId="89" xfId="2" applyNumberFormat="1" applyFont="1" applyFill="1" applyBorder="1">
      <alignment vertical="center"/>
    </xf>
    <xf numFmtId="179" fontId="5" fillId="6" borderId="0" xfId="0" applyNumberFormat="1" applyFont="1" applyFill="1" applyBorder="1" applyAlignment="1">
      <alignment horizontal="center" vertical="center"/>
    </xf>
    <xf numFmtId="179" fontId="5" fillId="6" borderId="40" xfId="0" applyNumberFormat="1" applyFont="1" applyFill="1" applyBorder="1" applyAlignment="1">
      <alignment horizontal="center" vertical="center"/>
    </xf>
    <xf numFmtId="181" fontId="8" fillId="6" borderId="243" xfId="0" applyNumberFormat="1" applyFont="1" applyFill="1" applyBorder="1" applyAlignment="1">
      <alignment horizontal="center" vertical="center"/>
    </xf>
    <xf numFmtId="177" fontId="8" fillId="7" borderId="266" xfId="0" applyNumberFormat="1" applyFont="1" applyFill="1" applyBorder="1" applyAlignment="1">
      <alignment horizontal="center" vertical="center"/>
    </xf>
    <xf numFmtId="37" fontId="9" fillId="7" borderId="60" xfId="2" applyNumberFormat="1" applyFont="1" applyFill="1" applyBorder="1" applyAlignment="1">
      <alignment horizontal="center" vertical="center"/>
    </xf>
    <xf numFmtId="177" fontId="9" fillId="6" borderId="246" xfId="2" applyNumberFormat="1" applyFont="1" applyFill="1" applyBorder="1">
      <alignment vertical="center"/>
    </xf>
    <xf numFmtId="182" fontId="15" fillId="7" borderId="0" xfId="0" applyNumberFormat="1" applyFont="1" applyFill="1" applyAlignment="1">
      <alignment horizontal="center" vertical="center"/>
    </xf>
    <xf numFmtId="182" fontId="15" fillId="7" borderId="0" xfId="2" applyNumberFormat="1" applyFont="1" applyFill="1" applyAlignment="1">
      <alignment horizontal="center" vertical="center"/>
    </xf>
    <xf numFmtId="180" fontId="9" fillId="6" borderId="268" xfId="0" applyNumberFormat="1" applyFont="1" applyFill="1" applyBorder="1" applyAlignment="1">
      <alignment horizontal="center" vertical="center"/>
    </xf>
    <xf numFmtId="180" fontId="9" fillId="6" borderId="84" xfId="0" applyNumberFormat="1" applyFont="1" applyFill="1" applyBorder="1" applyAlignment="1">
      <alignment horizontal="center" vertical="center"/>
    </xf>
    <xf numFmtId="192" fontId="9" fillId="0" borderId="0" xfId="0" applyNumberFormat="1" applyFont="1" applyFill="1">
      <alignment vertical="center"/>
    </xf>
    <xf numFmtId="41" fontId="0" fillId="0" borderId="0" xfId="2" applyFont="1" applyFill="1">
      <alignment vertical="center"/>
    </xf>
    <xf numFmtId="179" fontId="9" fillId="6" borderId="160" xfId="0" applyNumberFormat="1" applyFont="1" applyFill="1" applyBorder="1" applyAlignment="1">
      <alignment horizontal="center" vertical="center"/>
    </xf>
    <xf numFmtId="41" fontId="20" fillId="0" borderId="0" xfId="2" applyFont="1" applyFill="1" applyAlignment="1">
      <alignment horizontal="center" vertical="center"/>
    </xf>
    <xf numFmtId="193" fontId="0" fillId="0" borderId="0" xfId="0" applyNumberFormat="1">
      <alignment vertical="center"/>
    </xf>
    <xf numFmtId="0" fontId="5" fillId="0" borderId="164" xfId="0" applyFont="1" applyBorder="1" applyAlignment="1">
      <alignment horizontal="center" vertical="center"/>
    </xf>
    <xf numFmtId="177" fontId="5" fillId="6" borderId="23" xfId="0" applyNumberFormat="1" applyFont="1" applyFill="1" applyBorder="1" applyAlignment="1">
      <alignment horizontal="center" vertical="center"/>
    </xf>
    <xf numFmtId="177" fontId="5" fillId="6" borderId="137" xfId="0" applyNumberFormat="1" applyFont="1" applyFill="1" applyBorder="1" applyAlignment="1">
      <alignment horizontal="center" vertical="center"/>
    </xf>
    <xf numFmtId="182" fontId="22" fillId="0" borderId="0" xfId="2" applyNumberFormat="1" applyFont="1" applyFill="1" applyAlignment="1">
      <alignment horizontal="center" vertical="center"/>
    </xf>
    <xf numFmtId="177" fontId="5" fillId="6" borderId="60" xfId="0" applyNumberFormat="1" applyFont="1" applyFill="1" applyBorder="1" applyAlignment="1">
      <alignment horizontal="center" vertical="center"/>
    </xf>
    <xf numFmtId="177" fontId="5" fillId="6" borderId="278" xfId="0" applyNumberFormat="1" applyFont="1" applyFill="1" applyBorder="1" applyAlignment="1">
      <alignment horizontal="center" vertical="center"/>
    </xf>
    <xf numFmtId="181" fontId="8" fillId="6" borderId="57" xfId="0" applyNumberFormat="1" applyFont="1" applyFill="1" applyBorder="1" applyAlignment="1">
      <alignment horizontal="center" vertical="center"/>
    </xf>
    <xf numFmtId="181" fontId="8" fillId="6" borderId="60" xfId="0" applyNumberFormat="1" applyFont="1" applyFill="1" applyBorder="1" applyAlignment="1">
      <alignment horizontal="center" vertical="center"/>
    </xf>
    <xf numFmtId="181" fontId="9" fillId="6" borderId="61" xfId="0" applyNumberFormat="1" applyFont="1" applyFill="1" applyBorder="1" applyAlignment="1">
      <alignment horizontal="center" vertical="center"/>
    </xf>
    <xf numFmtId="177" fontId="5" fillId="6" borderId="281" xfId="0" applyNumberFormat="1" applyFont="1" applyFill="1" applyBorder="1" applyAlignment="1">
      <alignment horizontal="center" vertical="center"/>
    </xf>
    <xf numFmtId="180" fontId="5" fillId="6" borderId="38" xfId="0" applyNumberFormat="1" applyFont="1" applyFill="1" applyBorder="1" applyAlignment="1">
      <alignment horizontal="center" vertical="center"/>
    </xf>
    <xf numFmtId="180" fontId="5" fillId="6" borderId="11" xfId="0" applyNumberFormat="1" applyFont="1" applyFill="1" applyBorder="1" applyAlignment="1">
      <alignment horizontal="center" vertical="center"/>
    </xf>
    <xf numFmtId="41" fontId="8" fillId="6" borderId="108" xfId="2" applyFont="1" applyFill="1" applyBorder="1">
      <alignment vertical="center"/>
    </xf>
    <xf numFmtId="41" fontId="8" fillId="0" borderId="9" xfId="2" applyFont="1" applyFill="1" applyBorder="1" applyAlignment="1">
      <alignment horizontal="center" vertical="center" wrapText="1"/>
    </xf>
    <xf numFmtId="182" fontId="0" fillId="0" borderId="0" xfId="2" applyNumberFormat="1" applyFont="1">
      <alignment vertical="center"/>
    </xf>
    <xf numFmtId="0" fontId="15" fillId="0" borderId="0" xfId="0" applyFont="1" applyFill="1" applyAlignment="1">
      <alignment horizontal="center" vertical="center"/>
    </xf>
    <xf numFmtId="9" fontId="15" fillId="0" borderId="0" xfId="0" applyNumberFormat="1" applyFont="1" applyFill="1" applyAlignment="1">
      <alignment horizontal="center" vertical="center"/>
    </xf>
    <xf numFmtId="177" fontId="5" fillId="6" borderId="28" xfId="0" applyNumberFormat="1" applyFont="1" applyFill="1" applyBorder="1" applyAlignment="1">
      <alignment horizontal="center" vertical="center"/>
    </xf>
    <xf numFmtId="177" fontId="5" fillId="6" borderId="82" xfId="0" applyNumberFormat="1" applyFont="1" applyFill="1" applyBorder="1" applyAlignment="1">
      <alignment horizontal="center" vertical="center"/>
    </xf>
    <xf numFmtId="177" fontId="8" fillId="6" borderId="61" xfId="0" applyNumberFormat="1" applyFont="1" applyFill="1" applyBorder="1" applyAlignment="1">
      <alignment horizontal="center" vertical="center"/>
    </xf>
    <xf numFmtId="10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188" fontId="23" fillId="6" borderId="53" xfId="0" applyNumberFormat="1" applyFont="1" applyFill="1" applyBorder="1" applyAlignment="1">
      <alignment horizontal="center" vertical="center"/>
    </xf>
    <xf numFmtId="178" fontId="8" fillId="6" borderId="105" xfId="0" applyNumberFormat="1" applyFont="1" applyFill="1" applyBorder="1">
      <alignment vertical="center"/>
    </xf>
    <xf numFmtId="41" fontId="9" fillId="6" borderId="59" xfId="2" applyFont="1" applyFill="1" applyBorder="1">
      <alignment vertical="center"/>
    </xf>
    <xf numFmtId="41" fontId="9" fillId="6" borderId="83" xfId="2" applyFont="1" applyFill="1" applyBorder="1">
      <alignment vertical="center"/>
    </xf>
    <xf numFmtId="181" fontId="17" fillId="2" borderId="186" xfId="0" applyNumberFormat="1" applyFont="1" applyFill="1" applyBorder="1" applyAlignment="1">
      <alignment horizontal="center" vertical="center"/>
    </xf>
    <xf numFmtId="3" fontId="26" fillId="0" borderId="0" xfId="0" applyNumberFormat="1" applyFont="1">
      <alignment vertical="center"/>
    </xf>
    <xf numFmtId="194" fontId="21" fillId="0" borderId="0" xfId="3" applyNumberFormat="1" applyFont="1">
      <alignment vertical="center"/>
    </xf>
    <xf numFmtId="9" fontId="15" fillId="0" borderId="0" xfId="0" applyNumberFormat="1" applyFont="1" applyFill="1">
      <alignment vertical="center"/>
    </xf>
    <xf numFmtId="9" fontId="0" fillId="0" borderId="0" xfId="3" applyFont="1" applyFill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182" fontId="8" fillId="3" borderId="9" xfId="0" applyNumberFormat="1" applyFont="1" applyFill="1" applyBorder="1" applyAlignment="1">
      <alignment horizontal="center" vertical="center"/>
    </xf>
    <xf numFmtId="182" fontId="8" fillId="0" borderId="9" xfId="0" applyNumberFormat="1" applyFont="1" applyBorder="1" applyAlignment="1">
      <alignment horizontal="center" vertical="center"/>
    </xf>
    <xf numFmtId="182" fontId="9" fillId="4" borderId="77" xfId="2" applyNumberFormat="1" applyFont="1" applyFill="1" applyBorder="1">
      <alignment vertical="center"/>
    </xf>
    <xf numFmtId="182" fontId="9" fillId="6" borderId="32" xfId="2" applyNumberFormat="1" applyFont="1" applyFill="1" applyBorder="1">
      <alignment vertical="center"/>
    </xf>
    <xf numFmtId="182" fontId="9" fillId="6" borderId="247" xfId="2" applyNumberFormat="1" applyFont="1" applyFill="1" applyBorder="1">
      <alignment vertical="center"/>
    </xf>
    <xf numFmtId="182" fontId="8" fillId="0" borderId="22" xfId="0" applyNumberFormat="1" applyFont="1" applyBorder="1" applyAlignment="1">
      <alignment horizontal="center" vertical="center"/>
    </xf>
    <xf numFmtId="182" fontId="9" fillId="4" borderId="60" xfId="2" applyNumberFormat="1" applyFont="1" applyFill="1" applyBorder="1">
      <alignment vertical="center"/>
    </xf>
    <xf numFmtId="182" fontId="9" fillId="6" borderId="19" xfId="2" applyNumberFormat="1" applyFont="1" applyFill="1" applyBorder="1">
      <alignment vertical="center"/>
    </xf>
    <xf numFmtId="182" fontId="9" fillId="6" borderId="249" xfId="2" applyNumberFormat="1" applyFont="1" applyFill="1" applyBorder="1">
      <alignment vertical="center"/>
    </xf>
    <xf numFmtId="182" fontId="8" fillId="3" borderId="9" xfId="1" applyNumberFormat="1" applyFont="1" applyFill="1" applyBorder="1" applyAlignment="1">
      <alignment horizontal="center" vertical="center"/>
    </xf>
    <xf numFmtId="182" fontId="9" fillId="3" borderId="77" xfId="2" applyNumberFormat="1" applyFont="1" applyFill="1" applyBorder="1">
      <alignment vertical="center"/>
    </xf>
    <xf numFmtId="182" fontId="9" fillId="3" borderId="32" xfId="2" applyNumberFormat="1" applyFont="1" applyFill="1" applyBorder="1">
      <alignment vertical="center"/>
    </xf>
    <xf numFmtId="182" fontId="8" fillId="3" borderId="74" xfId="2" applyNumberFormat="1" applyFont="1" applyFill="1" applyBorder="1" applyAlignment="1">
      <alignment horizontal="right" vertical="center"/>
    </xf>
    <xf numFmtId="182" fontId="8" fillId="3" borderId="236" xfId="2" applyNumberFormat="1" applyFont="1" applyFill="1" applyBorder="1" applyAlignment="1">
      <alignment horizontal="right" vertical="center"/>
    </xf>
    <xf numFmtId="182" fontId="0" fillId="0" borderId="0" xfId="0" applyNumberFormat="1" applyAlignment="1">
      <alignment horizontal="right" vertical="center"/>
    </xf>
    <xf numFmtId="180" fontId="15" fillId="0" borderId="0" xfId="0" applyNumberFormat="1" applyFont="1" applyFill="1">
      <alignment vertical="center"/>
    </xf>
    <xf numFmtId="0" fontId="0" fillId="0" borderId="0" xfId="0" applyFill="1" applyBorder="1" applyAlignment="1">
      <alignment horizontal="center" vertical="center"/>
    </xf>
    <xf numFmtId="9" fontId="5" fillId="6" borderId="80" xfId="3" applyFont="1" applyFill="1" applyBorder="1" applyAlignment="1">
      <alignment horizontal="center" vertical="center"/>
    </xf>
    <xf numFmtId="9" fontId="5" fillId="6" borderId="80" xfId="3" applyNumberFormat="1" applyFont="1" applyFill="1" applyBorder="1" applyAlignment="1">
      <alignment horizontal="center" vertical="center"/>
    </xf>
    <xf numFmtId="9" fontId="5" fillId="3" borderId="185" xfId="0" applyNumberFormat="1" applyFont="1" applyFill="1" applyBorder="1" applyAlignment="1">
      <alignment horizontal="center" vertical="center"/>
    </xf>
    <xf numFmtId="9" fontId="17" fillId="2" borderId="226" xfId="0" applyNumberFormat="1" applyFont="1" applyFill="1" applyBorder="1" applyAlignment="1">
      <alignment horizontal="center" vertical="center"/>
    </xf>
    <xf numFmtId="9" fontId="5" fillId="4" borderId="201" xfId="0" applyNumberFormat="1" applyFont="1" applyFill="1" applyBorder="1" applyAlignment="1">
      <alignment horizontal="center" vertical="center"/>
    </xf>
    <xf numFmtId="9" fontId="5" fillId="4" borderId="227" xfId="0" applyNumberFormat="1" applyFont="1" applyFill="1" applyBorder="1" applyAlignment="1">
      <alignment horizontal="center" vertical="center"/>
    </xf>
    <xf numFmtId="9" fontId="5" fillId="4" borderId="212" xfId="0" applyNumberFormat="1" applyFont="1" applyFill="1" applyBorder="1" applyAlignment="1">
      <alignment horizontal="center" vertical="center"/>
    </xf>
    <xf numFmtId="181" fontId="17" fillId="2" borderId="23" xfId="0" applyNumberFormat="1" applyFont="1" applyFill="1" applyBorder="1" applyAlignment="1">
      <alignment horizontal="center" vertical="center"/>
    </xf>
    <xf numFmtId="196" fontId="5" fillId="6" borderId="12" xfId="0" applyNumberFormat="1" applyFont="1" applyFill="1" applyBorder="1" applyAlignment="1">
      <alignment horizontal="center" vertical="center"/>
    </xf>
    <xf numFmtId="196" fontId="5" fillId="6" borderId="11" xfId="0" applyNumberFormat="1" applyFont="1" applyFill="1" applyBorder="1" applyAlignment="1">
      <alignment horizontal="center" vertical="center"/>
    </xf>
    <xf numFmtId="179" fontId="8" fillId="6" borderId="215" xfId="0" applyNumberFormat="1" applyFont="1" applyFill="1" applyBorder="1" applyAlignment="1">
      <alignment horizontal="center" vertical="center"/>
    </xf>
    <xf numFmtId="9" fontId="5" fillId="6" borderId="82" xfId="3" applyFont="1" applyFill="1" applyBorder="1" applyAlignment="1">
      <alignment horizontal="center" vertical="center"/>
    </xf>
    <xf numFmtId="9" fontId="5" fillId="6" borderId="178" xfId="3" applyFont="1" applyFill="1" applyBorder="1" applyAlignment="1">
      <alignment horizontal="center" vertical="center"/>
    </xf>
    <xf numFmtId="41" fontId="21" fillId="0" borderId="0" xfId="2" applyFont="1">
      <alignment vertical="center"/>
    </xf>
    <xf numFmtId="179" fontId="0" fillId="0" borderId="0" xfId="0" applyNumberFormat="1">
      <alignment vertical="center"/>
    </xf>
    <xf numFmtId="41" fontId="0" fillId="0" borderId="0" xfId="2" applyFont="1" applyBorder="1">
      <alignment vertical="center"/>
    </xf>
    <xf numFmtId="177" fontId="17" fillId="2" borderId="201" xfId="0" applyNumberFormat="1" applyFont="1" applyFill="1" applyBorder="1" applyAlignment="1">
      <alignment horizontal="center" vertical="center"/>
    </xf>
    <xf numFmtId="9" fontId="8" fillId="0" borderId="116" xfId="3" applyNumberFormat="1" applyFont="1" applyBorder="1">
      <alignment vertical="center"/>
    </xf>
    <xf numFmtId="41" fontId="9" fillId="6" borderId="240" xfId="2" applyFont="1" applyFill="1" applyBorder="1">
      <alignment vertical="center"/>
    </xf>
    <xf numFmtId="183" fontId="0" fillId="0" borderId="0" xfId="3" applyNumberFormat="1" applyFont="1">
      <alignment vertical="center"/>
    </xf>
    <xf numFmtId="178" fontId="8" fillId="0" borderId="284" xfId="0" applyNumberFormat="1" applyFont="1" applyBorder="1" applyAlignment="1">
      <alignment horizontal="center" vertical="center"/>
    </xf>
    <xf numFmtId="180" fontId="8" fillId="4" borderId="285" xfId="0" applyNumberFormat="1" applyFont="1" applyFill="1" applyBorder="1">
      <alignment vertical="center"/>
    </xf>
    <xf numFmtId="180" fontId="8" fillId="6" borderId="286" xfId="0" applyNumberFormat="1" applyFont="1" applyFill="1" applyBorder="1">
      <alignment vertical="center"/>
    </xf>
    <xf numFmtId="180" fontId="8" fillId="6" borderId="287" xfId="0" applyNumberFormat="1" applyFont="1" applyFill="1" applyBorder="1">
      <alignment vertical="center"/>
    </xf>
    <xf numFmtId="188" fontId="0" fillId="0" borderId="0" xfId="0" applyNumberFormat="1" applyBorder="1" applyAlignment="1">
      <alignment horizontal="center" vertical="center"/>
    </xf>
    <xf numFmtId="41" fontId="8" fillId="6" borderId="119" xfId="0" applyNumberFormat="1" applyFont="1" applyFill="1" applyBorder="1">
      <alignment vertical="center"/>
    </xf>
    <xf numFmtId="43" fontId="9" fillId="0" borderId="0" xfId="2" applyNumberFormat="1" applyFont="1" applyFill="1" applyBorder="1">
      <alignment vertical="center"/>
    </xf>
    <xf numFmtId="41" fontId="21" fillId="0" borderId="0" xfId="3" applyNumberFormat="1" applyFont="1" applyBorder="1">
      <alignment vertical="center"/>
    </xf>
    <xf numFmtId="179" fontId="0" fillId="5" borderId="87" xfId="0" applyNumberFormat="1" applyFill="1" applyBorder="1" applyAlignment="1">
      <alignment horizontal="center" vertical="center"/>
    </xf>
    <xf numFmtId="41" fontId="20" fillId="0" borderId="0" xfId="2" applyFont="1" applyFill="1" applyBorder="1" applyAlignment="1">
      <alignment horizontal="center" vertical="center"/>
    </xf>
    <xf numFmtId="180" fontId="5" fillId="3" borderId="289" xfId="0" applyNumberFormat="1" applyFont="1" applyFill="1" applyBorder="1" applyAlignment="1">
      <alignment horizontal="center" vertical="center"/>
    </xf>
    <xf numFmtId="177" fontId="8" fillId="6" borderId="246" xfId="0" applyNumberFormat="1" applyFont="1" applyFill="1" applyBorder="1" applyAlignment="1">
      <alignment horizontal="center" vertical="center"/>
    </xf>
    <xf numFmtId="177" fontId="8" fillId="6" borderId="250" xfId="0" applyNumberFormat="1" applyFont="1" applyFill="1" applyBorder="1" applyAlignment="1">
      <alignment horizontal="center" vertical="center"/>
    </xf>
    <xf numFmtId="182" fontId="8" fillId="4" borderId="141" xfId="0" applyNumberFormat="1" applyFont="1" applyFill="1" applyBorder="1" applyAlignment="1">
      <alignment vertical="center"/>
    </xf>
    <xf numFmtId="182" fontId="8" fillId="4" borderId="140" xfId="0" applyNumberFormat="1" applyFont="1" applyFill="1" applyBorder="1" applyAlignment="1">
      <alignment vertical="center"/>
    </xf>
    <xf numFmtId="182" fontId="8" fillId="4" borderId="148" xfId="0" applyNumberFormat="1" applyFont="1" applyFill="1" applyBorder="1" applyAlignment="1">
      <alignment vertical="center"/>
    </xf>
    <xf numFmtId="41" fontId="8" fillId="4" borderId="142" xfId="2" applyFont="1" applyFill="1" applyBorder="1" applyAlignment="1">
      <alignment vertical="center"/>
    </xf>
    <xf numFmtId="9" fontId="0" fillId="0" borderId="0" xfId="3" applyNumberFormat="1" applyFont="1">
      <alignment vertical="center"/>
    </xf>
    <xf numFmtId="178" fontId="8" fillId="0" borderId="96" xfId="0" applyNumberFormat="1" applyFont="1" applyBorder="1" applyAlignment="1">
      <alignment horizontal="center" vertical="center"/>
    </xf>
    <xf numFmtId="182" fontId="0" fillId="0" borderId="0" xfId="2" applyNumberFormat="1" applyFont="1" applyAlignment="1">
      <alignment horizontal="center" vertical="center"/>
    </xf>
    <xf numFmtId="182" fontId="9" fillId="4" borderId="76" xfId="2" applyNumberFormat="1" applyFont="1" applyFill="1" applyBorder="1">
      <alignment vertical="center"/>
    </xf>
    <xf numFmtId="182" fontId="9" fillId="0" borderId="61" xfId="2" applyNumberFormat="1" applyFont="1" applyFill="1" applyBorder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10" fontId="27" fillId="0" borderId="0" xfId="2" applyNumberFormat="1" applyFont="1" applyFill="1">
      <alignment vertical="center"/>
    </xf>
    <xf numFmtId="0" fontId="33" fillId="0" borderId="0" xfId="0" applyFont="1">
      <alignment vertical="center"/>
    </xf>
    <xf numFmtId="0" fontId="36" fillId="0" borderId="0" xfId="0" applyFont="1">
      <alignment vertical="center"/>
    </xf>
    <xf numFmtId="180" fontId="36" fillId="0" borderId="0" xfId="0" applyNumberFormat="1" applyFont="1">
      <alignment vertical="center"/>
    </xf>
    <xf numFmtId="180" fontId="36" fillId="0" borderId="0" xfId="0" applyNumberFormat="1" applyFont="1" applyBorder="1">
      <alignment vertical="center"/>
    </xf>
    <xf numFmtId="9" fontId="36" fillId="0" borderId="0" xfId="3" applyFont="1">
      <alignment vertical="center"/>
    </xf>
    <xf numFmtId="41" fontId="36" fillId="7" borderId="0" xfId="2" applyFont="1" applyFill="1">
      <alignment vertical="center"/>
    </xf>
    <xf numFmtId="9" fontId="36" fillId="0" borderId="0" xfId="3" applyFont="1" applyAlignment="1">
      <alignment horizontal="center" vertical="center"/>
    </xf>
    <xf numFmtId="41" fontId="36" fillId="0" borderId="0" xfId="2" applyFont="1" applyAlignment="1">
      <alignment horizontal="center" vertical="center"/>
    </xf>
    <xf numFmtId="0" fontId="36" fillId="0" borderId="0" xfId="0" applyFont="1" applyBorder="1">
      <alignment vertical="center"/>
    </xf>
    <xf numFmtId="0" fontId="32" fillId="0" borderId="0" xfId="0" applyFont="1">
      <alignment vertical="center"/>
    </xf>
    <xf numFmtId="186" fontId="8" fillId="6" borderId="53" xfId="0" applyNumberFormat="1" applyFont="1" applyFill="1" applyBorder="1" applyAlignment="1">
      <alignment horizontal="center" vertical="center"/>
    </xf>
    <xf numFmtId="9" fontId="8" fillId="0" borderId="50" xfId="3" applyFont="1" applyFill="1" applyBorder="1">
      <alignment vertical="center"/>
    </xf>
    <xf numFmtId="182" fontId="0" fillId="0" borderId="0" xfId="0" applyNumberFormat="1" applyAlignment="1">
      <alignment horizontal="center" vertical="center"/>
    </xf>
    <xf numFmtId="181" fontId="8" fillId="6" borderId="246" xfId="0" applyNumberFormat="1" applyFont="1" applyFill="1" applyBorder="1" applyAlignment="1">
      <alignment horizontal="center" vertical="center"/>
    </xf>
    <xf numFmtId="180" fontId="9" fillId="6" borderId="0" xfId="0" applyNumberFormat="1" applyFont="1" applyFill="1" applyBorder="1" applyAlignment="1">
      <alignment horizontal="center" vertical="center"/>
    </xf>
    <xf numFmtId="182" fontId="9" fillId="6" borderId="160" xfId="2" applyNumberFormat="1" applyFont="1" applyFill="1" applyBorder="1" applyAlignment="1">
      <alignment horizontal="center" vertical="center"/>
    </xf>
    <xf numFmtId="41" fontId="8" fillId="6" borderId="71" xfId="0" applyNumberFormat="1" applyFont="1" applyFill="1" applyBorder="1">
      <alignment vertical="center"/>
    </xf>
    <xf numFmtId="41" fontId="8" fillId="6" borderId="114" xfId="0" applyNumberFormat="1" applyFont="1" applyFill="1" applyBorder="1">
      <alignment vertical="center"/>
    </xf>
    <xf numFmtId="182" fontId="8" fillId="6" borderId="292" xfId="2" applyNumberFormat="1" applyFont="1" applyFill="1" applyBorder="1">
      <alignment vertical="center"/>
    </xf>
    <xf numFmtId="186" fontId="8" fillId="6" borderId="288" xfId="0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left" vertical="center" indent="2"/>
    </xf>
    <xf numFmtId="9" fontId="37" fillId="0" borderId="0" xfId="3" applyFont="1" applyAlignment="1">
      <alignment vertical="center"/>
    </xf>
    <xf numFmtId="182" fontId="37" fillId="0" borderId="0" xfId="0" applyNumberFormat="1" applyFont="1" applyAlignment="1">
      <alignment vertical="center"/>
    </xf>
    <xf numFmtId="0" fontId="38" fillId="0" borderId="0" xfId="0" applyFont="1" applyAlignment="1">
      <alignment vertical="center"/>
    </xf>
    <xf numFmtId="177" fontId="11" fillId="0" borderId="299" xfId="0" applyNumberFormat="1" applyFont="1" applyFill="1" applyBorder="1" applyAlignment="1">
      <alignment horizontal="center" vertical="center"/>
    </xf>
    <xf numFmtId="177" fontId="11" fillId="0" borderId="293" xfId="0" applyNumberFormat="1" applyFont="1" applyFill="1" applyBorder="1" applyAlignment="1">
      <alignment horizontal="center" vertical="center"/>
    </xf>
    <xf numFmtId="177" fontId="5" fillId="0" borderId="297" xfId="0" applyNumberFormat="1" applyFont="1" applyFill="1" applyBorder="1" applyAlignment="1">
      <alignment horizontal="center" vertical="center"/>
    </xf>
    <xf numFmtId="0" fontId="41" fillId="0" borderId="0" xfId="0" applyFont="1" applyBorder="1" applyAlignment="1">
      <alignment horizontal="left" vertical="center" indent="2"/>
    </xf>
    <xf numFmtId="0" fontId="32" fillId="0" borderId="300" xfId="0" applyFont="1" applyFill="1" applyBorder="1" applyAlignment="1">
      <alignment horizontal="center" vertical="center"/>
    </xf>
    <xf numFmtId="179" fontId="32" fillId="0" borderId="312" xfId="2" applyNumberFormat="1" applyFont="1" applyFill="1" applyBorder="1" applyAlignment="1">
      <alignment horizontal="center" vertical="center"/>
    </xf>
    <xf numFmtId="179" fontId="32" fillId="0" borderId="309" xfId="2" applyNumberFormat="1" applyFont="1" applyFill="1" applyBorder="1" applyAlignment="1">
      <alignment horizontal="center" vertical="center"/>
    </xf>
    <xf numFmtId="179" fontId="32" fillId="0" borderId="313" xfId="2" applyNumberFormat="1" applyFont="1" applyFill="1" applyBorder="1" applyAlignment="1">
      <alignment horizontal="center" vertical="center"/>
    </xf>
    <xf numFmtId="41" fontId="8" fillId="0" borderId="0" xfId="3" applyNumberFormat="1" applyFont="1" applyAlignment="1">
      <alignment horizontal="center" vertical="center"/>
    </xf>
    <xf numFmtId="177" fontId="41" fillId="4" borderId="66" xfId="0" applyNumberFormat="1" applyFont="1" applyFill="1" applyBorder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44" fillId="0" borderId="0" xfId="0" applyFont="1" applyAlignment="1">
      <alignment horizontal="center" vertical="center"/>
    </xf>
    <xf numFmtId="9" fontId="44" fillId="0" borderId="0" xfId="3" applyFont="1" applyAlignment="1">
      <alignment horizontal="center" vertical="center"/>
    </xf>
    <xf numFmtId="0" fontId="5" fillId="0" borderId="319" xfId="0" applyFont="1" applyBorder="1" applyAlignment="1">
      <alignment horizontal="center" vertical="center"/>
    </xf>
    <xf numFmtId="177" fontId="5" fillId="4" borderId="320" xfId="0" applyNumberFormat="1" applyFont="1" applyFill="1" applyBorder="1" applyAlignment="1">
      <alignment horizontal="center" vertical="center"/>
    </xf>
    <xf numFmtId="179" fontId="5" fillId="6" borderId="306" xfId="0" applyNumberFormat="1" applyFont="1" applyFill="1" applyBorder="1" applyAlignment="1">
      <alignment horizontal="center" vertical="center"/>
    </xf>
    <xf numFmtId="179" fontId="5" fillId="6" borderId="297" xfId="0" applyNumberFormat="1" applyFont="1" applyFill="1" applyBorder="1" applyAlignment="1">
      <alignment horizontal="center" vertical="center"/>
    </xf>
    <xf numFmtId="179" fontId="5" fillId="6" borderId="321" xfId="0" applyNumberFormat="1" applyFont="1" applyFill="1" applyBorder="1" applyAlignment="1">
      <alignment horizontal="center" vertical="center"/>
    </xf>
    <xf numFmtId="177" fontId="5" fillId="0" borderId="206" xfId="0" applyNumberFormat="1" applyFont="1" applyFill="1" applyBorder="1" applyAlignment="1">
      <alignment horizontal="center" vertical="center"/>
    </xf>
    <xf numFmtId="41" fontId="0" fillId="0" borderId="206" xfId="2" applyFont="1" applyFill="1" applyBorder="1">
      <alignment vertical="center"/>
    </xf>
    <xf numFmtId="9" fontId="27" fillId="0" borderId="0" xfId="3" applyFont="1" applyFill="1">
      <alignment vertical="center"/>
    </xf>
    <xf numFmtId="177" fontId="5" fillId="3" borderId="322" xfId="0" applyNumberFormat="1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79" fontId="31" fillId="0" borderId="0" xfId="0" applyNumberFormat="1" applyFont="1" applyAlignment="1">
      <alignment horizontal="center" vertical="center"/>
    </xf>
    <xf numFmtId="41" fontId="0" fillId="0" borderId="0" xfId="0" applyNumberFormat="1" applyBorder="1">
      <alignment vertical="center"/>
    </xf>
    <xf numFmtId="191" fontId="0" fillId="0" borderId="0" xfId="2" applyNumberFormat="1" applyFont="1" applyBorder="1">
      <alignment vertical="center"/>
    </xf>
    <xf numFmtId="177" fontId="3" fillId="2" borderId="328" xfId="0" applyNumberFormat="1" applyFont="1" applyFill="1" applyBorder="1" applyAlignment="1">
      <alignment horizontal="center" vertical="center"/>
    </xf>
    <xf numFmtId="177" fontId="3" fillId="2" borderId="331" xfId="0" applyNumberFormat="1" applyFont="1" applyFill="1" applyBorder="1" applyAlignment="1">
      <alignment horizontal="center" vertical="center"/>
    </xf>
    <xf numFmtId="177" fontId="3" fillId="2" borderId="332" xfId="0" applyNumberFormat="1" applyFont="1" applyFill="1" applyBorder="1" applyAlignment="1">
      <alignment horizontal="center" vertical="center"/>
    </xf>
    <xf numFmtId="41" fontId="9" fillId="4" borderId="333" xfId="2" applyFont="1" applyFill="1" applyBorder="1">
      <alignment vertical="center"/>
    </xf>
    <xf numFmtId="41" fontId="9" fillId="4" borderId="334" xfId="2" applyFont="1" applyFill="1" applyBorder="1">
      <alignment vertical="center"/>
    </xf>
    <xf numFmtId="41" fontId="9" fillId="4" borderId="5" xfId="2" applyFont="1" applyFill="1" applyBorder="1">
      <alignment vertical="center"/>
    </xf>
    <xf numFmtId="41" fontId="9" fillId="4" borderId="204" xfId="2" applyFont="1" applyFill="1" applyBorder="1">
      <alignment vertical="center"/>
    </xf>
    <xf numFmtId="41" fontId="0" fillId="0" borderId="5" xfId="0" applyNumberFormat="1" applyBorder="1">
      <alignment vertical="center"/>
    </xf>
    <xf numFmtId="41" fontId="0" fillId="0" borderId="5" xfId="2" applyFont="1" applyBorder="1">
      <alignment vertical="center"/>
    </xf>
    <xf numFmtId="182" fontId="9" fillId="4" borderId="334" xfId="2" applyNumberFormat="1" applyFont="1" applyFill="1" applyBorder="1">
      <alignment vertical="center"/>
    </xf>
    <xf numFmtId="182" fontId="9" fillId="4" borderId="333" xfId="2" applyNumberFormat="1" applyFont="1" applyFill="1" applyBorder="1">
      <alignment vertical="center"/>
    </xf>
    <xf numFmtId="182" fontId="9" fillId="3" borderId="334" xfId="2" applyNumberFormat="1" applyFont="1" applyFill="1" applyBorder="1">
      <alignment vertical="center"/>
    </xf>
    <xf numFmtId="182" fontId="9" fillId="4" borderId="5" xfId="2" applyNumberFormat="1" applyFont="1" applyFill="1" applyBorder="1">
      <alignment vertical="center"/>
    </xf>
    <xf numFmtId="41" fontId="9" fillId="3" borderId="334" xfId="2" applyFont="1" applyFill="1" applyBorder="1">
      <alignment vertical="center"/>
    </xf>
    <xf numFmtId="9" fontId="9" fillId="4" borderId="333" xfId="3" applyFont="1" applyFill="1" applyBorder="1">
      <alignment vertical="center"/>
    </xf>
    <xf numFmtId="177" fontId="3" fillId="2" borderId="335" xfId="0" applyNumberFormat="1" applyFont="1" applyFill="1" applyBorder="1" applyAlignment="1">
      <alignment horizontal="center" vertical="center"/>
    </xf>
    <xf numFmtId="41" fontId="9" fillId="4" borderId="336" xfId="2" applyFont="1" applyFill="1" applyBorder="1">
      <alignment vertical="center"/>
    </xf>
    <xf numFmtId="41" fontId="9" fillId="4" borderId="337" xfId="2" applyFont="1" applyFill="1" applyBorder="1">
      <alignment vertical="center"/>
    </xf>
    <xf numFmtId="41" fontId="9" fillId="4" borderId="338" xfId="2" applyFont="1" applyFill="1" applyBorder="1">
      <alignment vertical="center"/>
    </xf>
    <xf numFmtId="41" fontId="9" fillId="4" borderId="339" xfId="2" applyFont="1" applyFill="1" applyBorder="1">
      <alignment vertical="center"/>
    </xf>
    <xf numFmtId="182" fontId="9" fillId="4" borderId="337" xfId="2" applyNumberFormat="1" applyFont="1" applyFill="1" applyBorder="1">
      <alignment vertical="center"/>
    </xf>
    <xf numFmtId="182" fontId="9" fillId="4" borderId="336" xfId="2" applyNumberFormat="1" applyFont="1" applyFill="1" applyBorder="1">
      <alignment vertical="center"/>
    </xf>
    <xf numFmtId="182" fontId="9" fillId="3" borderId="337" xfId="2" applyNumberFormat="1" applyFont="1" applyFill="1" applyBorder="1">
      <alignment vertical="center"/>
    </xf>
    <xf numFmtId="182" fontId="9" fillId="4" borderId="338" xfId="2" applyNumberFormat="1" applyFont="1" applyFill="1" applyBorder="1">
      <alignment vertical="center"/>
    </xf>
    <xf numFmtId="41" fontId="9" fillId="3" borderId="337" xfId="2" applyFont="1" applyFill="1" applyBorder="1">
      <alignment vertical="center"/>
    </xf>
    <xf numFmtId="9" fontId="9" fillId="4" borderId="336" xfId="3" applyFont="1" applyFill="1" applyBorder="1">
      <alignment vertical="center"/>
    </xf>
    <xf numFmtId="41" fontId="0" fillId="0" borderId="96" xfId="2" applyFont="1" applyBorder="1">
      <alignment vertical="center"/>
    </xf>
    <xf numFmtId="182" fontId="9" fillId="3" borderId="346" xfId="2" applyNumberFormat="1" applyFont="1" applyFill="1" applyBorder="1">
      <alignment vertical="center"/>
    </xf>
    <xf numFmtId="182" fontId="9" fillId="3" borderId="79" xfId="2" applyNumberFormat="1" applyFont="1" applyFill="1" applyBorder="1">
      <alignment vertical="center"/>
    </xf>
    <xf numFmtId="181" fontId="9" fillId="6" borderId="350" xfId="0" applyNumberFormat="1" applyFont="1" applyFill="1" applyBorder="1" applyAlignment="1">
      <alignment horizontal="center" vertical="center"/>
    </xf>
    <xf numFmtId="177" fontId="9" fillId="0" borderId="350" xfId="0" applyNumberFormat="1" applyFont="1" applyFill="1" applyBorder="1" applyAlignment="1">
      <alignment horizontal="center" vertical="center"/>
    </xf>
    <xf numFmtId="179" fontId="9" fillId="3" borderId="9" xfId="0" applyNumberFormat="1" applyFont="1" applyFill="1" applyBorder="1" applyAlignment="1">
      <alignment horizontal="center" vertical="center"/>
    </xf>
    <xf numFmtId="181" fontId="17" fillId="2" borderId="22" xfId="0" applyNumberFormat="1" applyFont="1" applyFill="1" applyBorder="1" applyAlignment="1">
      <alignment horizontal="center" vertical="center"/>
    </xf>
    <xf numFmtId="181" fontId="9" fillId="6" borderId="83" xfId="0" applyNumberFormat="1" applyFont="1" applyFill="1" applyBorder="1" applyAlignment="1">
      <alignment horizontal="center" vertical="center"/>
    </xf>
    <xf numFmtId="179" fontId="17" fillId="2" borderId="22" xfId="0" applyNumberFormat="1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180" fontId="49" fillId="0" borderId="0" xfId="2" applyNumberFormat="1" applyFont="1" applyAlignment="1">
      <alignment horizontal="center" vertical="center"/>
    </xf>
    <xf numFmtId="177" fontId="3" fillId="2" borderId="357" xfId="0" applyNumberFormat="1" applyFont="1" applyFill="1" applyBorder="1" applyAlignment="1">
      <alignment horizontal="center" vertical="center"/>
    </xf>
    <xf numFmtId="0" fontId="0" fillId="0" borderId="358" xfId="0" applyBorder="1">
      <alignment vertical="center"/>
    </xf>
    <xf numFmtId="41" fontId="8" fillId="3" borderId="81" xfId="2" applyNumberFormat="1" applyFont="1" applyFill="1" applyBorder="1" applyAlignment="1">
      <alignment horizontal="center" vertical="center"/>
    </xf>
    <xf numFmtId="0" fontId="50" fillId="0" borderId="0" xfId="0" applyFont="1">
      <alignment vertical="center"/>
    </xf>
    <xf numFmtId="182" fontId="8" fillId="3" borderId="69" xfId="1" applyNumberFormat="1" applyFont="1" applyFill="1" applyBorder="1" applyAlignment="1">
      <alignment horizontal="center" vertical="center"/>
    </xf>
    <xf numFmtId="41" fontId="8" fillId="4" borderId="28" xfId="2" applyFont="1" applyFill="1" applyBorder="1" applyAlignment="1">
      <alignment horizontal="center" vertical="center"/>
    </xf>
    <xf numFmtId="41" fontId="8" fillId="4" borderId="20" xfId="2" applyFont="1" applyFill="1" applyBorder="1" applyAlignment="1">
      <alignment horizontal="center" vertical="center"/>
    </xf>
    <xf numFmtId="41" fontId="8" fillId="3" borderId="24" xfId="2" applyFont="1" applyFill="1" applyBorder="1" applyAlignment="1">
      <alignment horizontal="center" vertical="center"/>
    </xf>
    <xf numFmtId="41" fontId="8" fillId="4" borderId="24" xfId="2" applyFont="1" applyFill="1" applyBorder="1" applyAlignment="1">
      <alignment horizontal="center" vertical="center"/>
    </xf>
    <xf numFmtId="41" fontId="8" fillId="4" borderId="23" xfId="2" applyFont="1" applyFill="1" applyBorder="1" applyAlignment="1">
      <alignment horizontal="center" vertical="center"/>
    </xf>
    <xf numFmtId="41" fontId="49" fillId="0" borderId="0" xfId="0" applyNumberFormat="1" applyFont="1">
      <alignment vertical="center"/>
    </xf>
    <xf numFmtId="180" fontId="5" fillId="0" borderId="183" xfId="0" applyNumberFormat="1" applyFont="1" applyFill="1" applyBorder="1" applyAlignment="1">
      <alignment horizontal="center" vertical="center"/>
    </xf>
    <xf numFmtId="180" fontId="5" fillId="0" borderId="117" xfId="0" applyNumberFormat="1" applyFont="1" applyFill="1" applyBorder="1" applyAlignment="1">
      <alignment horizontal="center" vertical="center"/>
    </xf>
    <xf numFmtId="177" fontId="5" fillId="3" borderId="237" xfId="0" applyNumberFormat="1" applyFont="1" applyFill="1" applyBorder="1" applyAlignment="1">
      <alignment horizontal="center" vertical="center"/>
    </xf>
    <xf numFmtId="181" fontId="5" fillId="0" borderId="360" xfId="0" applyNumberFormat="1" applyFont="1" applyFill="1" applyBorder="1" applyAlignment="1">
      <alignment horizontal="center" vertical="center"/>
    </xf>
    <xf numFmtId="177" fontId="5" fillId="0" borderId="360" xfId="0" applyNumberFormat="1" applyFont="1" applyFill="1" applyBorder="1" applyAlignment="1">
      <alignment horizontal="center" vertical="center"/>
    </xf>
    <xf numFmtId="177" fontId="5" fillId="0" borderId="364" xfId="0" applyNumberFormat="1" applyFont="1" applyFill="1" applyBorder="1" applyAlignment="1">
      <alignment horizontal="center" vertical="center"/>
    </xf>
    <xf numFmtId="177" fontId="5" fillId="0" borderId="361" xfId="0" applyNumberFormat="1" applyFont="1" applyFill="1" applyBorder="1" applyAlignment="1">
      <alignment horizontal="center" vertical="center"/>
    </xf>
    <xf numFmtId="181" fontId="5" fillId="0" borderId="203" xfId="0" applyNumberFormat="1" applyFont="1" applyFill="1" applyBorder="1" applyAlignment="1">
      <alignment horizontal="center" vertical="center"/>
    </xf>
    <xf numFmtId="177" fontId="5" fillId="0" borderId="203" xfId="0" applyNumberFormat="1" applyFont="1" applyFill="1" applyBorder="1" applyAlignment="1">
      <alignment horizontal="center" vertical="center"/>
    </xf>
    <xf numFmtId="177" fontId="5" fillId="0" borderId="238" xfId="0" applyNumberFormat="1" applyFont="1" applyFill="1" applyBorder="1" applyAlignment="1">
      <alignment horizontal="center" vertical="center"/>
    </xf>
    <xf numFmtId="181" fontId="5" fillId="0" borderId="362" xfId="0" applyNumberFormat="1" applyFont="1" applyFill="1" applyBorder="1" applyAlignment="1">
      <alignment horizontal="center" vertical="center"/>
    </xf>
    <xf numFmtId="177" fontId="5" fillId="0" borderId="362" xfId="0" applyNumberFormat="1" applyFont="1" applyFill="1" applyBorder="1" applyAlignment="1">
      <alignment horizontal="center" vertical="center"/>
    </xf>
    <xf numFmtId="177" fontId="5" fillId="0" borderId="363" xfId="0" applyNumberFormat="1" applyFont="1" applyFill="1" applyBorder="1" applyAlignment="1">
      <alignment horizontal="center" vertical="center"/>
    </xf>
    <xf numFmtId="181" fontId="5" fillId="0" borderId="221" xfId="0" applyNumberFormat="1" applyFont="1" applyFill="1" applyBorder="1" applyAlignment="1">
      <alignment horizontal="center" vertical="center"/>
    </xf>
    <xf numFmtId="177" fontId="5" fillId="0" borderId="221" xfId="0" applyNumberFormat="1" applyFont="1" applyFill="1" applyBorder="1" applyAlignment="1">
      <alignment horizontal="center" vertical="center"/>
    </xf>
    <xf numFmtId="177" fontId="5" fillId="0" borderId="239" xfId="0" applyNumberFormat="1" applyFont="1" applyFill="1" applyBorder="1" applyAlignment="1">
      <alignment horizontal="center" vertical="center"/>
    </xf>
    <xf numFmtId="183" fontId="5" fillId="3" borderId="202" xfId="0" applyNumberFormat="1" applyFont="1" applyFill="1" applyBorder="1" applyAlignment="1">
      <alignment horizontal="center" vertical="center"/>
    </xf>
    <xf numFmtId="183" fontId="5" fillId="3" borderId="237" xfId="0" applyNumberFormat="1" applyFont="1" applyFill="1" applyBorder="1" applyAlignment="1">
      <alignment horizontal="center" vertical="center"/>
    </xf>
    <xf numFmtId="183" fontId="5" fillId="0" borderId="360" xfId="3" applyNumberFormat="1" applyFont="1" applyFill="1" applyBorder="1" applyAlignment="1">
      <alignment horizontal="center" vertical="center"/>
    </xf>
    <xf numFmtId="183" fontId="5" fillId="0" borderId="361" xfId="3" applyNumberFormat="1" applyFont="1" applyFill="1" applyBorder="1" applyAlignment="1">
      <alignment horizontal="center" vertical="center"/>
    </xf>
    <xf numFmtId="183" fontId="5" fillId="0" borderId="203" xfId="3" applyNumberFormat="1" applyFont="1" applyFill="1" applyBorder="1" applyAlignment="1">
      <alignment horizontal="center" vertical="center"/>
    </xf>
    <xf numFmtId="183" fontId="5" fillId="0" borderId="238" xfId="3" applyNumberFormat="1" applyFont="1" applyFill="1" applyBorder="1" applyAlignment="1">
      <alignment horizontal="center" vertical="center"/>
    </xf>
    <xf numFmtId="183" fontId="5" fillId="0" borderId="221" xfId="3" applyNumberFormat="1" applyFont="1" applyFill="1" applyBorder="1" applyAlignment="1">
      <alignment horizontal="center" vertical="center"/>
    </xf>
    <xf numFmtId="183" fontId="5" fillId="0" borderId="239" xfId="3" applyNumberFormat="1" applyFont="1" applyFill="1" applyBorder="1" applyAlignment="1">
      <alignment horizontal="center" vertical="center"/>
    </xf>
    <xf numFmtId="187" fontId="5" fillId="0" borderId="360" xfId="0" applyNumberFormat="1" applyFont="1" applyFill="1" applyBorder="1" applyAlignment="1">
      <alignment horizontal="center" vertical="center"/>
    </xf>
    <xf numFmtId="187" fontId="5" fillId="0" borderId="361" xfId="0" applyNumberFormat="1" applyFont="1" applyFill="1" applyBorder="1" applyAlignment="1">
      <alignment horizontal="center" vertical="center"/>
    </xf>
    <xf numFmtId="187" fontId="5" fillId="0" borderId="203" xfId="0" applyNumberFormat="1" applyFont="1" applyFill="1" applyBorder="1" applyAlignment="1">
      <alignment horizontal="center" vertical="center"/>
    </xf>
    <xf numFmtId="187" fontId="5" fillId="0" borderId="238" xfId="0" applyNumberFormat="1" applyFont="1" applyFill="1" applyBorder="1" applyAlignment="1">
      <alignment horizontal="center" vertical="center"/>
    </xf>
    <xf numFmtId="180" fontId="5" fillId="3" borderId="202" xfId="0" applyNumberFormat="1" applyFont="1" applyFill="1" applyBorder="1" applyAlignment="1">
      <alignment horizontal="center" vertical="center"/>
    </xf>
    <xf numFmtId="180" fontId="5" fillId="3" borderId="237" xfId="0" applyNumberFormat="1" applyFont="1" applyFill="1" applyBorder="1" applyAlignment="1">
      <alignment horizontal="center" vertical="center"/>
    </xf>
    <xf numFmtId="180" fontId="5" fillId="5" borderId="365" xfId="0" applyNumberFormat="1" applyFont="1" applyFill="1" applyBorder="1" applyAlignment="1">
      <alignment horizontal="center" vertical="center"/>
    </xf>
    <xf numFmtId="180" fontId="5" fillId="5" borderId="364" xfId="0" applyNumberFormat="1" applyFont="1" applyFill="1" applyBorder="1" applyAlignment="1">
      <alignment horizontal="center" vertical="center"/>
    </xf>
    <xf numFmtId="180" fontId="5" fillId="5" borderId="360" xfId="0" applyNumberFormat="1" applyFont="1" applyFill="1" applyBorder="1" applyAlignment="1">
      <alignment horizontal="center" vertical="center"/>
    </xf>
    <xf numFmtId="180" fontId="5" fillId="5" borderId="361" xfId="0" applyNumberFormat="1" applyFont="1" applyFill="1" applyBorder="1" applyAlignment="1">
      <alignment horizontal="center" vertical="center"/>
    </xf>
    <xf numFmtId="180" fontId="5" fillId="5" borderId="203" xfId="0" applyNumberFormat="1" applyFont="1" applyFill="1" applyBorder="1" applyAlignment="1">
      <alignment horizontal="center" vertical="center"/>
    </xf>
    <xf numFmtId="180" fontId="5" fillId="5" borderId="238" xfId="0" applyNumberFormat="1" applyFont="1" applyFill="1" applyBorder="1" applyAlignment="1">
      <alignment horizontal="center" vertical="center"/>
    </xf>
    <xf numFmtId="180" fontId="5" fillId="5" borderId="221" xfId="0" applyNumberFormat="1" applyFont="1" applyFill="1" applyBorder="1" applyAlignment="1">
      <alignment horizontal="center" vertical="center"/>
    </xf>
    <xf numFmtId="180" fontId="5" fillId="5" borderId="239" xfId="0" applyNumberFormat="1" applyFont="1" applyFill="1" applyBorder="1" applyAlignment="1">
      <alignment horizontal="center" vertical="center"/>
    </xf>
    <xf numFmtId="180" fontId="5" fillId="0" borderId="366" xfId="0" applyNumberFormat="1" applyFont="1" applyFill="1" applyBorder="1" applyAlignment="1">
      <alignment horizontal="center" vertical="center"/>
    </xf>
    <xf numFmtId="180" fontId="5" fillId="0" borderId="367" xfId="0" applyNumberFormat="1" applyFont="1" applyFill="1" applyBorder="1" applyAlignment="1">
      <alignment horizontal="center" vertical="center"/>
    </xf>
    <xf numFmtId="177" fontId="5" fillId="3" borderId="362" xfId="0" applyNumberFormat="1" applyFont="1" applyFill="1" applyBorder="1" applyAlignment="1">
      <alignment horizontal="center" vertical="center"/>
    </xf>
    <xf numFmtId="177" fontId="5" fillId="13" borderId="202" xfId="0" applyNumberFormat="1" applyFont="1" applyFill="1" applyBorder="1" applyAlignment="1">
      <alignment horizontal="center" vertical="center"/>
    </xf>
    <xf numFmtId="177" fontId="5" fillId="13" borderId="365" xfId="0" applyNumberFormat="1" applyFont="1" applyFill="1" applyBorder="1" applyAlignment="1">
      <alignment horizontal="center" vertical="center"/>
    </xf>
    <xf numFmtId="177" fontId="5" fillId="13" borderId="360" xfId="0" applyNumberFormat="1" applyFont="1" applyFill="1" applyBorder="1" applyAlignment="1">
      <alignment horizontal="center" vertical="center"/>
    </xf>
    <xf numFmtId="177" fontId="5" fillId="13" borderId="203" xfId="0" applyNumberFormat="1" applyFont="1" applyFill="1" applyBorder="1" applyAlignment="1">
      <alignment horizontal="center" vertical="center"/>
    </xf>
    <xf numFmtId="177" fontId="5" fillId="13" borderId="221" xfId="0" applyNumberFormat="1" applyFont="1" applyFill="1" applyBorder="1" applyAlignment="1">
      <alignment horizontal="center" vertical="center"/>
    </xf>
    <xf numFmtId="177" fontId="17" fillId="2" borderId="228" xfId="0" applyNumberFormat="1" applyFont="1" applyFill="1" applyBorder="1" applyAlignment="1">
      <alignment horizontal="center" vertical="center"/>
    </xf>
    <xf numFmtId="177" fontId="5" fillId="3" borderId="61" xfId="0" applyNumberFormat="1" applyFont="1" applyFill="1" applyBorder="1" applyAlignment="1">
      <alignment horizontal="center" vertical="center"/>
    </xf>
    <xf numFmtId="177" fontId="5" fillId="6" borderId="76" xfId="0" applyNumberFormat="1" applyFont="1" applyFill="1" applyBorder="1" applyAlignment="1">
      <alignment horizontal="center" vertical="center"/>
    </xf>
    <xf numFmtId="9" fontId="5" fillId="6" borderId="58" xfId="3" applyFont="1" applyFill="1" applyBorder="1" applyAlignment="1">
      <alignment horizontal="center" vertical="center"/>
    </xf>
    <xf numFmtId="177" fontId="5" fillId="3" borderId="373" xfId="0" applyNumberFormat="1" applyFont="1" applyFill="1" applyBorder="1" applyAlignment="1">
      <alignment horizontal="center" vertical="center"/>
    </xf>
    <xf numFmtId="180" fontId="5" fillId="3" borderId="372" xfId="0" applyNumberFormat="1" applyFont="1" applyFill="1" applyBorder="1" applyAlignment="1">
      <alignment horizontal="center" vertical="center"/>
    </xf>
    <xf numFmtId="177" fontId="5" fillId="3" borderId="351" xfId="0" applyNumberFormat="1" applyFont="1" applyFill="1" applyBorder="1" applyAlignment="1">
      <alignment horizontal="center" vertical="center"/>
    </xf>
    <xf numFmtId="181" fontId="8" fillId="3" borderId="79" xfId="0" applyNumberFormat="1" applyFont="1" applyFill="1" applyBorder="1" applyAlignment="1">
      <alignment horizontal="center" vertical="center"/>
    </xf>
    <xf numFmtId="181" fontId="8" fillId="3" borderId="353" xfId="0" applyNumberFormat="1" applyFont="1" applyFill="1" applyBorder="1" applyAlignment="1">
      <alignment horizontal="center" vertical="center"/>
    </xf>
    <xf numFmtId="181" fontId="8" fillId="4" borderId="9" xfId="0" applyNumberFormat="1" applyFont="1" applyFill="1" applyBorder="1" applyAlignment="1">
      <alignment horizontal="center" vertical="center"/>
    </xf>
    <xf numFmtId="181" fontId="8" fillId="6" borderId="32" xfId="0" applyNumberFormat="1" applyFont="1" applyFill="1" applyBorder="1" applyAlignment="1">
      <alignment horizontal="center" vertical="center"/>
    </xf>
    <xf numFmtId="181" fontId="8" fillId="6" borderId="77" xfId="0" applyNumberFormat="1" applyFont="1" applyFill="1" applyBorder="1" applyAlignment="1">
      <alignment horizontal="center" vertical="center"/>
    </xf>
    <xf numFmtId="37" fontId="9" fillId="3" borderId="351" xfId="0" applyNumberFormat="1" applyFont="1" applyFill="1" applyBorder="1" applyAlignment="1">
      <alignment horizontal="center" vertical="center"/>
    </xf>
    <xf numFmtId="37" fontId="9" fillId="3" borderId="172" xfId="0" applyNumberFormat="1" applyFont="1" applyFill="1" applyBorder="1" applyAlignment="1">
      <alignment horizontal="center" vertical="center"/>
    </xf>
    <xf numFmtId="37" fontId="9" fillId="3" borderId="173" xfId="0" applyNumberFormat="1" applyFont="1" applyFill="1" applyBorder="1" applyAlignment="1">
      <alignment horizontal="center" vertical="center"/>
    </xf>
    <xf numFmtId="177" fontId="5" fillId="3" borderId="289" xfId="0" applyNumberFormat="1" applyFont="1" applyFill="1" applyBorder="1" applyAlignment="1">
      <alignment horizontal="center" vertical="center"/>
    </xf>
    <xf numFmtId="177" fontId="5" fillId="4" borderId="91" xfId="0" applyNumberFormat="1" applyFont="1" applyFill="1" applyBorder="1" applyAlignment="1">
      <alignment horizontal="center" vertical="center"/>
    </xf>
    <xf numFmtId="177" fontId="5" fillId="4" borderId="380" xfId="0" applyNumberFormat="1" applyFont="1" applyFill="1" applyBorder="1" applyAlignment="1">
      <alignment horizontal="center" vertical="center"/>
    </xf>
    <xf numFmtId="177" fontId="5" fillId="4" borderId="381" xfId="0" applyNumberFormat="1" applyFont="1" applyFill="1" applyBorder="1" applyAlignment="1">
      <alignment horizontal="center" vertical="center"/>
    </xf>
    <xf numFmtId="177" fontId="5" fillId="4" borderId="382" xfId="0" applyNumberFormat="1" applyFont="1" applyFill="1" applyBorder="1" applyAlignment="1">
      <alignment horizontal="center" vertical="center"/>
    </xf>
    <xf numFmtId="177" fontId="5" fillId="4" borderId="90" xfId="0" applyNumberFormat="1" applyFont="1" applyFill="1" applyBorder="1" applyAlignment="1">
      <alignment horizontal="center" vertical="center"/>
    </xf>
    <xf numFmtId="183" fontId="5" fillId="3" borderId="289" xfId="0" applyNumberFormat="1" applyFont="1" applyFill="1" applyBorder="1" applyAlignment="1">
      <alignment horizontal="center" vertical="center"/>
    </xf>
    <xf numFmtId="183" fontId="5" fillId="4" borderId="91" xfId="0" applyNumberFormat="1" applyFont="1" applyFill="1" applyBorder="1" applyAlignment="1">
      <alignment horizontal="center" vertical="center"/>
    </xf>
    <xf numFmtId="183" fontId="5" fillId="4" borderId="382" xfId="0" applyNumberFormat="1" applyFont="1" applyFill="1" applyBorder="1" applyAlignment="1">
      <alignment horizontal="center" vertical="center"/>
    </xf>
    <xf numFmtId="183" fontId="5" fillId="4" borderId="90" xfId="0" applyNumberFormat="1" applyFont="1" applyFill="1" applyBorder="1" applyAlignment="1">
      <alignment horizontal="center" vertical="center"/>
    </xf>
    <xf numFmtId="179" fontId="5" fillId="3" borderId="289" xfId="0" applyNumberFormat="1" applyFont="1" applyFill="1" applyBorder="1" applyAlignment="1">
      <alignment horizontal="center" vertical="center"/>
    </xf>
    <xf numFmtId="179" fontId="5" fillId="4" borderId="91" xfId="0" applyNumberFormat="1" applyFont="1" applyFill="1" applyBorder="1" applyAlignment="1">
      <alignment horizontal="center" vertical="center"/>
    </xf>
    <xf numFmtId="179" fontId="5" fillId="4" borderId="382" xfId="0" applyNumberFormat="1" applyFont="1" applyFill="1" applyBorder="1" applyAlignment="1">
      <alignment horizontal="center" vertical="center"/>
    </xf>
    <xf numFmtId="179" fontId="5" fillId="4" borderId="90" xfId="0" applyNumberFormat="1" applyFont="1" applyFill="1" applyBorder="1" applyAlignment="1">
      <alignment horizontal="center" vertical="center"/>
    </xf>
    <xf numFmtId="177" fontId="5" fillId="4" borderId="383" xfId="0" applyNumberFormat="1" applyFont="1" applyFill="1" applyBorder="1" applyAlignment="1">
      <alignment horizontal="center" vertical="center"/>
    </xf>
    <xf numFmtId="177" fontId="5" fillId="4" borderId="92" xfId="0" applyNumberFormat="1" applyFont="1" applyFill="1" applyBorder="1" applyAlignment="1">
      <alignment horizontal="center" vertical="center"/>
    </xf>
    <xf numFmtId="177" fontId="5" fillId="3" borderId="382" xfId="0" applyNumberFormat="1" applyFont="1" applyFill="1" applyBorder="1" applyAlignment="1">
      <alignment horizontal="center" vertical="center"/>
    </xf>
    <xf numFmtId="177" fontId="5" fillId="3" borderId="384" xfId="0" applyNumberFormat="1" applyFont="1" applyFill="1" applyBorder="1" applyAlignment="1">
      <alignment horizontal="center" vertical="center"/>
    </xf>
    <xf numFmtId="181" fontId="5" fillId="0" borderId="102" xfId="0" applyNumberFormat="1" applyFont="1" applyFill="1" applyBorder="1" applyAlignment="1">
      <alignment horizontal="center" vertical="center"/>
    </xf>
    <xf numFmtId="181" fontId="5" fillId="0" borderId="220" xfId="0" applyNumberFormat="1" applyFont="1" applyFill="1" applyBorder="1" applyAlignment="1">
      <alignment horizontal="center" vertical="center"/>
    </xf>
    <xf numFmtId="181" fontId="5" fillId="0" borderId="217" xfId="0" applyNumberFormat="1" applyFont="1" applyFill="1" applyBorder="1" applyAlignment="1">
      <alignment horizontal="center" vertical="center"/>
    </xf>
    <xf numFmtId="177" fontId="5" fillId="0" borderId="102" xfId="0" applyNumberFormat="1" applyFont="1" applyFill="1" applyBorder="1" applyAlignment="1">
      <alignment horizontal="center" vertical="center"/>
    </xf>
    <xf numFmtId="177" fontId="5" fillId="0" borderId="103" xfId="0" applyNumberFormat="1" applyFont="1" applyFill="1" applyBorder="1" applyAlignment="1">
      <alignment horizontal="center" vertical="center"/>
    </xf>
    <xf numFmtId="177" fontId="5" fillId="0" borderId="220" xfId="0" applyNumberFormat="1" applyFont="1" applyFill="1" applyBorder="1" applyAlignment="1">
      <alignment horizontal="center" vertical="center"/>
    </xf>
    <xf numFmtId="183" fontId="5" fillId="0" borderId="102" xfId="3" applyNumberFormat="1" applyFont="1" applyFill="1" applyBorder="1" applyAlignment="1">
      <alignment horizontal="center" vertical="center"/>
    </xf>
    <xf numFmtId="183" fontId="5" fillId="0" borderId="220" xfId="3" applyNumberFormat="1" applyFont="1" applyFill="1" applyBorder="1" applyAlignment="1">
      <alignment horizontal="center" vertical="center"/>
    </xf>
    <xf numFmtId="183" fontId="5" fillId="0" borderId="103" xfId="3" applyNumberFormat="1" applyFont="1" applyFill="1" applyBorder="1" applyAlignment="1">
      <alignment horizontal="center" vertical="center"/>
    </xf>
    <xf numFmtId="180" fontId="5" fillId="0" borderId="230" xfId="0" applyNumberFormat="1" applyFont="1" applyFill="1" applyBorder="1" applyAlignment="1">
      <alignment horizontal="center" vertical="center"/>
    </xf>
    <xf numFmtId="177" fontId="5" fillId="3" borderId="217" xfId="0" applyNumberFormat="1" applyFont="1" applyFill="1" applyBorder="1" applyAlignment="1">
      <alignment horizontal="center" vertical="center"/>
    </xf>
    <xf numFmtId="177" fontId="5" fillId="3" borderId="60" xfId="0" applyNumberFormat="1" applyFont="1" applyFill="1" applyBorder="1" applyAlignment="1">
      <alignment horizontal="center" vertical="center"/>
    </xf>
    <xf numFmtId="9" fontId="5" fillId="3" borderId="351" xfId="0" applyNumberFormat="1" applyFont="1" applyFill="1" applyBorder="1" applyAlignment="1">
      <alignment horizontal="center" vertical="center"/>
    </xf>
    <xf numFmtId="9" fontId="5" fillId="3" borderId="172" xfId="0" applyNumberFormat="1" applyFont="1" applyFill="1" applyBorder="1" applyAlignment="1">
      <alignment horizontal="center" vertical="center"/>
    </xf>
    <xf numFmtId="177" fontId="5" fillId="3" borderId="77" xfId="0" applyNumberFormat="1" applyFont="1" applyFill="1" applyBorder="1" applyAlignment="1">
      <alignment horizontal="center" vertical="center"/>
    </xf>
    <xf numFmtId="177" fontId="5" fillId="3" borderId="79" xfId="0" applyNumberFormat="1" applyFont="1" applyFill="1" applyBorder="1" applyAlignment="1">
      <alignment horizontal="center" vertical="center"/>
    </xf>
    <xf numFmtId="177" fontId="5" fillId="3" borderId="81" xfId="0" applyNumberFormat="1" applyFont="1" applyFill="1" applyBorder="1" applyAlignment="1">
      <alignment horizontal="center" vertical="center"/>
    </xf>
    <xf numFmtId="177" fontId="5" fillId="3" borderId="385" xfId="0" applyNumberFormat="1" applyFont="1" applyFill="1" applyBorder="1" applyAlignment="1">
      <alignment horizontal="center" vertical="center"/>
    </xf>
    <xf numFmtId="177" fontId="5" fillId="6" borderId="81" xfId="0" applyNumberFormat="1" applyFont="1" applyFill="1" applyBorder="1" applyAlignment="1">
      <alignment horizontal="center" vertical="center"/>
    </xf>
    <xf numFmtId="177" fontId="5" fillId="6" borderId="79" xfId="0" applyNumberFormat="1" applyFont="1" applyFill="1" applyBorder="1" applyAlignment="1">
      <alignment horizontal="center" vertical="center"/>
    </xf>
    <xf numFmtId="177" fontId="17" fillId="2" borderId="385" xfId="0" applyNumberFormat="1" applyFont="1" applyFill="1" applyBorder="1" applyAlignment="1">
      <alignment horizontal="center" vertical="center"/>
    </xf>
    <xf numFmtId="179" fontId="9" fillId="0" borderId="61" xfId="0" applyNumberFormat="1" applyFont="1" applyFill="1" applyBorder="1" applyAlignment="1">
      <alignment horizontal="center" vertical="center"/>
    </xf>
    <xf numFmtId="177" fontId="8" fillId="3" borderId="351" xfId="0" applyNumberFormat="1" applyFont="1" applyFill="1" applyBorder="1" applyAlignment="1">
      <alignment horizontal="center" vertical="center"/>
    </xf>
    <xf numFmtId="177" fontId="8" fillId="3" borderId="172" xfId="0" applyNumberFormat="1" applyFont="1" applyFill="1" applyBorder="1" applyAlignment="1">
      <alignment horizontal="center" vertical="center"/>
    </xf>
    <xf numFmtId="181" fontId="8" fillId="3" borderId="77" xfId="0" applyNumberFormat="1" applyFont="1" applyFill="1" applyBorder="1" applyAlignment="1">
      <alignment horizontal="center" vertical="center"/>
    </xf>
    <xf numFmtId="179" fontId="9" fillId="4" borderId="350" xfId="0" applyNumberFormat="1" applyFont="1" applyFill="1" applyBorder="1" applyAlignment="1">
      <alignment horizontal="center" vertical="center"/>
    </xf>
    <xf numFmtId="182" fontId="9" fillId="6" borderId="61" xfId="0" applyNumberFormat="1" applyFont="1" applyFill="1" applyBorder="1" applyAlignment="1">
      <alignment horizontal="center" vertical="center"/>
    </xf>
    <xf numFmtId="180" fontId="9" fillId="6" borderId="61" xfId="0" applyNumberFormat="1" applyFont="1" applyFill="1" applyBorder="1" applyAlignment="1">
      <alignment horizontal="center" vertical="center"/>
    </xf>
    <xf numFmtId="180" fontId="9" fillId="6" borderId="83" xfId="0" applyNumberFormat="1" applyFont="1" applyFill="1" applyBorder="1" applyAlignment="1">
      <alignment horizontal="center" vertical="center"/>
    </xf>
    <xf numFmtId="177" fontId="3" fillId="2" borderId="76" xfId="0" applyNumberFormat="1" applyFont="1" applyFill="1" applyBorder="1" applyAlignment="1">
      <alignment horizontal="center" vertical="center"/>
    </xf>
    <xf numFmtId="180" fontId="9" fillId="0" borderId="28" xfId="0" applyNumberFormat="1" applyFont="1" applyBorder="1">
      <alignment vertical="center"/>
    </xf>
    <xf numFmtId="179" fontId="9" fillId="4" borderId="76" xfId="0" applyNumberFormat="1" applyFont="1" applyFill="1" applyBorder="1" applyAlignment="1">
      <alignment horizontal="center" vertical="center"/>
    </xf>
    <xf numFmtId="179" fontId="9" fillId="4" borderId="377" xfId="0" applyNumberFormat="1" applyFont="1" applyFill="1" applyBorder="1" applyAlignment="1">
      <alignment horizontal="center" vertical="center"/>
    </xf>
    <xf numFmtId="180" fontId="52" fillId="0" borderId="0" xfId="0" applyNumberFormat="1" applyFont="1" applyAlignment="1">
      <alignment horizontal="center" vertical="center" shrinkToFit="1"/>
    </xf>
    <xf numFmtId="41" fontId="51" fillId="6" borderId="0" xfId="2" applyFont="1" applyFill="1">
      <alignment vertical="center"/>
    </xf>
    <xf numFmtId="179" fontId="9" fillId="4" borderId="379" xfId="0" applyNumberFormat="1" applyFont="1" applyFill="1" applyBorder="1" applyAlignment="1">
      <alignment horizontal="center" vertical="center"/>
    </xf>
    <xf numFmtId="182" fontId="54" fillId="0" borderId="0" xfId="0" applyNumberFormat="1" applyFont="1" applyAlignment="1">
      <alignment horizontal="center" vertical="center"/>
    </xf>
    <xf numFmtId="41" fontId="0" fillId="0" borderId="0" xfId="0" applyNumberFormat="1" applyAlignment="1">
      <alignment vertical="center" shrinkToFit="1"/>
    </xf>
    <xf numFmtId="0" fontId="27" fillId="0" borderId="0" xfId="0" applyFont="1" applyFill="1">
      <alignment vertical="center"/>
    </xf>
    <xf numFmtId="177" fontId="3" fillId="2" borderId="391" xfId="0" applyNumberFormat="1" applyFont="1" applyFill="1" applyBorder="1" applyAlignment="1">
      <alignment horizontal="center" vertical="center"/>
    </xf>
    <xf numFmtId="177" fontId="3" fillId="2" borderId="392" xfId="0" applyNumberFormat="1" applyFont="1" applyFill="1" applyBorder="1" applyAlignment="1">
      <alignment horizontal="center" vertical="center"/>
    </xf>
    <xf numFmtId="177" fontId="3" fillId="2" borderId="393" xfId="0" applyNumberFormat="1" applyFont="1" applyFill="1" applyBorder="1" applyAlignment="1">
      <alignment horizontal="center" vertical="center"/>
    </xf>
    <xf numFmtId="182" fontId="15" fillId="0" borderId="324" xfId="0" applyNumberFormat="1" applyFont="1" applyFill="1" applyBorder="1" applyAlignment="1">
      <alignment horizontal="center" vertical="center" shrinkToFit="1"/>
    </xf>
    <xf numFmtId="182" fontId="15" fillId="0" borderId="0" xfId="0" applyNumberFormat="1" applyFont="1" applyFill="1" applyBorder="1" applyAlignment="1">
      <alignment horizontal="center" vertical="center"/>
    </xf>
    <xf numFmtId="182" fontId="15" fillId="0" borderId="0" xfId="0" applyNumberFormat="1" applyFont="1" applyFill="1" applyBorder="1" applyAlignment="1">
      <alignment horizontal="center" vertical="center" shrinkToFit="1"/>
    </xf>
    <xf numFmtId="182" fontId="20" fillId="0" borderId="0" xfId="2" applyNumberFormat="1" applyFont="1" applyFill="1" applyBorder="1" applyAlignment="1">
      <alignment horizontal="center" vertical="center"/>
    </xf>
    <xf numFmtId="182" fontId="20" fillId="0" borderId="0" xfId="0" applyNumberFormat="1" applyFont="1" applyFill="1" applyBorder="1" applyAlignment="1">
      <alignment horizontal="center" vertical="center"/>
    </xf>
    <xf numFmtId="182" fontId="20" fillId="0" borderId="395" xfId="0" applyNumberFormat="1" applyFont="1" applyFill="1" applyBorder="1" applyAlignment="1">
      <alignment horizontal="center" vertical="center"/>
    </xf>
    <xf numFmtId="182" fontId="15" fillId="9" borderId="394" xfId="0" applyNumberFormat="1" applyFont="1" applyFill="1" applyBorder="1" applyAlignment="1">
      <alignment horizontal="center" vertical="center" shrinkToFit="1"/>
    </xf>
    <xf numFmtId="182" fontId="20" fillId="0" borderId="0" xfId="0" applyNumberFormat="1" applyFont="1" applyFill="1" applyBorder="1" applyAlignment="1">
      <alignment horizontal="center" vertical="center" shrinkToFit="1"/>
    </xf>
    <xf numFmtId="182" fontId="20" fillId="0" borderId="395" xfId="0" applyNumberFormat="1" applyFont="1" applyFill="1" applyBorder="1" applyAlignment="1">
      <alignment horizontal="center" vertical="center" shrinkToFit="1"/>
    </xf>
    <xf numFmtId="182" fontId="15" fillId="0" borderId="394" xfId="0" applyNumberFormat="1" applyFont="1" applyFill="1" applyBorder="1" applyAlignment="1">
      <alignment horizontal="center" vertical="center" shrinkToFit="1"/>
    </xf>
    <xf numFmtId="182" fontId="15" fillId="15" borderId="0" xfId="0" applyNumberFormat="1" applyFont="1" applyFill="1" applyBorder="1" applyAlignment="1">
      <alignment horizontal="center" vertical="center"/>
    </xf>
    <xf numFmtId="182" fontId="15" fillId="15" borderId="0" xfId="2" applyNumberFormat="1" applyFont="1" applyFill="1" applyBorder="1" applyAlignment="1">
      <alignment horizontal="center" vertical="center"/>
    </xf>
    <xf numFmtId="182" fontId="15" fillId="15" borderId="395" xfId="2" applyNumberFormat="1" applyFont="1" applyFill="1" applyBorder="1" applyAlignment="1">
      <alignment horizontal="center" vertical="center"/>
    </xf>
    <xf numFmtId="182" fontId="15" fillId="0" borderId="395" xfId="0" applyNumberFormat="1" applyFont="1" applyFill="1" applyBorder="1" applyAlignment="1">
      <alignment horizontal="center" vertical="center" shrinkToFit="1"/>
    </xf>
    <xf numFmtId="182" fontId="15" fillId="13" borderId="397" xfId="0" applyNumberFormat="1" applyFont="1" applyFill="1" applyBorder="1" applyAlignment="1">
      <alignment horizontal="center" vertical="center"/>
    </xf>
    <xf numFmtId="182" fontId="20" fillId="0" borderId="324" xfId="0" applyNumberFormat="1" applyFont="1" applyFill="1" applyBorder="1" applyAlignment="1">
      <alignment horizontal="center" vertical="center"/>
    </xf>
    <xf numFmtId="182" fontId="15" fillId="0" borderId="397" xfId="0" applyNumberFormat="1" applyFont="1" applyFill="1" applyBorder="1" applyAlignment="1">
      <alignment horizontal="center" vertical="center" shrinkToFit="1"/>
    </xf>
    <xf numFmtId="182" fontId="15" fillId="15" borderId="0" xfId="0" applyNumberFormat="1" applyFont="1" applyFill="1">
      <alignment vertical="center"/>
    </xf>
    <xf numFmtId="182" fontId="15" fillId="15" borderId="0" xfId="2" applyNumberFormat="1" applyFont="1" applyFill="1">
      <alignment vertical="center"/>
    </xf>
    <xf numFmtId="182" fontId="15" fillId="15" borderId="0" xfId="0" applyNumberFormat="1" applyFont="1" applyFill="1" applyAlignment="1">
      <alignment horizontal="center" vertical="center"/>
    </xf>
    <xf numFmtId="182" fontId="15" fillId="15" borderId="0" xfId="2" applyNumberFormat="1" applyFont="1" applyFill="1" applyAlignment="1">
      <alignment horizontal="center" vertical="center"/>
    </xf>
    <xf numFmtId="0" fontId="57" fillId="0" borderId="0" xfId="0" applyFont="1">
      <alignment vertical="center"/>
    </xf>
    <xf numFmtId="177" fontId="3" fillId="17" borderId="8" xfId="0" applyNumberFormat="1" applyFont="1" applyFill="1" applyBorder="1" applyAlignment="1">
      <alignment horizontal="center" vertical="center"/>
    </xf>
    <xf numFmtId="177" fontId="3" fillId="17" borderId="7" xfId="0" applyNumberFormat="1" applyFont="1" applyFill="1" applyBorder="1" applyAlignment="1">
      <alignment horizontal="center" vertical="center"/>
    </xf>
    <xf numFmtId="177" fontId="3" fillId="17" borderId="269" xfId="0" applyNumberFormat="1" applyFont="1" applyFill="1" applyBorder="1" applyAlignment="1">
      <alignment horizontal="center" vertical="center"/>
    </xf>
    <xf numFmtId="0" fontId="46" fillId="0" borderId="35" xfId="0" applyFont="1" applyBorder="1">
      <alignment vertical="center"/>
    </xf>
    <xf numFmtId="0" fontId="46" fillId="0" borderId="0" xfId="0" applyFont="1">
      <alignment vertical="center"/>
    </xf>
    <xf numFmtId="10" fontId="53" fillId="0" borderId="35" xfId="3" applyNumberFormat="1" applyFont="1" applyBorder="1" applyAlignment="1">
      <alignment horizontal="center" vertical="center"/>
    </xf>
    <xf numFmtId="177" fontId="11" fillId="3" borderId="401" xfId="0" applyNumberFormat="1" applyFont="1" applyFill="1" applyBorder="1" applyAlignment="1">
      <alignment horizontal="center" vertical="center"/>
    </xf>
    <xf numFmtId="177" fontId="11" fillId="3" borderId="62" xfId="0" applyNumberFormat="1" applyFont="1" applyFill="1" applyBorder="1" applyAlignment="1">
      <alignment horizontal="center" vertical="center"/>
    </xf>
    <xf numFmtId="177" fontId="11" fillId="4" borderId="63" xfId="0" applyNumberFormat="1" applyFont="1" applyFill="1" applyBorder="1" applyAlignment="1">
      <alignment horizontal="center" vertical="center"/>
    </xf>
    <xf numFmtId="177" fontId="11" fillId="4" borderId="67" xfId="0" applyNumberFormat="1" applyFont="1" applyFill="1" applyBorder="1" applyAlignment="1">
      <alignment horizontal="center" vertical="center"/>
    </xf>
    <xf numFmtId="177" fontId="5" fillId="4" borderId="67" xfId="0" applyNumberFormat="1" applyFont="1" applyFill="1" applyBorder="1" applyAlignment="1">
      <alignment horizontal="center" vertical="center"/>
    </xf>
    <xf numFmtId="177" fontId="11" fillId="3" borderId="402" xfId="0" applyNumberFormat="1" applyFont="1" applyFill="1" applyBorder="1" applyAlignment="1">
      <alignment horizontal="center" vertical="center"/>
    </xf>
    <xf numFmtId="177" fontId="5" fillId="4" borderId="64" xfId="0" applyNumberFormat="1" applyFont="1" applyFill="1" applyBorder="1" applyAlignment="1">
      <alignment horizontal="center" vertical="center"/>
    </xf>
    <xf numFmtId="177" fontId="11" fillId="3" borderId="403" xfId="0" applyNumberFormat="1" applyFont="1" applyFill="1" applyBorder="1" applyAlignment="1">
      <alignment horizontal="center" vertical="center"/>
    </xf>
    <xf numFmtId="177" fontId="5" fillId="4" borderId="404" xfId="0" applyNumberFormat="1" applyFont="1" applyFill="1" applyBorder="1" applyAlignment="1">
      <alignment horizontal="center" vertical="center"/>
    </xf>
    <xf numFmtId="177" fontId="3" fillId="17" borderId="400" xfId="0" applyNumberFormat="1" applyFont="1" applyFill="1" applyBorder="1" applyAlignment="1">
      <alignment horizontal="center" vertical="center"/>
    </xf>
    <xf numFmtId="177" fontId="3" fillId="17" borderId="405" xfId="0" applyNumberFormat="1" applyFont="1" applyFill="1" applyBorder="1" applyAlignment="1">
      <alignment horizontal="center" vertical="center"/>
    </xf>
    <xf numFmtId="177" fontId="3" fillId="17" borderId="406" xfId="0" applyNumberFormat="1" applyFont="1" applyFill="1" applyBorder="1" applyAlignment="1">
      <alignment horizontal="center" vertical="center"/>
    </xf>
    <xf numFmtId="177" fontId="11" fillId="3" borderId="407" xfId="0" applyNumberFormat="1" applyFont="1" applyFill="1" applyBorder="1" applyAlignment="1">
      <alignment horizontal="center" vertical="center"/>
    </xf>
    <xf numFmtId="177" fontId="11" fillId="3" borderId="408" xfId="0" applyNumberFormat="1" applyFont="1" applyFill="1" applyBorder="1" applyAlignment="1">
      <alignment horizontal="center" vertical="center"/>
    </xf>
    <xf numFmtId="177" fontId="11" fillId="3" borderId="409" xfId="0" applyNumberFormat="1" applyFont="1" applyFill="1" applyBorder="1" applyAlignment="1">
      <alignment horizontal="center" vertical="center"/>
    </xf>
    <xf numFmtId="177" fontId="11" fillId="3" borderId="410" xfId="0" applyNumberFormat="1" applyFont="1" applyFill="1" applyBorder="1" applyAlignment="1">
      <alignment horizontal="center" vertical="center"/>
    </xf>
    <xf numFmtId="177" fontId="11" fillId="6" borderId="411" xfId="0" applyNumberFormat="1" applyFont="1" applyFill="1" applyBorder="1" applyAlignment="1">
      <alignment horizontal="center" vertical="center"/>
    </xf>
    <xf numFmtId="177" fontId="11" fillId="6" borderId="412" xfId="0" applyNumberFormat="1" applyFont="1" applyFill="1" applyBorder="1" applyAlignment="1">
      <alignment horizontal="center" vertical="center"/>
    </xf>
    <xf numFmtId="177" fontId="11" fillId="6" borderId="413" xfId="0" applyNumberFormat="1" applyFont="1" applyFill="1" applyBorder="1" applyAlignment="1">
      <alignment horizontal="center" vertical="center"/>
    </xf>
    <xf numFmtId="177" fontId="11" fillId="6" borderId="414" xfId="0" applyNumberFormat="1" applyFont="1" applyFill="1" applyBorder="1" applyAlignment="1">
      <alignment horizontal="center" vertical="center"/>
    </xf>
    <xf numFmtId="177" fontId="5" fillId="6" borderId="413" xfId="0" applyNumberFormat="1" applyFont="1" applyFill="1" applyBorder="1" applyAlignment="1">
      <alignment horizontal="center" vertical="center"/>
    </xf>
    <xf numFmtId="177" fontId="5" fillId="6" borderId="414" xfId="0" applyNumberFormat="1" applyFont="1" applyFill="1" applyBorder="1" applyAlignment="1">
      <alignment horizontal="center" vertical="center"/>
    </xf>
    <xf numFmtId="187" fontId="5" fillId="6" borderId="413" xfId="0" applyNumberFormat="1" applyFont="1" applyFill="1" applyBorder="1" applyAlignment="1">
      <alignment horizontal="center" vertical="center"/>
    </xf>
    <xf numFmtId="187" fontId="5" fillId="6" borderId="414" xfId="0" applyNumberFormat="1" applyFont="1" applyFill="1" applyBorder="1" applyAlignment="1">
      <alignment horizontal="center" vertical="center"/>
    </xf>
    <xf numFmtId="177" fontId="5" fillId="6" borderId="65" xfId="0" applyNumberFormat="1" applyFont="1" applyFill="1" applyBorder="1" applyAlignment="1">
      <alignment horizontal="center" vertical="center"/>
    </xf>
    <xf numFmtId="177" fontId="5" fillId="6" borderId="416" xfId="0" applyNumberFormat="1" applyFont="1" applyFill="1" applyBorder="1" applyAlignment="1">
      <alignment horizontal="center" vertical="center"/>
    </xf>
    <xf numFmtId="177" fontId="5" fillId="0" borderId="413" xfId="0" applyNumberFormat="1" applyFont="1" applyFill="1" applyBorder="1" applyAlignment="1">
      <alignment horizontal="center" vertical="center"/>
    </xf>
    <xf numFmtId="177" fontId="11" fillId="3" borderId="418" xfId="0" applyNumberFormat="1" applyFont="1" applyFill="1" applyBorder="1" applyAlignment="1">
      <alignment horizontal="center" vertical="center"/>
    </xf>
    <xf numFmtId="177" fontId="11" fillId="3" borderId="419" xfId="0" applyNumberFormat="1" applyFont="1" applyFill="1" applyBorder="1" applyAlignment="1">
      <alignment horizontal="center" vertical="center"/>
    </xf>
    <xf numFmtId="177" fontId="11" fillId="3" borderId="420" xfId="0" applyNumberFormat="1" applyFont="1" applyFill="1" applyBorder="1" applyAlignment="1">
      <alignment horizontal="center" vertical="center"/>
    </xf>
    <xf numFmtId="177" fontId="11" fillId="6" borderId="421" xfId="0" applyNumberFormat="1" applyFont="1" applyFill="1" applyBorder="1" applyAlignment="1">
      <alignment horizontal="center" vertical="center"/>
    </xf>
    <xf numFmtId="177" fontId="11" fillId="6" borderId="422" xfId="0" applyNumberFormat="1" applyFont="1" applyFill="1" applyBorder="1" applyAlignment="1">
      <alignment horizontal="center" vertical="center"/>
    </xf>
    <xf numFmtId="177" fontId="11" fillId="6" borderId="56" xfId="0" applyNumberFormat="1" applyFont="1" applyFill="1" applyBorder="1" applyAlignment="1">
      <alignment horizontal="center" vertical="center"/>
    </xf>
    <xf numFmtId="177" fontId="11" fillId="6" borderId="423" xfId="0" applyNumberFormat="1" applyFont="1" applyFill="1" applyBorder="1" applyAlignment="1">
      <alignment horizontal="center" vertical="center"/>
    </xf>
    <xf numFmtId="177" fontId="5" fillId="6" borderId="56" xfId="0" applyNumberFormat="1" applyFont="1" applyFill="1" applyBorder="1" applyAlignment="1">
      <alignment horizontal="center" vertical="center"/>
    </xf>
    <xf numFmtId="177" fontId="5" fillId="6" borderId="423" xfId="0" applyNumberFormat="1" applyFont="1" applyFill="1" applyBorder="1" applyAlignment="1">
      <alignment horizontal="center" vertical="center"/>
    </xf>
    <xf numFmtId="187" fontId="5" fillId="6" borderId="56" xfId="0" applyNumberFormat="1" applyFont="1" applyFill="1" applyBorder="1" applyAlignment="1">
      <alignment horizontal="center" vertical="center"/>
    </xf>
    <xf numFmtId="187" fontId="5" fillId="6" borderId="423" xfId="0" applyNumberFormat="1" applyFont="1" applyFill="1" applyBorder="1" applyAlignment="1">
      <alignment horizontal="center" vertical="center"/>
    </xf>
    <xf numFmtId="177" fontId="5" fillId="6" borderId="424" xfId="0" applyNumberFormat="1" applyFont="1" applyFill="1" applyBorder="1" applyAlignment="1">
      <alignment horizontal="center" vertical="center"/>
    </xf>
    <xf numFmtId="177" fontId="5" fillId="6" borderId="425" xfId="0" applyNumberFormat="1" applyFont="1" applyFill="1" applyBorder="1" applyAlignment="1">
      <alignment horizontal="center" vertical="center"/>
    </xf>
    <xf numFmtId="177" fontId="5" fillId="6" borderId="421" xfId="0" applyNumberFormat="1" applyFont="1" applyFill="1" applyBorder="1" applyAlignment="1">
      <alignment horizontal="center" vertical="center"/>
    </xf>
    <xf numFmtId="177" fontId="5" fillId="6" borderId="422" xfId="0" applyNumberFormat="1" applyFont="1" applyFill="1" applyBorder="1" applyAlignment="1">
      <alignment horizontal="center" vertical="center"/>
    </xf>
    <xf numFmtId="182" fontId="5" fillId="6" borderId="56" xfId="0" applyNumberFormat="1" applyFont="1" applyFill="1" applyBorder="1" applyAlignment="1">
      <alignment horizontal="center" vertical="center"/>
    </xf>
    <xf numFmtId="182" fontId="5" fillId="6" borderId="424" xfId="0" applyNumberFormat="1" applyFont="1" applyFill="1" applyBorder="1" applyAlignment="1">
      <alignment horizontal="center" vertical="center"/>
    </xf>
    <xf numFmtId="177" fontId="5" fillId="6" borderId="419" xfId="0" applyNumberFormat="1" applyFont="1" applyFill="1" applyBorder="1" applyAlignment="1">
      <alignment horizontal="center" vertical="center"/>
    </xf>
    <xf numFmtId="177" fontId="5" fillId="6" borderId="420" xfId="0" applyNumberFormat="1" applyFont="1" applyFill="1" applyBorder="1" applyAlignment="1">
      <alignment horizontal="center" vertical="center"/>
    </xf>
    <xf numFmtId="177" fontId="3" fillId="17" borderId="427" xfId="0" applyNumberFormat="1" applyFont="1" applyFill="1" applyBorder="1" applyAlignment="1">
      <alignment horizontal="center" vertical="center"/>
    </xf>
    <xf numFmtId="177" fontId="3" fillId="17" borderId="428" xfId="0" applyNumberFormat="1" applyFont="1" applyFill="1" applyBorder="1" applyAlignment="1">
      <alignment horizontal="center" vertical="center"/>
    </xf>
    <xf numFmtId="177" fontId="3" fillId="17" borderId="426" xfId="0" applyNumberFormat="1" applyFont="1" applyFill="1" applyBorder="1" applyAlignment="1">
      <alignment horizontal="center" vertical="center"/>
    </xf>
    <xf numFmtId="177" fontId="11" fillId="6" borderId="389" xfId="0" applyNumberFormat="1" applyFont="1" applyFill="1" applyBorder="1" applyAlignment="1">
      <alignment horizontal="center" vertical="center"/>
    </xf>
    <xf numFmtId="177" fontId="11" fillId="6" borderId="430" xfId="0" applyNumberFormat="1" applyFont="1" applyFill="1" applyBorder="1" applyAlignment="1">
      <alignment horizontal="center" vertical="center"/>
    </xf>
    <xf numFmtId="177" fontId="5" fillId="6" borderId="430" xfId="0" applyNumberFormat="1" applyFont="1" applyFill="1" applyBorder="1" applyAlignment="1">
      <alignment horizontal="center" vertical="center"/>
    </xf>
    <xf numFmtId="177" fontId="5" fillId="6" borderId="407" xfId="0" applyNumberFormat="1" applyFont="1" applyFill="1" applyBorder="1" applyAlignment="1">
      <alignment horizontal="center" vertical="center"/>
    </xf>
    <xf numFmtId="182" fontId="20" fillId="7" borderId="0" xfId="2" applyNumberFormat="1" applyFont="1" applyFill="1" applyBorder="1" applyAlignment="1">
      <alignment horizontal="center" vertical="center" shrinkToFit="1"/>
    </xf>
    <xf numFmtId="182" fontId="20" fillId="7" borderId="395" xfId="2" applyNumberFormat="1" applyFont="1" applyFill="1" applyBorder="1" applyAlignment="1">
      <alignment horizontal="center" vertical="center" shrinkToFit="1"/>
    </xf>
    <xf numFmtId="182" fontId="20" fillId="18" borderId="0" xfId="2" applyNumberFormat="1" applyFont="1" applyFill="1" applyBorder="1" applyAlignment="1">
      <alignment horizontal="center" vertical="center" shrinkToFit="1"/>
    </xf>
    <xf numFmtId="182" fontId="15" fillId="15" borderId="0" xfId="0" applyNumberFormat="1" applyFont="1" applyFill="1" applyBorder="1" applyAlignment="1">
      <alignment horizontal="center" vertical="center" shrinkToFit="1"/>
    </xf>
    <xf numFmtId="182" fontId="15" fillId="15" borderId="0" xfId="2" applyNumberFormat="1" applyFont="1" applyFill="1" applyBorder="1" applyAlignment="1">
      <alignment horizontal="center" vertical="center" shrinkToFit="1"/>
    </xf>
    <xf numFmtId="182" fontId="15" fillId="15" borderId="395" xfId="2" applyNumberFormat="1" applyFont="1" applyFill="1" applyBorder="1" applyAlignment="1">
      <alignment horizontal="center" vertical="center" shrinkToFit="1"/>
    </xf>
    <xf numFmtId="182" fontId="15" fillId="15" borderId="397" xfId="0" applyNumberFormat="1" applyFont="1" applyFill="1" applyBorder="1" applyAlignment="1">
      <alignment horizontal="center" vertical="center" shrinkToFit="1"/>
    </xf>
    <xf numFmtId="182" fontId="15" fillId="15" borderId="397" xfId="2" applyNumberFormat="1" applyFont="1" applyFill="1" applyBorder="1" applyAlignment="1">
      <alignment horizontal="center" vertical="center" shrinkToFit="1"/>
    </xf>
    <xf numFmtId="182" fontId="15" fillId="15" borderId="398" xfId="2" applyNumberFormat="1" applyFont="1" applyFill="1" applyBorder="1" applyAlignment="1">
      <alignment horizontal="center" vertical="center" shrinkToFit="1"/>
    </xf>
    <xf numFmtId="182" fontId="20" fillId="14" borderId="0" xfId="2" applyNumberFormat="1" applyFont="1" applyFill="1" applyBorder="1" applyAlignment="1">
      <alignment horizontal="center" vertical="center" shrinkToFit="1"/>
    </xf>
    <xf numFmtId="177" fontId="3" fillId="2" borderId="399" xfId="0" applyNumberFormat="1" applyFont="1" applyFill="1" applyBorder="1" applyAlignment="1">
      <alignment horizontal="center" vertical="center" shrinkToFit="1"/>
    </xf>
    <xf numFmtId="182" fontId="15" fillId="14" borderId="394" xfId="0" applyNumberFormat="1" applyFont="1" applyFill="1" applyBorder="1" applyAlignment="1">
      <alignment horizontal="center" vertical="center" shrinkToFit="1"/>
    </xf>
    <xf numFmtId="182" fontId="15" fillId="0" borderId="396" xfId="0" applyNumberFormat="1" applyFont="1" applyFill="1" applyBorder="1" applyAlignment="1">
      <alignment horizontal="center" vertical="center" shrinkToFit="1"/>
    </xf>
    <xf numFmtId="182" fontId="15" fillId="0" borderId="0" xfId="2" applyNumberFormat="1" applyFont="1" applyFill="1" applyAlignment="1">
      <alignment vertical="center" shrinkToFit="1"/>
    </xf>
    <xf numFmtId="182" fontId="15" fillId="14" borderId="390" xfId="0" applyNumberFormat="1" applyFont="1" applyFill="1" applyBorder="1" applyAlignment="1">
      <alignment horizontal="center" vertical="center" shrinkToFit="1"/>
    </xf>
    <xf numFmtId="0" fontId="0" fillId="0" borderId="396" xfId="0" applyBorder="1" applyAlignment="1">
      <alignment horizontal="center" vertical="center" shrinkToFit="1"/>
    </xf>
    <xf numFmtId="177" fontId="3" fillId="17" borderId="278" xfId="0" applyNumberFormat="1" applyFont="1" applyFill="1" applyBorder="1" applyAlignment="1">
      <alignment horizontal="center" vertical="center"/>
    </xf>
    <xf numFmtId="177" fontId="3" fillId="17" borderId="436" xfId="0" applyNumberFormat="1" applyFont="1" applyFill="1" applyBorder="1" applyAlignment="1">
      <alignment horizontal="center" vertical="center"/>
    </xf>
    <xf numFmtId="177" fontId="3" fillId="17" borderId="437" xfId="0" applyNumberFormat="1" applyFont="1" applyFill="1" applyBorder="1" applyAlignment="1">
      <alignment horizontal="center" vertical="center"/>
    </xf>
    <xf numFmtId="177" fontId="3" fillId="17" borderId="438" xfId="0" applyNumberFormat="1" applyFont="1" applyFill="1" applyBorder="1" applyAlignment="1">
      <alignment horizontal="center" vertical="center"/>
    </xf>
    <xf numFmtId="177" fontId="3" fillId="17" borderId="439" xfId="0" applyNumberFormat="1" applyFont="1" applyFill="1" applyBorder="1" applyAlignment="1">
      <alignment horizontal="center" vertical="center"/>
    </xf>
    <xf numFmtId="177" fontId="3" fillId="17" borderId="440" xfId="0" applyNumberFormat="1" applyFont="1" applyFill="1" applyBorder="1" applyAlignment="1">
      <alignment horizontal="center" vertical="center"/>
    </xf>
    <xf numFmtId="0" fontId="60" fillId="0" borderId="0" xfId="0" applyFont="1">
      <alignment vertical="center"/>
    </xf>
    <xf numFmtId="177" fontId="11" fillId="3" borderId="442" xfId="0" applyNumberFormat="1" applyFont="1" applyFill="1" applyBorder="1" applyAlignment="1">
      <alignment horizontal="center" vertical="center"/>
    </xf>
    <xf numFmtId="177" fontId="11" fillId="3" borderId="443" xfId="0" applyNumberFormat="1" applyFont="1" applyFill="1" applyBorder="1" applyAlignment="1">
      <alignment horizontal="center" vertical="center"/>
    </xf>
    <xf numFmtId="177" fontId="11" fillId="3" borderId="444" xfId="0" applyNumberFormat="1" applyFont="1" applyFill="1" applyBorder="1" applyAlignment="1">
      <alignment horizontal="center" vertical="center"/>
    </xf>
    <xf numFmtId="177" fontId="11" fillId="3" borderId="445" xfId="0" applyNumberFormat="1" applyFont="1" applyFill="1" applyBorder="1" applyAlignment="1">
      <alignment horizontal="center" vertical="center"/>
    </xf>
    <xf numFmtId="182" fontId="39" fillId="10" borderId="446" xfId="0" applyNumberFormat="1" applyFont="1" applyFill="1" applyBorder="1" applyAlignment="1">
      <alignment horizontal="center" vertical="center"/>
    </xf>
    <xf numFmtId="177" fontId="11" fillId="6" borderId="447" xfId="0" applyNumberFormat="1" applyFont="1" applyFill="1" applyBorder="1" applyAlignment="1">
      <alignment horizontal="center" vertical="center"/>
    </xf>
    <xf numFmtId="177" fontId="11" fillId="6" borderId="448" xfId="0" applyNumberFormat="1" applyFont="1" applyFill="1" applyBorder="1" applyAlignment="1">
      <alignment horizontal="center" vertical="center"/>
    </xf>
    <xf numFmtId="177" fontId="5" fillId="6" borderId="448" xfId="0" applyNumberFormat="1" applyFont="1" applyFill="1" applyBorder="1" applyAlignment="1">
      <alignment horizontal="center" vertical="center"/>
    </xf>
    <xf numFmtId="187" fontId="5" fillId="6" borderId="448" xfId="0" applyNumberFormat="1" applyFont="1" applyFill="1" applyBorder="1" applyAlignment="1">
      <alignment horizontal="center" vertical="center"/>
    </xf>
    <xf numFmtId="177" fontId="5" fillId="0" borderId="448" xfId="0" applyNumberFormat="1" applyFont="1" applyFill="1" applyBorder="1" applyAlignment="1">
      <alignment horizontal="center" vertical="center"/>
    </xf>
    <xf numFmtId="177" fontId="5" fillId="6" borderId="291" xfId="0" applyNumberFormat="1" applyFont="1" applyFill="1" applyBorder="1" applyAlignment="1">
      <alignment horizontal="center" vertical="center"/>
    </xf>
    <xf numFmtId="177" fontId="5" fillId="3" borderId="452" xfId="0" applyNumberFormat="1" applyFont="1" applyFill="1" applyBorder="1" applyAlignment="1">
      <alignment horizontal="center" vertical="center"/>
    </xf>
    <xf numFmtId="177" fontId="5" fillId="4" borderId="28" xfId="0" applyNumberFormat="1" applyFont="1" applyFill="1" applyBorder="1" applyAlignment="1">
      <alignment horizontal="center" vertical="center"/>
    </xf>
    <xf numFmtId="177" fontId="5" fillId="4" borderId="20" xfId="0" applyNumberFormat="1" applyFont="1" applyFill="1" applyBorder="1" applyAlignment="1">
      <alignment horizontal="center" vertical="center"/>
    </xf>
    <xf numFmtId="177" fontId="5" fillId="4" borderId="23" xfId="0" applyNumberFormat="1" applyFont="1" applyFill="1" applyBorder="1" applyAlignment="1">
      <alignment horizontal="center" vertical="center"/>
    </xf>
    <xf numFmtId="177" fontId="17" fillId="2" borderId="185" xfId="1" applyNumberFormat="1" applyFont="1" applyFill="1" applyBorder="1" applyAlignment="1">
      <alignment horizontal="center" vertical="center"/>
    </xf>
    <xf numFmtId="177" fontId="5" fillId="4" borderId="388" xfId="0" applyNumberFormat="1" applyFont="1" applyFill="1" applyBorder="1" applyAlignment="1">
      <alignment horizontal="center" vertical="center"/>
    </xf>
    <xf numFmtId="177" fontId="5" fillId="3" borderId="219" xfId="1" applyNumberFormat="1" applyFont="1" applyFill="1" applyBorder="1" applyAlignment="1">
      <alignment horizontal="center" vertical="center"/>
    </xf>
    <xf numFmtId="177" fontId="5" fillId="3" borderId="202" xfId="1" applyNumberFormat="1" applyFont="1" applyFill="1" applyBorder="1" applyAlignment="1">
      <alignment horizontal="center" vertical="center"/>
    </xf>
    <xf numFmtId="177" fontId="5" fillId="4" borderId="0" xfId="0" applyNumberFormat="1" applyFont="1" applyFill="1" applyBorder="1" applyAlignment="1">
      <alignment horizontal="center" vertical="center"/>
    </xf>
    <xf numFmtId="177" fontId="5" fillId="4" borderId="37" xfId="0" applyNumberFormat="1" applyFont="1" applyFill="1" applyBorder="1" applyAlignment="1">
      <alignment horizontal="center" vertical="center"/>
    </xf>
    <xf numFmtId="177" fontId="5" fillId="4" borderId="19" xfId="0" applyNumberFormat="1" applyFont="1" applyFill="1" applyBorder="1" applyAlignment="1">
      <alignment horizontal="center" vertical="center"/>
    </xf>
    <xf numFmtId="177" fontId="17" fillId="2" borderId="109" xfId="1" applyNumberFormat="1" applyFont="1" applyFill="1" applyBorder="1" applyAlignment="1">
      <alignment horizontal="center" vertical="center"/>
    </xf>
    <xf numFmtId="177" fontId="5" fillId="4" borderId="89" xfId="0" applyNumberFormat="1" applyFont="1" applyFill="1" applyBorder="1" applyAlignment="1">
      <alignment horizontal="center" vertical="center"/>
    </xf>
    <xf numFmtId="177" fontId="5" fillId="3" borderId="237" xfId="1" applyNumberFormat="1" applyFont="1" applyFill="1" applyBorder="1" applyAlignment="1">
      <alignment horizontal="center" vertical="center"/>
    </xf>
    <xf numFmtId="177" fontId="5" fillId="6" borderId="102" xfId="0" applyNumberFormat="1" applyFont="1" applyFill="1" applyBorder="1" applyAlignment="1">
      <alignment horizontal="center" vertical="center"/>
    </xf>
    <xf numFmtId="177" fontId="5" fillId="6" borderId="360" xfId="0" applyNumberFormat="1" applyFont="1" applyFill="1" applyBorder="1" applyAlignment="1">
      <alignment horizontal="center" vertical="center"/>
    </xf>
    <xf numFmtId="177" fontId="5" fillId="6" borderId="361" xfId="0" applyNumberFormat="1" applyFont="1" applyFill="1" applyBorder="1" applyAlignment="1">
      <alignment horizontal="center" vertical="center"/>
    </xf>
    <xf numFmtId="177" fontId="5" fillId="6" borderId="229" xfId="0" applyNumberFormat="1" applyFont="1" applyFill="1" applyBorder="1" applyAlignment="1">
      <alignment horizontal="center" vertical="center"/>
    </xf>
    <xf numFmtId="177" fontId="5" fillId="6" borderId="365" xfId="0" applyNumberFormat="1" applyFont="1" applyFill="1" applyBorder="1" applyAlignment="1">
      <alignment horizontal="center" vertical="center"/>
    </xf>
    <xf numFmtId="177" fontId="5" fillId="6" borderId="364" xfId="0" applyNumberFormat="1" applyFont="1" applyFill="1" applyBorder="1" applyAlignment="1">
      <alignment horizontal="center" vertical="center"/>
    </xf>
    <xf numFmtId="177" fontId="5" fillId="6" borderId="220" xfId="0" applyNumberFormat="1" applyFont="1" applyFill="1" applyBorder="1" applyAlignment="1">
      <alignment horizontal="center" vertical="center"/>
    </xf>
    <xf numFmtId="177" fontId="5" fillId="6" borderId="203" xfId="0" applyNumberFormat="1" applyFont="1" applyFill="1" applyBorder="1" applyAlignment="1">
      <alignment horizontal="center" vertical="center"/>
    </xf>
    <xf numFmtId="177" fontId="5" fillId="6" borderId="238" xfId="0" applyNumberFormat="1" applyFont="1" applyFill="1" applyBorder="1" applyAlignment="1">
      <alignment horizontal="center" vertical="center"/>
    </xf>
    <xf numFmtId="177" fontId="5" fillId="6" borderId="103" xfId="0" applyNumberFormat="1" applyFont="1" applyFill="1" applyBorder="1" applyAlignment="1">
      <alignment horizontal="center" vertical="center"/>
    </xf>
    <xf numFmtId="177" fontId="5" fillId="6" borderId="221" xfId="0" applyNumberFormat="1" applyFont="1" applyFill="1" applyBorder="1" applyAlignment="1">
      <alignment horizontal="center" vertical="center"/>
    </xf>
    <xf numFmtId="177" fontId="5" fillId="6" borderId="239" xfId="0" applyNumberFormat="1" applyFont="1" applyFill="1" applyBorder="1" applyAlignment="1">
      <alignment horizontal="center" vertical="center"/>
    </xf>
    <xf numFmtId="177" fontId="5" fillId="13" borderId="361" xfId="0" applyNumberFormat="1" applyFont="1" applyFill="1" applyBorder="1" applyAlignment="1">
      <alignment horizontal="center" vertical="center"/>
    </xf>
    <xf numFmtId="177" fontId="5" fillId="13" borderId="238" xfId="0" applyNumberFormat="1" applyFont="1" applyFill="1" applyBorder="1" applyAlignment="1">
      <alignment horizontal="center" vertical="center"/>
    </xf>
    <xf numFmtId="179" fontId="9" fillId="3" borderId="322" xfId="0" applyNumberFormat="1" applyFont="1" applyFill="1" applyBorder="1" applyAlignment="1">
      <alignment horizontal="center" vertical="center"/>
    </xf>
    <xf numFmtId="179" fontId="17" fillId="2" borderId="214" xfId="0" applyNumberFormat="1" applyFont="1" applyFill="1" applyBorder="1" applyAlignment="1">
      <alignment horizontal="center" vertical="center"/>
    </xf>
    <xf numFmtId="179" fontId="9" fillId="3" borderId="219" xfId="0" applyNumberFormat="1" applyFont="1" applyFill="1" applyBorder="1" applyAlignment="1">
      <alignment horizontal="center" vertical="center"/>
    </xf>
    <xf numFmtId="179" fontId="9" fillId="3" borderId="202" xfId="0" applyNumberFormat="1" applyFont="1" applyFill="1" applyBorder="1" applyAlignment="1">
      <alignment horizontal="center" vertical="center"/>
    </xf>
    <xf numFmtId="177" fontId="15" fillId="0" borderId="185" xfId="0" applyNumberFormat="1" applyFont="1" applyBorder="1" applyAlignment="1">
      <alignment horizontal="center" vertical="center"/>
    </xf>
    <xf numFmtId="177" fontId="15" fillId="0" borderId="81" xfId="0" applyNumberFormat="1" applyFont="1" applyBorder="1" applyAlignment="1">
      <alignment horizontal="center" vertical="center"/>
    </xf>
    <xf numFmtId="177" fontId="15" fillId="0" borderId="453" xfId="0" applyNumberFormat="1" applyFont="1" applyBorder="1" applyAlignment="1">
      <alignment horizontal="center" vertical="center"/>
    </xf>
    <xf numFmtId="177" fontId="15" fillId="0" borderId="454" xfId="0" applyNumberFormat="1" applyFont="1" applyBorder="1" applyAlignment="1">
      <alignment horizontal="center" vertical="center"/>
    </xf>
    <xf numFmtId="177" fontId="15" fillId="0" borderId="322" xfId="0" applyNumberFormat="1" applyFont="1" applyBorder="1" applyAlignment="1">
      <alignment horizontal="center" vertical="center"/>
    </xf>
    <xf numFmtId="177" fontId="15" fillId="0" borderId="167" xfId="0" applyNumberFormat="1" applyFont="1" applyBorder="1" applyAlignment="1">
      <alignment horizontal="center" vertical="center"/>
    </xf>
    <xf numFmtId="177" fontId="17" fillId="2" borderId="322" xfId="1" applyNumberFormat="1" applyFont="1" applyFill="1" applyBorder="1" applyAlignment="1">
      <alignment horizontal="center" vertical="center"/>
    </xf>
    <xf numFmtId="177" fontId="5" fillId="4" borderId="214" xfId="0" applyNumberFormat="1" applyFont="1" applyFill="1" applyBorder="1" applyAlignment="1">
      <alignment horizontal="center" vertical="center"/>
    </xf>
    <xf numFmtId="179" fontId="9" fillId="0" borderId="362" xfId="0" applyNumberFormat="1" applyFont="1" applyFill="1" applyBorder="1" applyAlignment="1">
      <alignment horizontal="center" vertical="center"/>
    </xf>
    <xf numFmtId="177" fontId="11" fillId="3" borderId="456" xfId="0" applyNumberFormat="1" applyFont="1" applyFill="1" applyBorder="1" applyAlignment="1">
      <alignment horizontal="center" vertical="center"/>
    </xf>
    <xf numFmtId="182" fontId="20" fillId="0" borderId="324" xfId="2" applyNumberFormat="1" applyFont="1" applyFill="1" applyBorder="1" applyAlignment="1">
      <alignment horizontal="center" vertical="center"/>
    </xf>
    <xf numFmtId="41" fontId="37" fillId="0" borderId="0" xfId="2" applyFont="1" applyAlignment="1">
      <alignment vertical="center"/>
    </xf>
    <xf numFmtId="41" fontId="15" fillId="0" borderId="0" xfId="2" applyNumberFormat="1" applyFont="1" applyFill="1" applyAlignment="1">
      <alignment vertical="center" shrinkToFit="1"/>
    </xf>
    <xf numFmtId="41" fontId="5" fillId="0" borderId="0" xfId="2" applyFont="1" applyFill="1" applyBorder="1" applyAlignment="1">
      <alignment horizontal="center" vertical="center"/>
    </xf>
    <xf numFmtId="193" fontId="49" fillId="0" borderId="0" xfId="0" applyNumberFormat="1" applyFont="1" applyAlignment="1">
      <alignment vertical="center" shrinkToFit="1"/>
    </xf>
    <xf numFmtId="193" fontId="49" fillId="0" borderId="0" xfId="0" applyNumberFormat="1" applyFont="1">
      <alignment vertical="center"/>
    </xf>
    <xf numFmtId="193" fontId="49" fillId="0" borderId="0" xfId="0" applyNumberFormat="1" applyFont="1" applyBorder="1">
      <alignment vertical="center"/>
    </xf>
    <xf numFmtId="41" fontId="49" fillId="0" borderId="0" xfId="2" applyFont="1" applyFill="1" applyAlignment="1">
      <alignment vertical="center" shrinkToFit="1"/>
    </xf>
    <xf numFmtId="177" fontId="5" fillId="3" borderId="462" xfId="0" applyNumberFormat="1" applyFont="1" applyFill="1" applyBorder="1" applyAlignment="1">
      <alignment horizontal="center" vertical="center"/>
    </xf>
    <xf numFmtId="179" fontId="0" fillId="0" borderId="358" xfId="0" applyNumberFormat="1" applyBorder="1" applyAlignment="1">
      <alignment horizontal="center" vertical="center"/>
    </xf>
    <xf numFmtId="177" fontId="5" fillId="3" borderId="469" xfId="0" applyNumberFormat="1" applyFont="1" applyFill="1" applyBorder="1" applyAlignment="1">
      <alignment horizontal="center" vertical="center"/>
    </xf>
    <xf numFmtId="0" fontId="0" fillId="0" borderId="358" xfId="0" applyFill="1" applyBorder="1">
      <alignment vertical="center"/>
    </xf>
    <xf numFmtId="41" fontId="0" fillId="0" borderId="0" xfId="2" applyFont="1" applyFill="1" applyBorder="1">
      <alignment vertical="center"/>
    </xf>
    <xf numFmtId="41" fontId="0" fillId="0" borderId="358" xfId="2" applyFont="1" applyFill="1" applyBorder="1">
      <alignment vertical="center"/>
    </xf>
    <xf numFmtId="177" fontId="15" fillId="0" borderId="468" xfId="0" applyNumberFormat="1" applyFont="1" applyBorder="1" applyAlignment="1">
      <alignment horizontal="center" vertical="center"/>
    </xf>
    <xf numFmtId="177" fontId="15" fillId="0" borderId="353" xfId="0" applyNumberFormat="1" applyFont="1" applyBorder="1" applyAlignment="1">
      <alignment horizontal="center" vertical="center"/>
    </xf>
    <xf numFmtId="177" fontId="0" fillId="0" borderId="0" xfId="0" applyNumberFormat="1" applyFill="1">
      <alignment vertical="center"/>
    </xf>
    <xf numFmtId="177" fontId="3" fillId="2" borderId="473" xfId="0" applyNumberFormat="1" applyFont="1" applyFill="1" applyBorder="1" applyAlignment="1">
      <alignment horizontal="center" vertical="center"/>
    </xf>
    <xf numFmtId="177" fontId="3" fillId="2" borderId="474" xfId="0" applyNumberFormat="1" applyFont="1" applyFill="1" applyBorder="1" applyAlignment="1">
      <alignment horizontal="center" vertical="center"/>
    </xf>
    <xf numFmtId="179" fontId="5" fillId="3" borderId="475" xfId="0" applyNumberFormat="1" applyFont="1" applyFill="1" applyBorder="1" applyAlignment="1">
      <alignment horizontal="center" vertical="center"/>
    </xf>
    <xf numFmtId="179" fontId="5" fillId="3" borderId="476" xfId="0" applyNumberFormat="1" applyFont="1" applyFill="1" applyBorder="1" applyAlignment="1">
      <alignment horizontal="center" vertical="center"/>
    </xf>
    <xf numFmtId="179" fontId="5" fillId="3" borderId="477" xfId="0" applyNumberFormat="1" applyFont="1" applyFill="1" applyBorder="1" applyAlignment="1">
      <alignment horizontal="center" vertical="center"/>
    </xf>
    <xf numFmtId="179" fontId="5" fillId="6" borderId="41" xfId="0" applyNumberFormat="1" applyFont="1" applyFill="1" applyBorder="1" applyAlignment="1">
      <alignment horizontal="center" vertical="center"/>
    </xf>
    <xf numFmtId="179" fontId="5" fillId="6" borderId="413" xfId="0" applyNumberFormat="1" applyFont="1" applyFill="1" applyBorder="1" applyAlignment="1">
      <alignment horizontal="center" vertical="center"/>
    </xf>
    <xf numFmtId="179" fontId="5" fillId="6" borderId="448" xfId="0" applyNumberFormat="1" applyFont="1" applyFill="1" applyBorder="1" applyAlignment="1">
      <alignment horizontal="center" vertical="center"/>
    </xf>
    <xf numFmtId="179" fontId="5" fillId="6" borderId="478" xfId="0" applyNumberFormat="1" applyFont="1" applyFill="1" applyBorder="1" applyAlignment="1">
      <alignment horizontal="center" vertical="center"/>
    </xf>
    <xf numFmtId="179" fontId="5" fillId="6" borderId="205" xfId="0" applyNumberFormat="1" applyFont="1" applyFill="1" applyBorder="1" applyAlignment="1">
      <alignment horizontal="center" vertical="center"/>
    </xf>
    <xf numFmtId="179" fontId="5" fillId="6" borderId="479" xfId="0" applyNumberFormat="1" applyFont="1" applyFill="1" applyBorder="1" applyAlignment="1">
      <alignment horizontal="center" vertical="center"/>
    </xf>
    <xf numFmtId="179" fontId="5" fillId="6" borderId="480" xfId="0" applyNumberFormat="1" applyFont="1" applyFill="1" applyBorder="1" applyAlignment="1">
      <alignment horizontal="center" vertical="center"/>
    </xf>
    <xf numFmtId="179" fontId="5" fillId="6" borderId="482" xfId="0" applyNumberFormat="1" applyFont="1" applyFill="1" applyBorder="1" applyAlignment="1">
      <alignment horizontal="center" vertical="center"/>
    </xf>
    <xf numFmtId="179" fontId="5" fillId="3" borderId="484" xfId="0" applyNumberFormat="1" applyFont="1" applyFill="1" applyBorder="1" applyAlignment="1">
      <alignment horizontal="center" vertical="center"/>
    </xf>
    <xf numFmtId="179" fontId="5" fillId="6" borderId="485" xfId="0" applyNumberFormat="1" applyFont="1" applyFill="1" applyBorder="1" applyAlignment="1">
      <alignment horizontal="center" vertical="center"/>
    </xf>
    <xf numFmtId="179" fontId="5" fillId="6" borderId="65" xfId="0" applyNumberFormat="1" applyFont="1" applyFill="1" applyBorder="1" applyAlignment="1">
      <alignment horizontal="center" vertical="center"/>
    </xf>
    <xf numFmtId="179" fontId="5" fillId="6" borderId="291" xfId="0" applyNumberFormat="1" applyFont="1" applyFill="1" applyBorder="1" applyAlignment="1">
      <alignment horizontal="center" vertical="center"/>
    </xf>
    <xf numFmtId="179" fontId="0" fillId="5" borderId="486" xfId="0" applyNumberFormat="1" applyFill="1" applyBorder="1" applyAlignment="1">
      <alignment horizontal="center" vertical="center"/>
    </xf>
    <xf numFmtId="179" fontId="0" fillId="5" borderId="487" xfId="0" applyNumberFormat="1" applyFill="1" applyBorder="1" applyAlignment="1">
      <alignment horizontal="center" vertical="center"/>
    </xf>
    <xf numFmtId="179" fontId="0" fillId="5" borderId="488" xfId="0" applyNumberFormat="1" applyFill="1" applyBorder="1" applyAlignment="1">
      <alignment horizontal="center" vertical="center"/>
    </xf>
    <xf numFmtId="177" fontId="5" fillId="3" borderId="484" xfId="0" applyNumberFormat="1" applyFont="1" applyFill="1" applyBorder="1" applyAlignment="1">
      <alignment horizontal="center" vertical="center"/>
    </xf>
    <xf numFmtId="177" fontId="5" fillId="3" borderId="476" xfId="0" applyNumberFormat="1" applyFont="1" applyFill="1" applyBorder="1" applyAlignment="1">
      <alignment horizontal="center" vertical="center"/>
    </xf>
    <xf numFmtId="177" fontId="5" fillId="3" borderId="477" xfId="0" applyNumberFormat="1" applyFont="1" applyFill="1" applyBorder="1" applyAlignment="1">
      <alignment horizontal="center" vertical="center"/>
    </xf>
    <xf numFmtId="177" fontId="5" fillId="0" borderId="478" xfId="0" applyNumberFormat="1" applyFont="1" applyFill="1" applyBorder="1" applyAlignment="1">
      <alignment horizontal="center" vertical="center"/>
    </xf>
    <xf numFmtId="180" fontId="5" fillId="0" borderId="413" xfId="0" applyNumberFormat="1" applyFont="1" applyFill="1" applyBorder="1" applyAlignment="1">
      <alignment horizontal="center" vertical="center"/>
    </xf>
    <xf numFmtId="177" fontId="5" fillId="0" borderId="481" xfId="0" applyNumberFormat="1" applyFont="1" applyFill="1" applyBorder="1" applyAlignment="1">
      <alignment horizontal="center" vertical="center"/>
    </xf>
    <xf numFmtId="177" fontId="5" fillId="0" borderId="482" xfId="0" applyNumberFormat="1" applyFont="1" applyFill="1" applyBorder="1" applyAlignment="1">
      <alignment horizontal="center" vertical="center"/>
    </xf>
    <xf numFmtId="180" fontId="5" fillId="0" borderId="482" xfId="0" applyNumberFormat="1" applyFont="1" applyFill="1" applyBorder="1" applyAlignment="1">
      <alignment horizontal="center" vertical="center"/>
    </xf>
    <xf numFmtId="177" fontId="5" fillId="0" borderId="483" xfId="0" applyNumberFormat="1" applyFont="1" applyFill="1" applyBorder="1" applyAlignment="1">
      <alignment horizontal="center" vertical="center"/>
    </xf>
    <xf numFmtId="177" fontId="5" fillId="0" borderId="489" xfId="0" applyNumberFormat="1" applyFont="1" applyFill="1" applyBorder="1" applyAlignment="1">
      <alignment horizontal="center" vertical="center"/>
    </xf>
    <xf numFmtId="177" fontId="5" fillId="0" borderId="490" xfId="0" applyNumberFormat="1" applyFont="1" applyFill="1" applyBorder="1" applyAlignment="1">
      <alignment horizontal="center" vertical="center"/>
    </xf>
    <xf numFmtId="180" fontId="5" fillId="0" borderId="490" xfId="0" applyNumberFormat="1" applyFont="1" applyFill="1" applyBorder="1" applyAlignment="1">
      <alignment horizontal="center" vertical="center"/>
    </xf>
    <xf numFmtId="177" fontId="5" fillId="0" borderId="491" xfId="0" applyNumberFormat="1" applyFont="1" applyFill="1" applyBorder="1" applyAlignment="1">
      <alignment horizontal="center" vertical="center"/>
    </xf>
    <xf numFmtId="177" fontId="5" fillId="6" borderId="478" xfId="0" applyNumberFormat="1" applyFont="1" applyFill="1" applyBorder="1" applyAlignment="1">
      <alignment horizontal="center" vertical="center"/>
    </xf>
    <xf numFmtId="177" fontId="5" fillId="6" borderId="413" xfId="0" applyNumberFormat="1" applyFont="1" applyFill="1" applyBorder="1" applyAlignment="1">
      <alignment horizontal="left" vertical="center"/>
    </xf>
    <xf numFmtId="177" fontId="5" fillId="6" borderId="481" xfId="0" applyNumberFormat="1" applyFont="1" applyFill="1" applyBorder="1" applyAlignment="1">
      <alignment horizontal="center" vertical="center"/>
    </xf>
    <xf numFmtId="177" fontId="5" fillId="6" borderId="482" xfId="0" applyNumberFormat="1" applyFont="1" applyFill="1" applyBorder="1" applyAlignment="1">
      <alignment horizontal="center" vertical="center"/>
    </xf>
    <xf numFmtId="177" fontId="5" fillId="6" borderId="483" xfId="0" applyNumberFormat="1" applyFont="1" applyFill="1" applyBorder="1" applyAlignment="1">
      <alignment horizontal="center" vertical="center"/>
    </xf>
    <xf numFmtId="181" fontId="5" fillId="0" borderId="41" xfId="0" applyNumberFormat="1" applyFont="1" applyFill="1" applyBorder="1" applyAlignment="1">
      <alignment horizontal="center" vertical="center"/>
    </xf>
    <xf numFmtId="181" fontId="5" fillId="0" borderId="413" xfId="0" applyNumberFormat="1" applyFont="1" applyFill="1" applyBorder="1" applyAlignment="1">
      <alignment horizontal="center" vertical="center"/>
    </xf>
    <xf numFmtId="177" fontId="5" fillId="0" borderId="480" xfId="0" applyNumberFormat="1" applyFont="1" applyFill="1" applyBorder="1" applyAlignment="1">
      <alignment horizontal="center" vertical="center"/>
    </xf>
    <xf numFmtId="181" fontId="5" fillId="0" borderId="494" xfId="0" applyNumberFormat="1" applyFont="1" applyFill="1" applyBorder="1" applyAlignment="1">
      <alignment horizontal="center" vertical="center"/>
    </xf>
    <xf numFmtId="181" fontId="5" fillId="0" borderId="482" xfId="0" applyNumberFormat="1" applyFont="1" applyFill="1" applyBorder="1" applyAlignment="1">
      <alignment horizontal="center" vertical="center"/>
    </xf>
    <xf numFmtId="181" fontId="5" fillId="0" borderId="495" xfId="0" applyNumberFormat="1" applyFont="1" applyFill="1" applyBorder="1" applyAlignment="1">
      <alignment horizontal="center" vertical="center"/>
    </xf>
    <xf numFmtId="181" fontId="5" fillId="0" borderId="492" xfId="0" applyNumberFormat="1" applyFont="1" applyFill="1" applyBorder="1" applyAlignment="1">
      <alignment horizontal="center" vertical="center"/>
    </xf>
    <xf numFmtId="177" fontId="5" fillId="0" borderId="492" xfId="0" applyNumberFormat="1" applyFont="1" applyFill="1" applyBorder="1" applyAlignment="1">
      <alignment horizontal="center" vertical="center"/>
    </xf>
    <xf numFmtId="177" fontId="5" fillId="0" borderId="493" xfId="0" applyNumberFormat="1" applyFont="1" applyFill="1" applyBorder="1" applyAlignment="1">
      <alignment horizontal="center" vertical="center"/>
    </xf>
    <xf numFmtId="177" fontId="5" fillId="0" borderId="41" xfId="0" applyNumberFormat="1" applyFont="1" applyFill="1" applyBorder="1" applyAlignment="1">
      <alignment horizontal="center" vertical="center"/>
    </xf>
    <xf numFmtId="177" fontId="5" fillId="0" borderId="187" xfId="0" applyNumberFormat="1" applyFont="1" applyFill="1" applyBorder="1" applyAlignment="1">
      <alignment horizontal="center" vertical="center"/>
    </xf>
    <xf numFmtId="181" fontId="5" fillId="0" borderId="490" xfId="0" applyNumberFormat="1" applyFont="1" applyFill="1" applyBorder="1" applyAlignment="1">
      <alignment horizontal="center" vertical="center"/>
    </xf>
    <xf numFmtId="183" fontId="5" fillId="3" borderId="476" xfId="0" applyNumberFormat="1" applyFont="1" applyFill="1" applyBorder="1" applyAlignment="1">
      <alignment horizontal="center" vertical="center"/>
    </xf>
    <xf numFmtId="183" fontId="5" fillId="3" borderId="477" xfId="0" applyNumberFormat="1" applyFont="1" applyFill="1" applyBorder="1" applyAlignment="1">
      <alignment horizontal="center" vertical="center"/>
    </xf>
    <xf numFmtId="183" fontId="5" fillId="0" borderId="41" xfId="3" applyNumberFormat="1" applyFont="1" applyFill="1" applyBorder="1" applyAlignment="1">
      <alignment horizontal="center" vertical="center"/>
    </xf>
    <xf numFmtId="183" fontId="5" fillId="0" borderId="413" xfId="3" applyNumberFormat="1" applyFont="1" applyFill="1" applyBorder="1" applyAlignment="1">
      <alignment horizontal="center" vertical="center"/>
    </xf>
    <xf numFmtId="183" fontId="5" fillId="0" borderId="448" xfId="3" applyNumberFormat="1" applyFont="1" applyFill="1" applyBorder="1" applyAlignment="1">
      <alignment horizontal="center" vertical="center"/>
    </xf>
    <xf numFmtId="183" fontId="5" fillId="0" borderId="494" xfId="3" applyNumberFormat="1" applyFont="1" applyFill="1" applyBorder="1" applyAlignment="1">
      <alignment horizontal="center" vertical="center"/>
    </xf>
    <xf numFmtId="183" fontId="5" fillId="0" borderId="482" xfId="3" applyNumberFormat="1" applyFont="1" applyFill="1" applyBorder="1" applyAlignment="1">
      <alignment horizontal="center" vertical="center"/>
    </xf>
    <xf numFmtId="183" fontId="5" fillId="0" borderId="483" xfId="3" applyNumberFormat="1" applyFont="1" applyFill="1" applyBorder="1" applyAlignment="1">
      <alignment horizontal="center" vertical="center"/>
    </xf>
    <xf numFmtId="183" fontId="5" fillId="0" borderId="187" xfId="3" applyNumberFormat="1" applyFont="1" applyFill="1" applyBorder="1" applyAlignment="1">
      <alignment horizontal="center" vertical="center"/>
    </xf>
    <xf numFmtId="183" fontId="5" fillId="0" borderId="490" xfId="3" applyNumberFormat="1" applyFont="1" applyFill="1" applyBorder="1" applyAlignment="1">
      <alignment horizontal="center" vertical="center"/>
    </xf>
    <xf numFmtId="183" fontId="5" fillId="0" borderId="491" xfId="3" applyNumberFormat="1" applyFont="1" applyFill="1" applyBorder="1" applyAlignment="1">
      <alignment horizontal="center" vertical="center"/>
    </xf>
    <xf numFmtId="187" fontId="5" fillId="0" borderId="413" xfId="0" applyNumberFormat="1" applyFont="1" applyFill="1" applyBorder="1" applyAlignment="1">
      <alignment horizontal="center" vertical="center"/>
    </xf>
    <xf numFmtId="187" fontId="5" fillId="0" borderId="448" xfId="0" applyNumberFormat="1" applyFont="1" applyFill="1" applyBorder="1" applyAlignment="1">
      <alignment horizontal="center" vertical="center"/>
    </xf>
    <xf numFmtId="187" fontId="5" fillId="0" borderId="482" xfId="0" applyNumberFormat="1" applyFont="1" applyFill="1" applyBorder="1" applyAlignment="1">
      <alignment horizontal="center" vertical="center"/>
    </xf>
    <xf numFmtId="187" fontId="5" fillId="0" borderId="483" xfId="0" applyNumberFormat="1" applyFont="1" applyFill="1" applyBorder="1" applyAlignment="1">
      <alignment horizontal="center" vertical="center"/>
    </xf>
    <xf numFmtId="180" fontId="5" fillId="3" borderId="496" xfId="0" applyNumberFormat="1" applyFont="1" applyFill="1" applyBorder="1" applyAlignment="1">
      <alignment horizontal="center" vertical="center"/>
    </xf>
    <xf numFmtId="180" fontId="5" fillId="3" borderId="476" xfId="0" applyNumberFormat="1" applyFont="1" applyFill="1" applyBorder="1" applyAlignment="1">
      <alignment horizontal="center" vertical="center"/>
    </xf>
    <xf numFmtId="180" fontId="5" fillId="3" borderId="477" xfId="0" applyNumberFormat="1" applyFont="1" applyFill="1" applyBorder="1" applyAlignment="1">
      <alignment horizontal="center" vertical="center"/>
    </xf>
    <xf numFmtId="180" fontId="5" fillId="5" borderId="205" xfId="0" applyNumberFormat="1" applyFont="1" applyFill="1" applyBorder="1" applyAlignment="1">
      <alignment horizontal="center" vertical="center"/>
    </xf>
    <xf numFmtId="180" fontId="5" fillId="5" borderId="479" xfId="0" applyNumberFormat="1" applyFont="1" applyFill="1" applyBorder="1" applyAlignment="1">
      <alignment horizontal="center" vertical="center"/>
    </xf>
    <xf numFmtId="180" fontId="5" fillId="5" borderId="480" xfId="0" applyNumberFormat="1" applyFont="1" applyFill="1" applyBorder="1" applyAlignment="1">
      <alignment horizontal="center" vertical="center"/>
    </xf>
    <xf numFmtId="180" fontId="5" fillId="5" borderId="41" xfId="0" applyNumberFormat="1" applyFont="1" applyFill="1" applyBorder="1" applyAlignment="1">
      <alignment horizontal="center" vertical="center"/>
    </xf>
    <xf numFmtId="180" fontId="5" fillId="5" borderId="413" xfId="0" applyNumberFormat="1" applyFont="1" applyFill="1" applyBorder="1" applyAlignment="1">
      <alignment horizontal="center" vertical="center"/>
    </xf>
    <xf numFmtId="180" fontId="5" fillId="5" borderId="448" xfId="0" applyNumberFormat="1" applyFont="1" applyFill="1" applyBorder="1" applyAlignment="1">
      <alignment horizontal="center" vertical="center"/>
    </xf>
    <xf numFmtId="180" fontId="5" fillId="5" borderId="494" xfId="0" applyNumberFormat="1" applyFont="1" applyFill="1" applyBorder="1" applyAlignment="1">
      <alignment horizontal="center" vertical="center"/>
    </xf>
    <xf numFmtId="180" fontId="5" fillId="5" borderId="482" xfId="0" applyNumberFormat="1" applyFont="1" applyFill="1" applyBorder="1" applyAlignment="1">
      <alignment horizontal="center" vertical="center"/>
    </xf>
    <xf numFmtId="180" fontId="5" fillId="5" borderId="483" xfId="0" applyNumberFormat="1" applyFont="1" applyFill="1" applyBorder="1" applyAlignment="1">
      <alignment horizontal="center" vertical="center"/>
    </xf>
    <xf numFmtId="180" fontId="5" fillId="5" borderId="187" xfId="0" applyNumberFormat="1" applyFont="1" applyFill="1" applyBorder="1" applyAlignment="1">
      <alignment horizontal="center" vertical="center"/>
    </xf>
    <xf numFmtId="180" fontId="5" fillId="5" borderId="490" xfId="0" applyNumberFormat="1" applyFont="1" applyFill="1" applyBorder="1" applyAlignment="1">
      <alignment horizontal="center" vertical="center"/>
    </xf>
    <xf numFmtId="180" fontId="5" fillId="5" borderId="491" xfId="0" applyNumberFormat="1" applyFont="1" applyFill="1" applyBorder="1" applyAlignment="1">
      <alignment horizontal="center" vertical="center"/>
    </xf>
    <xf numFmtId="180" fontId="5" fillId="3" borderId="475" xfId="0" applyNumberFormat="1" applyFont="1" applyFill="1" applyBorder="1" applyAlignment="1">
      <alignment horizontal="center" vertical="center"/>
    </xf>
    <xf numFmtId="180" fontId="5" fillId="6" borderId="479" xfId="0" applyNumberFormat="1" applyFont="1" applyFill="1" applyBorder="1" applyAlignment="1">
      <alignment horizontal="center" vertical="center"/>
    </xf>
    <xf numFmtId="180" fontId="5" fillId="6" borderId="480" xfId="0" applyNumberFormat="1" applyFont="1" applyFill="1" applyBorder="1" applyAlignment="1">
      <alignment horizontal="center" vertical="center"/>
    </xf>
    <xf numFmtId="180" fontId="5" fillId="6" borderId="413" xfId="0" applyNumberFormat="1" applyFont="1" applyFill="1" applyBorder="1" applyAlignment="1">
      <alignment horizontal="center" vertical="center"/>
    </xf>
    <xf numFmtId="180" fontId="5" fillId="6" borderId="448" xfId="0" applyNumberFormat="1" applyFont="1" applyFill="1" applyBorder="1" applyAlignment="1">
      <alignment horizontal="center" vertical="center"/>
    </xf>
    <xf numFmtId="180" fontId="5" fillId="0" borderId="497" xfId="0" applyNumberFormat="1" applyFont="1" applyFill="1" applyBorder="1" applyAlignment="1">
      <alignment horizontal="center" vertical="center"/>
    </xf>
    <xf numFmtId="180" fontId="5" fillId="0" borderId="498" xfId="0" applyNumberFormat="1" applyFont="1" applyFill="1" applyBorder="1" applyAlignment="1">
      <alignment horizontal="center" vertical="center"/>
    </xf>
    <xf numFmtId="180" fontId="5" fillId="0" borderId="499" xfId="0" applyNumberFormat="1" applyFont="1" applyFill="1" applyBorder="1" applyAlignment="1">
      <alignment horizontal="center" vertical="center"/>
    </xf>
    <xf numFmtId="177" fontId="5" fillId="3" borderId="496" xfId="0" applyNumberFormat="1" applyFont="1" applyFill="1" applyBorder="1" applyAlignment="1">
      <alignment horizontal="center" vertical="center"/>
    </xf>
    <xf numFmtId="177" fontId="5" fillId="6" borderId="41" xfId="0" applyNumberFormat="1" applyFont="1" applyFill="1" applyBorder="1" applyAlignment="1">
      <alignment horizontal="center" vertical="center"/>
    </xf>
    <xf numFmtId="177" fontId="5" fillId="6" borderId="479" xfId="0" applyNumberFormat="1" applyFont="1" applyFill="1" applyBorder="1" applyAlignment="1">
      <alignment horizontal="center" vertical="center"/>
    </xf>
    <xf numFmtId="177" fontId="5" fillId="6" borderId="500" xfId="0" applyNumberFormat="1" applyFont="1" applyFill="1" applyBorder="1" applyAlignment="1">
      <alignment horizontal="center" vertical="center"/>
    </xf>
    <xf numFmtId="177" fontId="5" fillId="6" borderId="501" xfId="0" applyNumberFormat="1" applyFont="1" applyFill="1" applyBorder="1" applyAlignment="1">
      <alignment horizontal="center" vertical="center"/>
    </xf>
    <xf numFmtId="177" fontId="5" fillId="6" borderId="490" xfId="0" applyNumberFormat="1" applyFont="1" applyFill="1" applyBorder="1" applyAlignment="1">
      <alignment horizontal="center" vertical="center"/>
    </xf>
    <xf numFmtId="177" fontId="5" fillId="6" borderId="487" xfId="0" applyNumberFormat="1" applyFont="1" applyFill="1" applyBorder="1" applyAlignment="1">
      <alignment horizontal="center" vertical="center"/>
    </xf>
    <xf numFmtId="177" fontId="5" fillId="6" borderId="502" xfId="0" applyNumberFormat="1" applyFont="1" applyFill="1" applyBorder="1" applyAlignment="1">
      <alignment horizontal="center" vertical="center"/>
    </xf>
    <xf numFmtId="177" fontId="5" fillId="6" borderId="503" xfId="0" applyNumberFormat="1" applyFont="1" applyFill="1" applyBorder="1" applyAlignment="1">
      <alignment horizontal="center" vertical="center"/>
    </xf>
    <xf numFmtId="177" fontId="5" fillId="3" borderId="504" xfId="0" applyNumberFormat="1" applyFont="1" applyFill="1" applyBorder="1" applyAlignment="1">
      <alignment horizontal="center" vertical="center"/>
    </xf>
    <xf numFmtId="177" fontId="5" fillId="3" borderId="505" xfId="0" applyNumberFormat="1" applyFont="1" applyFill="1" applyBorder="1" applyAlignment="1">
      <alignment horizontal="center" vertical="center"/>
    </xf>
    <xf numFmtId="177" fontId="5" fillId="0" borderId="272" xfId="0" applyNumberFormat="1" applyFont="1" applyFill="1" applyBorder="1" applyAlignment="1">
      <alignment horizontal="center" vertical="center"/>
    </xf>
    <xf numFmtId="177" fontId="5" fillId="0" borderId="205" xfId="0" applyNumberFormat="1" applyFont="1" applyFill="1" applyBorder="1" applyAlignment="1">
      <alignment horizontal="center" vertical="center"/>
    </xf>
    <xf numFmtId="177" fontId="5" fillId="0" borderId="479" xfId="0" applyNumberFormat="1" applyFont="1" applyFill="1" applyBorder="1" applyAlignment="1">
      <alignment horizontal="center" vertical="center"/>
    </xf>
    <xf numFmtId="177" fontId="5" fillId="0" borderId="273" xfId="0" applyNumberFormat="1" applyFont="1" applyFill="1" applyBorder="1" applyAlignment="1">
      <alignment horizontal="center" vertical="center"/>
    </xf>
    <xf numFmtId="177" fontId="5" fillId="0" borderId="494" xfId="0" applyNumberFormat="1" applyFont="1" applyFill="1" applyBorder="1" applyAlignment="1">
      <alignment horizontal="center" vertical="center"/>
    </xf>
    <xf numFmtId="177" fontId="5" fillId="0" borderId="274" xfId="0" applyNumberFormat="1" applyFont="1" applyFill="1" applyBorder="1" applyAlignment="1">
      <alignment horizontal="center" vertical="center"/>
    </xf>
    <xf numFmtId="177" fontId="5" fillId="3" borderId="495" xfId="0" applyNumberFormat="1" applyFont="1" applyFill="1" applyBorder="1" applyAlignment="1">
      <alignment horizontal="center" vertical="center"/>
    </xf>
    <xf numFmtId="177" fontId="5" fillId="3" borderId="492" xfId="0" applyNumberFormat="1" applyFont="1" applyFill="1" applyBorder="1" applyAlignment="1">
      <alignment horizontal="center" vertical="center"/>
    </xf>
    <xf numFmtId="177" fontId="5" fillId="3" borderId="506" xfId="0" applyNumberFormat="1" applyFont="1" applyFill="1" applyBorder="1" applyAlignment="1">
      <alignment horizontal="center" vertical="center"/>
    </xf>
    <xf numFmtId="177" fontId="5" fillId="0" borderId="41" xfId="2" applyNumberFormat="1" applyFont="1" applyFill="1" applyBorder="1" applyAlignment="1">
      <alignment horizontal="center" vertical="center"/>
    </xf>
    <xf numFmtId="177" fontId="5" fillId="0" borderId="413" xfId="2" applyNumberFormat="1" applyFont="1" applyFill="1" applyBorder="1" applyAlignment="1">
      <alignment horizontal="center" vertical="center"/>
    </xf>
    <xf numFmtId="177" fontId="5" fillId="0" borderId="272" xfId="2" applyNumberFormat="1" applyFont="1" applyFill="1" applyBorder="1" applyAlignment="1">
      <alignment horizontal="center" vertical="center"/>
    </xf>
    <xf numFmtId="177" fontId="5" fillId="0" borderId="497" xfId="0" applyNumberFormat="1" applyFont="1" applyFill="1" applyBorder="1" applyAlignment="1">
      <alignment horizontal="center" vertical="center"/>
    </xf>
    <xf numFmtId="177" fontId="5" fillId="0" borderId="498" xfId="0" applyNumberFormat="1" applyFont="1" applyFill="1" applyBorder="1" applyAlignment="1">
      <alignment horizontal="center" vertical="center"/>
    </xf>
    <xf numFmtId="177" fontId="5" fillId="0" borderId="507" xfId="0" applyNumberFormat="1" applyFont="1" applyFill="1" applyBorder="1" applyAlignment="1">
      <alignment horizontal="center" vertical="center"/>
    </xf>
    <xf numFmtId="177" fontId="5" fillId="0" borderId="275" xfId="0" applyNumberFormat="1" applyFont="1" applyFill="1" applyBorder="1" applyAlignment="1">
      <alignment horizontal="center" vertical="center"/>
    </xf>
    <xf numFmtId="180" fontId="5" fillId="0" borderId="205" xfId="0" applyNumberFormat="1" applyFont="1" applyFill="1" applyBorder="1" applyAlignment="1">
      <alignment horizontal="center" vertical="center"/>
    </xf>
    <xf numFmtId="180" fontId="5" fillId="0" borderId="479" xfId="0" applyNumberFormat="1" applyFont="1" applyFill="1" applyBorder="1" applyAlignment="1">
      <alignment horizontal="center" vertical="center"/>
    </xf>
    <xf numFmtId="180" fontId="5" fillId="0" borderId="273" xfId="0" applyNumberFormat="1" applyFont="1" applyFill="1" applyBorder="1" applyAlignment="1">
      <alignment horizontal="center" vertical="center"/>
    </xf>
    <xf numFmtId="180" fontId="5" fillId="0" borderId="41" xfId="0" applyNumberFormat="1" applyFont="1" applyFill="1" applyBorder="1" applyAlignment="1">
      <alignment horizontal="center" vertical="center"/>
    </xf>
    <xf numFmtId="180" fontId="5" fillId="0" borderId="272" xfId="0" applyNumberFormat="1" applyFont="1" applyFill="1" applyBorder="1" applyAlignment="1">
      <alignment horizontal="center" vertical="center"/>
    </xf>
    <xf numFmtId="180" fontId="5" fillId="0" borderId="494" xfId="0" applyNumberFormat="1" applyFont="1" applyFill="1" applyBorder="1" applyAlignment="1">
      <alignment horizontal="center" vertical="center"/>
    </xf>
    <xf numFmtId="180" fontId="5" fillId="0" borderId="274" xfId="0" applyNumberFormat="1" applyFont="1" applyFill="1" applyBorder="1" applyAlignment="1">
      <alignment horizontal="center" vertical="center"/>
    </xf>
    <xf numFmtId="180" fontId="5" fillId="0" borderId="187" xfId="0" applyNumberFormat="1" applyFont="1" applyFill="1" applyBorder="1" applyAlignment="1">
      <alignment horizontal="center" vertical="center"/>
    </xf>
    <xf numFmtId="180" fontId="5" fillId="0" borderId="275" xfId="0" applyNumberFormat="1" applyFont="1" applyFill="1" applyBorder="1" applyAlignment="1">
      <alignment horizontal="center" vertical="center"/>
    </xf>
    <xf numFmtId="177" fontId="5" fillId="0" borderId="191" xfId="0" applyNumberFormat="1" applyFont="1" applyFill="1" applyBorder="1" applyAlignment="1">
      <alignment horizontal="center" vertical="center"/>
    </xf>
    <xf numFmtId="177" fontId="5" fillId="0" borderId="508" xfId="0" applyNumberFormat="1" applyFont="1" applyFill="1" applyBorder="1" applyAlignment="1">
      <alignment horizontal="center" vertical="center"/>
    </xf>
    <xf numFmtId="177" fontId="5" fillId="0" borderId="509" xfId="0" applyNumberFormat="1" applyFont="1" applyFill="1" applyBorder="1" applyAlignment="1">
      <alignment horizontal="center" vertical="center"/>
    </xf>
    <xf numFmtId="177" fontId="5" fillId="6" borderId="205" xfId="0" applyNumberFormat="1" applyFont="1" applyFill="1" applyBorder="1" applyAlignment="1">
      <alignment horizontal="center" vertical="center"/>
    </xf>
    <xf numFmtId="177" fontId="5" fillId="6" borderId="480" xfId="0" applyNumberFormat="1" applyFont="1" applyFill="1" applyBorder="1" applyAlignment="1">
      <alignment horizontal="center" vertical="center"/>
    </xf>
    <xf numFmtId="177" fontId="5" fillId="6" borderId="494" xfId="0" applyNumberFormat="1" applyFont="1" applyFill="1" applyBorder="1" applyAlignment="1">
      <alignment horizontal="center" vertical="center"/>
    </xf>
    <xf numFmtId="181" fontId="5" fillId="6" borderId="187" xfId="0" applyNumberFormat="1" applyFont="1" applyFill="1" applyBorder="1" applyAlignment="1">
      <alignment horizontal="center" vertical="center"/>
    </xf>
    <xf numFmtId="181" fontId="5" fillId="6" borderId="490" xfId="0" applyNumberFormat="1" applyFont="1" applyFill="1" applyBorder="1" applyAlignment="1">
      <alignment horizontal="center" vertical="center"/>
    </xf>
    <xf numFmtId="181" fontId="5" fillId="6" borderId="275" xfId="0" applyNumberFormat="1" applyFont="1" applyFill="1" applyBorder="1" applyAlignment="1">
      <alignment horizontal="center" vertical="center"/>
    </xf>
    <xf numFmtId="177" fontId="5" fillId="0" borderId="42" xfId="0" applyNumberFormat="1" applyFont="1" applyFill="1" applyBorder="1" applyAlignment="1">
      <alignment horizontal="left" vertical="center" indent="1"/>
    </xf>
    <xf numFmtId="180" fontId="8" fillId="0" borderId="0" xfId="2" applyNumberFormat="1" applyFont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9" fontId="36" fillId="0" borderId="0" xfId="3" applyNumberFormat="1" applyFont="1" applyBorder="1" applyAlignment="1">
      <alignment horizontal="center" vertical="center"/>
    </xf>
    <xf numFmtId="182" fontId="15" fillId="0" borderId="0" xfId="0" applyNumberFormat="1" applyFont="1">
      <alignment vertical="center"/>
    </xf>
    <xf numFmtId="183" fontId="9" fillId="0" borderId="0" xfId="3" applyNumberFormat="1" applyFont="1">
      <alignment vertical="center"/>
    </xf>
    <xf numFmtId="183" fontId="22" fillId="0" borderId="0" xfId="3" applyNumberFormat="1" applyFont="1" applyFill="1" applyAlignment="1">
      <alignment horizontal="center" vertical="center"/>
    </xf>
    <xf numFmtId="179" fontId="64" fillId="0" borderId="0" xfId="2" applyNumberFormat="1" applyFont="1" applyFill="1" applyAlignment="1">
      <alignment horizontal="center" vertical="center"/>
    </xf>
    <xf numFmtId="179" fontId="65" fillId="0" borderId="0" xfId="0" applyNumberFormat="1" applyFont="1" applyAlignment="1">
      <alignment horizontal="center" vertical="center"/>
    </xf>
    <xf numFmtId="179" fontId="65" fillId="0" borderId="0" xfId="0" applyNumberFormat="1" applyFont="1" applyBorder="1" applyAlignment="1">
      <alignment horizontal="center" vertical="center"/>
    </xf>
    <xf numFmtId="183" fontId="66" fillId="0" borderId="0" xfId="3" applyNumberFormat="1" applyFont="1" applyAlignment="1">
      <alignment horizontal="center" vertical="center"/>
    </xf>
    <xf numFmtId="41" fontId="8" fillId="3" borderId="69" xfId="2" applyFont="1" applyFill="1" applyBorder="1" applyAlignment="1">
      <alignment horizontal="center" vertical="center"/>
    </xf>
    <xf numFmtId="183" fontId="0" fillId="0" borderId="0" xfId="3" applyNumberFormat="1" applyFont="1" applyBorder="1" applyAlignment="1">
      <alignment horizontal="center" vertical="center"/>
    </xf>
    <xf numFmtId="199" fontId="8" fillId="0" borderId="113" xfId="3" applyNumberFormat="1" applyFont="1" applyFill="1" applyBorder="1">
      <alignment vertical="center"/>
    </xf>
    <xf numFmtId="199" fontId="8" fillId="0" borderId="113" xfId="0" applyNumberFormat="1" applyFont="1" applyFill="1" applyBorder="1">
      <alignment vertical="center"/>
    </xf>
    <xf numFmtId="199" fontId="8" fillId="0" borderId="515" xfId="0" applyNumberFormat="1" applyFont="1" applyFill="1" applyBorder="1">
      <alignment vertical="center"/>
    </xf>
    <xf numFmtId="189" fontId="8" fillId="4" borderId="145" xfId="0" applyNumberFormat="1" applyFont="1" applyFill="1" applyBorder="1" applyAlignment="1">
      <alignment vertical="center"/>
    </xf>
    <xf numFmtId="182" fontId="39" fillId="10" borderId="510" xfId="0" applyNumberFormat="1" applyFont="1" applyFill="1" applyBorder="1" applyAlignment="1">
      <alignment horizontal="center" vertical="center"/>
    </xf>
    <xf numFmtId="182" fontId="37" fillId="11" borderId="510" xfId="2" applyNumberFormat="1" applyFont="1" applyFill="1" applyBorder="1" applyAlignment="1">
      <alignment horizontal="center" vertical="center"/>
    </xf>
    <xf numFmtId="182" fontId="37" fillId="0" borderId="510" xfId="2" applyNumberFormat="1" applyFont="1" applyFill="1" applyBorder="1" applyAlignment="1">
      <alignment horizontal="center" vertical="center"/>
    </xf>
    <xf numFmtId="182" fontId="8" fillId="3" borderId="76" xfId="2" applyNumberFormat="1" applyFont="1" applyFill="1" applyBorder="1" applyAlignment="1">
      <alignment horizontal="right" vertical="center"/>
    </xf>
    <xf numFmtId="182" fontId="8" fillId="3" borderId="80" xfId="2" applyNumberFormat="1" applyFont="1" applyFill="1" applyBorder="1" applyAlignment="1">
      <alignment horizontal="right" vertical="center"/>
    </xf>
    <xf numFmtId="182" fontId="8" fillId="3" borderId="84" xfId="2" applyNumberFormat="1" applyFont="1" applyFill="1" applyBorder="1" applyAlignment="1">
      <alignment horizontal="right" vertical="center"/>
    </xf>
    <xf numFmtId="41" fontId="27" fillId="0" borderId="0" xfId="2" applyFont="1" applyFill="1">
      <alignment vertical="center"/>
    </xf>
    <xf numFmtId="0" fontId="27" fillId="0" borderId="0" xfId="0" applyFont="1" applyFill="1" applyAlignment="1">
      <alignment horizontal="center" vertical="center" shrinkToFit="1"/>
    </xf>
    <xf numFmtId="0" fontId="46" fillId="0" borderId="0" xfId="0" applyFont="1" applyFill="1">
      <alignment vertical="center"/>
    </xf>
    <xf numFmtId="0" fontId="57" fillId="0" borderId="0" xfId="0" applyFont="1" applyFill="1">
      <alignment vertical="center"/>
    </xf>
    <xf numFmtId="0" fontId="60" fillId="0" borderId="0" xfId="0" applyFont="1" applyFill="1">
      <alignment vertical="center"/>
    </xf>
    <xf numFmtId="0" fontId="53" fillId="0" borderId="35" xfId="0" applyFont="1" applyBorder="1" applyAlignment="1">
      <alignment horizontal="center" vertical="center"/>
    </xf>
    <xf numFmtId="177" fontId="3" fillId="17" borderId="518" xfId="0" applyNumberFormat="1" applyFont="1" applyFill="1" applyBorder="1" applyAlignment="1">
      <alignment horizontal="center" vertical="center"/>
    </xf>
    <xf numFmtId="0" fontId="11" fillId="3" borderId="513" xfId="0" applyFont="1" applyFill="1" applyBorder="1">
      <alignment vertical="center"/>
    </xf>
    <xf numFmtId="177" fontId="11" fillId="3" borderId="519" xfId="0" applyNumberFormat="1" applyFont="1" applyFill="1" applyBorder="1" applyAlignment="1">
      <alignment horizontal="center" vertical="center"/>
    </xf>
    <xf numFmtId="177" fontId="11" fillId="6" borderId="520" xfId="0" applyNumberFormat="1" applyFont="1" applyFill="1" applyBorder="1" applyAlignment="1">
      <alignment horizontal="center" vertical="center"/>
    </xf>
    <xf numFmtId="177" fontId="11" fillId="0" borderId="520" xfId="0" applyNumberFormat="1" applyFont="1" applyFill="1" applyBorder="1" applyAlignment="1">
      <alignment horizontal="center" vertical="center"/>
    </xf>
    <xf numFmtId="177" fontId="11" fillId="6" borderId="523" xfId="0" applyNumberFormat="1" applyFont="1" applyFill="1" applyBorder="1" applyAlignment="1">
      <alignment horizontal="center" vertical="center"/>
    </xf>
    <xf numFmtId="177" fontId="11" fillId="4" borderId="524" xfId="0" applyNumberFormat="1" applyFont="1" applyFill="1" applyBorder="1" applyAlignment="1">
      <alignment horizontal="center" vertical="center"/>
    </xf>
    <xf numFmtId="177" fontId="11" fillId="6" borderId="525" xfId="0" applyNumberFormat="1" applyFont="1" applyFill="1" applyBorder="1" applyAlignment="1">
      <alignment horizontal="center" vertical="center"/>
    </xf>
    <xf numFmtId="177" fontId="5" fillId="6" borderId="523" xfId="0" applyNumberFormat="1" applyFont="1" applyFill="1" applyBorder="1" applyAlignment="1">
      <alignment horizontal="center" vertical="center"/>
    </xf>
    <xf numFmtId="177" fontId="5" fillId="6" borderId="525" xfId="0" applyNumberFormat="1" applyFont="1" applyFill="1" applyBorder="1" applyAlignment="1">
      <alignment horizontal="center" vertical="center"/>
    </xf>
    <xf numFmtId="187" fontId="5" fillId="6" borderId="523" xfId="0" applyNumberFormat="1" applyFont="1" applyFill="1" applyBorder="1" applyAlignment="1">
      <alignment horizontal="center" vertical="center"/>
    </xf>
    <xf numFmtId="187" fontId="5" fillId="6" borderId="525" xfId="0" applyNumberFormat="1" applyFont="1" applyFill="1" applyBorder="1" applyAlignment="1">
      <alignment horizontal="center" vertical="center"/>
    </xf>
    <xf numFmtId="177" fontId="11" fillId="3" borderId="527" xfId="0" applyNumberFormat="1" applyFont="1" applyFill="1" applyBorder="1" applyAlignment="1">
      <alignment horizontal="center" vertical="center"/>
    </xf>
    <xf numFmtId="177" fontId="11" fillId="4" borderId="521" xfId="0" applyNumberFormat="1" applyFont="1" applyFill="1" applyBorder="1" applyAlignment="1">
      <alignment horizontal="center" vertical="center"/>
    </xf>
    <xf numFmtId="177" fontId="5" fillId="6" borderId="528" xfId="0" applyNumberFormat="1" applyFont="1" applyFill="1" applyBorder="1" applyAlignment="1">
      <alignment horizontal="center" vertical="center"/>
    </xf>
    <xf numFmtId="177" fontId="5" fillId="6" borderId="529" xfId="0" applyNumberFormat="1" applyFont="1" applyFill="1" applyBorder="1" applyAlignment="1">
      <alignment horizontal="center" vertical="center"/>
    </xf>
    <xf numFmtId="177" fontId="5" fillId="6" borderId="530" xfId="0" applyNumberFormat="1" applyFont="1" applyFill="1" applyBorder="1" applyAlignment="1">
      <alignment horizontal="center" vertical="center"/>
    </xf>
    <xf numFmtId="177" fontId="5" fillId="4" borderId="531" xfId="0" applyNumberFormat="1" applyFont="1" applyFill="1" applyBorder="1" applyAlignment="1">
      <alignment horizontal="center" vertical="center"/>
    </xf>
    <xf numFmtId="177" fontId="5" fillId="6" borderId="533" xfId="0" applyNumberFormat="1" applyFont="1" applyFill="1" applyBorder="1" applyAlignment="1">
      <alignment horizontal="center" vertical="center"/>
    </xf>
    <xf numFmtId="0" fontId="5" fillId="0" borderId="67" xfId="0" applyFont="1" applyBorder="1" applyAlignment="1">
      <alignment horizontal="left" vertical="center" indent="2"/>
    </xf>
    <xf numFmtId="177" fontId="5" fillId="6" borderId="520" xfId="0" applyNumberFormat="1" applyFont="1" applyFill="1" applyBorder="1" applyAlignment="1">
      <alignment horizontal="center" vertical="center"/>
    </xf>
    <xf numFmtId="180" fontId="5" fillId="6" borderId="520" xfId="0" applyNumberFormat="1" applyFont="1" applyFill="1" applyBorder="1" applyAlignment="1">
      <alignment horizontal="center" vertical="center"/>
    </xf>
    <xf numFmtId="177" fontId="5" fillId="4" borderId="521" xfId="0" applyNumberFormat="1" applyFont="1" applyFill="1" applyBorder="1" applyAlignment="1">
      <alignment horizontal="center" vertical="center"/>
    </xf>
    <xf numFmtId="177" fontId="41" fillId="4" borderId="429" xfId="0" applyNumberFormat="1" applyFont="1" applyFill="1" applyBorder="1" applyAlignment="1">
      <alignment horizontal="center" vertical="center"/>
    </xf>
    <xf numFmtId="177" fontId="41" fillId="6" borderId="520" xfId="0" applyNumberFormat="1" applyFont="1" applyFill="1" applyBorder="1" applyAlignment="1">
      <alignment horizontal="center" vertical="center"/>
    </xf>
    <xf numFmtId="180" fontId="5" fillId="6" borderId="523" xfId="0" applyNumberFormat="1" applyFont="1" applyFill="1" applyBorder="1" applyAlignment="1">
      <alignment horizontal="center" vertical="center"/>
    </xf>
    <xf numFmtId="182" fontId="5" fillId="6" borderId="523" xfId="0" applyNumberFormat="1" applyFont="1" applyFill="1" applyBorder="1" applyAlignment="1">
      <alignment horizontal="center" vertical="center"/>
    </xf>
    <xf numFmtId="177" fontId="41" fillId="4" borderId="524" xfId="0" applyNumberFormat="1" applyFont="1" applyFill="1" applyBorder="1" applyAlignment="1">
      <alignment horizontal="center" vertical="center"/>
    </xf>
    <xf numFmtId="177" fontId="41" fillId="6" borderId="523" xfId="0" applyNumberFormat="1" applyFont="1" applyFill="1" applyBorder="1" applyAlignment="1">
      <alignment horizontal="center" vertical="center"/>
    </xf>
    <xf numFmtId="182" fontId="41" fillId="6" borderId="523" xfId="0" applyNumberFormat="1" applyFont="1" applyFill="1" applyBorder="1" applyAlignment="1">
      <alignment horizontal="center" vertical="center"/>
    </xf>
    <xf numFmtId="180" fontId="5" fillId="6" borderId="528" xfId="0" applyNumberFormat="1" applyFont="1" applyFill="1" applyBorder="1" applyAlignment="1">
      <alignment horizontal="center" vertical="center"/>
    </xf>
    <xf numFmtId="177" fontId="41" fillId="4" borderId="534" xfId="0" applyNumberFormat="1" applyFont="1" applyFill="1" applyBorder="1" applyAlignment="1">
      <alignment horizontal="center" vertical="center"/>
    </xf>
    <xf numFmtId="177" fontId="41" fillId="6" borderId="528" xfId="0" applyNumberFormat="1" applyFont="1" applyFill="1" applyBorder="1" applyAlignment="1">
      <alignment horizontal="center" vertical="center"/>
    </xf>
    <xf numFmtId="177" fontId="41" fillId="4" borderId="521" xfId="0" applyNumberFormat="1" applyFont="1" applyFill="1" applyBorder="1" applyAlignment="1">
      <alignment horizontal="center" vertical="center"/>
    </xf>
    <xf numFmtId="182" fontId="5" fillId="6" borderId="528" xfId="0" applyNumberFormat="1" applyFont="1" applyFill="1" applyBorder="1" applyAlignment="1">
      <alignment horizontal="center" vertical="center"/>
    </xf>
    <xf numFmtId="177" fontId="41" fillId="4" borderId="531" xfId="0" applyNumberFormat="1" applyFont="1" applyFill="1" applyBorder="1" applyAlignment="1">
      <alignment horizontal="center" vertical="center"/>
    </xf>
    <xf numFmtId="182" fontId="41" fillId="6" borderId="528" xfId="0" applyNumberFormat="1" applyFont="1" applyFill="1" applyBorder="1" applyAlignment="1">
      <alignment horizontal="center" vertical="center"/>
    </xf>
    <xf numFmtId="177" fontId="42" fillId="3" borderId="403" xfId="0" applyNumberFormat="1" applyFont="1" applyFill="1" applyBorder="1" applyAlignment="1">
      <alignment horizontal="center" vertical="center"/>
    </xf>
    <xf numFmtId="177" fontId="42" fillId="3" borderId="231" xfId="0" applyNumberFormat="1" applyFont="1" applyFill="1" applyBorder="1" applyAlignment="1">
      <alignment horizontal="center" vertical="center"/>
    </xf>
    <xf numFmtId="181" fontId="5" fillId="6" borderId="231" xfId="0" applyNumberFormat="1" applyFont="1" applyFill="1" applyBorder="1" applyAlignment="1">
      <alignment horizontal="center" vertical="center"/>
    </xf>
    <xf numFmtId="177" fontId="41" fillId="6" borderId="231" xfId="0" applyNumberFormat="1" applyFont="1" applyFill="1" applyBorder="1" applyAlignment="1">
      <alignment horizontal="center" vertical="center"/>
    </xf>
    <xf numFmtId="177" fontId="5" fillId="0" borderId="535" xfId="0" applyNumberFormat="1" applyFont="1" applyFill="1" applyBorder="1" applyAlignment="1">
      <alignment horizontal="left" vertical="center" indent="1"/>
    </xf>
    <xf numFmtId="0" fontId="46" fillId="0" borderId="536" xfId="0" applyFont="1" applyBorder="1">
      <alignment vertical="center"/>
    </xf>
    <xf numFmtId="183" fontId="53" fillId="0" borderId="0" xfId="3" applyNumberFormat="1" applyFont="1" applyBorder="1" applyAlignment="1">
      <alignment horizontal="center" vertical="center"/>
    </xf>
    <xf numFmtId="183" fontId="53" fillId="0" borderId="358" xfId="3" applyNumberFormat="1" applyFont="1" applyBorder="1" applyAlignment="1">
      <alignment horizontal="center" vertical="center"/>
    </xf>
    <xf numFmtId="177" fontId="8" fillId="0" borderId="0" xfId="0" applyNumberFormat="1" applyFont="1" applyBorder="1" applyAlignment="1">
      <alignment horizontal="center" vertical="center"/>
    </xf>
    <xf numFmtId="183" fontId="8" fillId="0" borderId="0" xfId="3" applyNumberFormat="1" applyFont="1" applyBorder="1" applyAlignment="1">
      <alignment horizontal="center" vertical="center"/>
    </xf>
    <xf numFmtId="177" fontId="8" fillId="0" borderId="358" xfId="0" applyNumberFormat="1" applyFont="1" applyBorder="1" applyAlignment="1">
      <alignment horizontal="center" vertical="center"/>
    </xf>
    <xf numFmtId="0" fontId="10" fillId="0" borderId="0" xfId="0" applyFont="1" applyBorder="1">
      <alignment vertical="center"/>
    </xf>
    <xf numFmtId="177" fontId="8" fillId="0" borderId="0" xfId="0" applyNumberFormat="1" applyFont="1" applyBorder="1" applyAlignment="1">
      <alignment horizontal="right"/>
    </xf>
    <xf numFmtId="0" fontId="55" fillId="0" borderId="0" xfId="0" applyFont="1" applyBorder="1">
      <alignment vertical="center"/>
    </xf>
    <xf numFmtId="0" fontId="56" fillId="0" borderId="0" xfId="0" applyFont="1" applyBorder="1">
      <alignment vertical="center"/>
    </xf>
    <xf numFmtId="177" fontId="55" fillId="0" borderId="0" xfId="0" applyNumberFormat="1" applyFont="1" applyBorder="1" applyAlignment="1">
      <alignment horizontal="center" vertical="center"/>
    </xf>
    <xf numFmtId="177" fontId="56" fillId="0" borderId="0" xfId="0" applyNumberFormat="1" applyFont="1" applyBorder="1" applyAlignment="1">
      <alignment horizontal="center" vertical="center"/>
    </xf>
    <xf numFmtId="0" fontId="59" fillId="0" borderId="0" xfId="0" applyFont="1" applyBorder="1">
      <alignment vertical="center"/>
    </xf>
    <xf numFmtId="0" fontId="60" fillId="0" borderId="0" xfId="0" applyFont="1" applyBorder="1">
      <alignment vertical="center"/>
    </xf>
    <xf numFmtId="177" fontId="59" fillId="0" borderId="0" xfId="0" applyNumberFormat="1" applyFont="1" applyBorder="1" applyAlignment="1">
      <alignment horizontal="center" vertical="center"/>
    </xf>
    <xf numFmtId="43" fontId="8" fillId="0" borderId="0" xfId="2" applyNumberFormat="1" applyFont="1" applyBorder="1" applyAlignment="1">
      <alignment horizontal="center" vertical="center"/>
    </xf>
    <xf numFmtId="9" fontId="8" fillId="0" borderId="0" xfId="3" applyFont="1" applyBorder="1" applyAlignment="1">
      <alignment horizontal="center" vertical="center"/>
    </xf>
    <xf numFmtId="41" fontId="8" fillId="0" borderId="0" xfId="2" applyFont="1" applyBorder="1" applyAlignment="1">
      <alignment horizontal="center" vertical="center"/>
    </xf>
    <xf numFmtId="195" fontId="8" fillId="0" borderId="0" xfId="0" applyNumberFormat="1" applyFont="1" applyBorder="1" applyAlignment="1">
      <alignment horizontal="center" vertical="center"/>
    </xf>
    <xf numFmtId="9" fontId="8" fillId="0" borderId="358" xfId="3" applyFont="1" applyBorder="1" applyAlignment="1">
      <alignment horizontal="center" vertical="center"/>
    </xf>
    <xf numFmtId="177" fontId="3" fillId="17" borderId="537" xfId="0" applyNumberFormat="1" applyFont="1" applyFill="1" applyBorder="1" applyAlignment="1">
      <alignment horizontal="center" vertical="center"/>
    </xf>
    <xf numFmtId="177" fontId="11" fillId="6" borderId="538" xfId="0" applyNumberFormat="1" applyFont="1" applyFill="1" applyBorder="1" applyAlignment="1">
      <alignment horizontal="center" vertical="center"/>
    </xf>
    <xf numFmtId="177" fontId="11" fillId="4" borderId="429" xfId="0" applyNumberFormat="1" applyFont="1" applyFill="1" applyBorder="1" applyAlignment="1">
      <alignment horizontal="center" vertical="center"/>
    </xf>
    <xf numFmtId="177" fontId="11" fillId="6" borderId="539" xfId="0" applyNumberFormat="1" applyFont="1" applyFill="1" applyBorder="1" applyAlignment="1">
      <alignment horizontal="center" vertical="center"/>
    </xf>
    <xf numFmtId="177" fontId="11" fillId="6" borderId="540" xfId="0" applyNumberFormat="1" applyFont="1" applyFill="1" applyBorder="1" applyAlignment="1">
      <alignment horizontal="center" vertical="center"/>
    </xf>
    <xf numFmtId="177" fontId="5" fillId="6" borderId="539" xfId="0" applyNumberFormat="1" applyFont="1" applyFill="1" applyBorder="1" applyAlignment="1">
      <alignment horizontal="center" vertical="center"/>
    </xf>
    <xf numFmtId="177" fontId="5" fillId="6" borderId="540" xfId="0" applyNumberFormat="1" applyFont="1" applyFill="1" applyBorder="1" applyAlignment="1">
      <alignment horizontal="center" vertical="center"/>
    </xf>
    <xf numFmtId="0" fontId="13" fillId="0" borderId="541" xfId="0" applyFont="1" applyFill="1" applyBorder="1" applyAlignment="1">
      <alignment horizontal="left" vertical="center" indent="2"/>
    </xf>
    <xf numFmtId="187" fontId="5" fillId="6" borderId="539" xfId="0" applyNumberFormat="1" applyFont="1" applyFill="1" applyBorder="1" applyAlignment="1">
      <alignment horizontal="center" vertical="center"/>
    </xf>
    <xf numFmtId="187" fontId="5" fillId="6" borderId="540" xfId="0" applyNumberFormat="1" applyFont="1" applyFill="1" applyBorder="1" applyAlignment="1">
      <alignment horizontal="center" vertical="center"/>
    </xf>
    <xf numFmtId="0" fontId="7" fillId="0" borderId="541" xfId="0" applyFont="1" applyBorder="1" applyAlignment="1">
      <alignment horizontal="left" vertical="center" indent="2"/>
    </xf>
    <xf numFmtId="177" fontId="5" fillId="6" borderId="545" xfId="0" applyNumberFormat="1" applyFont="1" applyFill="1" applyBorder="1" applyAlignment="1">
      <alignment horizontal="center" vertical="center"/>
    </xf>
    <xf numFmtId="177" fontId="5" fillId="6" borderId="546" xfId="0" applyNumberFormat="1" applyFont="1" applyFill="1" applyBorder="1" applyAlignment="1">
      <alignment horizontal="center" vertical="center"/>
    </xf>
    <xf numFmtId="177" fontId="5" fillId="6" borderId="547" xfId="0" applyNumberFormat="1" applyFont="1" applyFill="1" applyBorder="1" applyAlignment="1">
      <alignment horizontal="center" vertical="center"/>
    </xf>
    <xf numFmtId="177" fontId="5" fillId="6" borderId="548" xfId="0" applyNumberFormat="1" applyFont="1" applyFill="1" applyBorder="1" applyAlignment="1">
      <alignment horizontal="center" vertical="center"/>
    </xf>
    <xf numFmtId="177" fontId="5" fillId="6" borderId="549" xfId="0" applyNumberFormat="1" applyFont="1" applyFill="1" applyBorder="1" applyAlignment="1">
      <alignment horizontal="center" vertical="center"/>
    </xf>
    <xf numFmtId="177" fontId="5" fillId="6" borderId="550" xfId="0" applyNumberFormat="1" applyFont="1" applyFill="1" applyBorder="1" applyAlignment="1">
      <alignment horizontal="center" vertical="center"/>
    </xf>
    <xf numFmtId="177" fontId="5" fillId="4" borderId="534" xfId="0" applyNumberFormat="1" applyFont="1" applyFill="1" applyBorder="1" applyAlignment="1">
      <alignment horizontal="center" vertical="center"/>
    </xf>
    <xf numFmtId="177" fontId="5" fillId="6" borderId="555" xfId="0" applyNumberFormat="1" applyFont="1" applyFill="1" applyBorder="1" applyAlignment="1">
      <alignment horizontal="center" vertical="center"/>
    </xf>
    <xf numFmtId="177" fontId="5" fillId="6" borderId="556" xfId="0" applyNumberFormat="1" applyFont="1" applyFill="1" applyBorder="1" applyAlignment="1">
      <alignment horizontal="center" vertical="center"/>
    </xf>
    <xf numFmtId="177" fontId="5" fillId="6" borderId="557" xfId="0" applyNumberFormat="1" applyFont="1" applyFill="1" applyBorder="1" applyAlignment="1">
      <alignment horizontal="center" vertical="center"/>
    </xf>
    <xf numFmtId="177" fontId="5" fillId="6" borderId="558" xfId="0" applyNumberFormat="1" applyFont="1" applyFill="1" applyBorder="1" applyAlignment="1">
      <alignment horizontal="center" vertical="center"/>
    </xf>
    <xf numFmtId="0" fontId="5" fillId="0" borderId="541" xfId="0" applyFont="1" applyBorder="1" applyAlignment="1">
      <alignment horizontal="left" vertical="center" indent="2"/>
    </xf>
    <xf numFmtId="180" fontId="48" fillId="0" borderId="0" xfId="2" applyNumberFormat="1" applyFont="1" applyAlignment="1">
      <alignment horizontal="center" vertical="center"/>
    </xf>
    <xf numFmtId="0" fontId="5" fillId="0" borderId="137" xfId="0" applyFont="1" applyFill="1" applyBorder="1" applyAlignment="1">
      <alignment horizontal="center" vertical="center"/>
    </xf>
    <xf numFmtId="9" fontId="0" fillId="0" borderId="0" xfId="3" applyFont="1" applyBorder="1">
      <alignment vertical="center"/>
    </xf>
    <xf numFmtId="182" fontId="0" fillId="0" borderId="0" xfId="0" applyNumberFormat="1" applyBorder="1">
      <alignment vertical="center"/>
    </xf>
    <xf numFmtId="41" fontId="0" fillId="0" borderId="0" xfId="2" applyFont="1" applyBorder="1" applyAlignment="1">
      <alignment horizontal="center" vertical="center"/>
    </xf>
    <xf numFmtId="182" fontId="22" fillId="0" borderId="0" xfId="2" applyNumberFormat="1" applyFont="1" applyFill="1" applyBorder="1" applyAlignment="1">
      <alignment horizontal="center" vertical="center"/>
    </xf>
    <xf numFmtId="9" fontId="0" fillId="0" borderId="0" xfId="2" applyNumberFormat="1" applyFont="1" applyBorder="1">
      <alignment vertical="center"/>
    </xf>
    <xf numFmtId="3" fontId="0" fillId="0" borderId="0" xfId="0" applyNumberFormat="1" applyBorder="1">
      <alignment vertical="center"/>
    </xf>
    <xf numFmtId="191" fontId="15" fillId="0" borderId="0" xfId="2" applyNumberFormat="1" applyFont="1" applyFill="1" applyBorder="1" applyAlignment="1">
      <alignment horizontal="center" vertical="center"/>
    </xf>
    <xf numFmtId="179" fontId="9" fillId="0" borderId="358" xfId="0" applyNumberFormat="1" applyFont="1" applyFill="1" applyBorder="1" applyAlignment="1">
      <alignment horizontal="center" vertical="center"/>
    </xf>
    <xf numFmtId="9" fontId="0" fillId="0" borderId="0" xfId="3" applyFont="1" applyFill="1" applyBorder="1" applyAlignment="1">
      <alignment horizontal="center" vertical="center"/>
    </xf>
    <xf numFmtId="180" fontId="8" fillId="0" borderId="561" xfId="0" applyNumberFormat="1" applyFont="1" applyFill="1" applyBorder="1">
      <alignment vertical="center"/>
    </xf>
    <xf numFmtId="189" fontId="8" fillId="0" borderId="565" xfId="0" applyNumberFormat="1" applyFont="1" applyFill="1" applyBorder="1">
      <alignment vertical="center"/>
    </xf>
    <xf numFmtId="180" fontId="8" fillId="3" borderId="564" xfId="0" applyNumberFormat="1" applyFont="1" applyFill="1" applyBorder="1">
      <alignment vertical="center"/>
    </xf>
    <xf numFmtId="9" fontId="8" fillId="0" borderId="567" xfId="3" applyFont="1" applyBorder="1">
      <alignment vertical="center"/>
    </xf>
    <xf numFmtId="188" fontId="8" fillId="0" borderId="570" xfId="0" applyNumberFormat="1" applyFont="1" applyFill="1" applyBorder="1" applyAlignment="1">
      <alignment horizontal="center" vertical="center"/>
    </xf>
    <xf numFmtId="177" fontId="3" fillId="2" borderId="571" xfId="0" applyNumberFormat="1" applyFont="1" applyFill="1" applyBorder="1" applyAlignment="1">
      <alignment horizontal="center" vertical="center"/>
    </xf>
    <xf numFmtId="180" fontId="9" fillId="0" borderId="358" xfId="0" applyNumberFormat="1" applyFont="1" applyBorder="1">
      <alignment vertical="center"/>
    </xf>
    <xf numFmtId="182" fontId="9" fillId="0" borderId="0" xfId="0" applyNumberFormat="1" applyFont="1" applyFill="1" applyBorder="1">
      <alignment vertical="center"/>
    </xf>
    <xf numFmtId="180" fontId="9" fillId="0" borderId="358" xfId="0" applyNumberFormat="1" applyFont="1" applyFill="1" applyBorder="1">
      <alignment vertical="center"/>
    </xf>
    <xf numFmtId="182" fontId="9" fillId="0" borderId="0" xfId="0" applyNumberFormat="1" applyFont="1" applyFill="1" applyBorder="1" applyAlignment="1">
      <alignment horizontal="center" vertical="center"/>
    </xf>
    <xf numFmtId="180" fontId="52" fillId="0" borderId="0" xfId="0" applyNumberFormat="1" applyFont="1" applyBorder="1" applyAlignment="1">
      <alignment horizontal="center" vertical="center" shrinkToFit="1"/>
    </xf>
    <xf numFmtId="41" fontId="51" fillId="6" borderId="0" xfId="2" applyFont="1" applyFill="1" applyBorder="1">
      <alignment vertical="center"/>
    </xf>
    <xf numFmtId="41" fontId="51" fillId="6" borderId="358" xfId="2" applyFont="1" applyFill="1" applyBorder="1">
      <alignment vertical="center"/>
    </xf>
    <xf numFmtId="177" fontId="3" fillId="2" borderId="573" xfId="0" applyNumberFormat="1" applyFont="1" applyFill="1" applyBorder="1" applyAlignment="1">
      <alignment horizontal="center" vertical="center"/>
    </xf>
    <xf numFmtId="182" fontId="9" fillId="3" borderId="353" xfId="2" applyNumberFormat="1" applyFont="1" applyFill="1" applyBorder="1">
      <alignment vertical="center"/>
    </xf>
    <xf numFmtId="0" fontId="8" fillId="0" borderId="128" xfId="0" applyFont="1" applyFill="1" applyBorder="1" applyAlignment="1">
      <alignment horizontal="center" vertical="center"/>
    </xf>
    <xf numFmtId="182" fontId="8" fillId="3" borderId="421" xfId="1" applyNumberFormat="1" applyFont="1" applyFill="1" applyBorder="1" applyAlignment="1">
      <alignment horizontal="center" vertical="center"/>
    </xf>
    <xf numFmtId="177" fontId="5" fillId="13" borderId="237" xfId="0" applyNumberFormat="1" applyFont="1" applyFill="1" applyBorder="1" applyAlignment="1">
      <alignment horizontal="center" vertical="center"/>
    </xf>
    <xf numFmtId="177" fontId="5" fillId="13" borderId="364" xfId="0" applyNumberFormat="1" applyFont="1" applyFill="1" applyBorder="1" applyAlignment="1">
      <alignment horizontal="center" vertical="center"/>
    </xf>
    <xf numFmtId="177" fontId="5" fillId="13" borderId="362" xfId="0" applyNumberFormat="1" applyFont="1" applyFill="1" applyBorder="1" applyAlignment="1">
      <alignment horizontal="center" vertical="center"/>
    </xf>
    <xf numFmtId="177" fontId="5" fillId="13" borderId="363" xfId="0" applyNumberFormat="1" applyFont="1" applyFill="1" applyBorder="1" applyAlignment="1">
      <alignment horizontal="center" vertical="center"/>
    </xf>
    <xf numFmtId="177" fontId="5" fillId="13" borderId="360" xfId="2" applyNumberFormat="1" applyFont="1" applyFill="1" applyBorder="1" applyAlignment="1">
      <alignment horizontal="center" vertical="center"/>
    </xf>
    <xf numFmtId="177" fontId="5" fillId="13" borderId="361" xfId="2" applyNumberFormat="1" applyFont="1" applyFill="1" applyBorder="1" applyAlignment="1">
      <alignment horizontal="center" vertical="center"/>
    </xf>
    <xf numFmtId="177" fontId="5" fillId="13" borderId="366" xfId="0" applyNumberFormat="1" applyFont="1" applyFill="1" applyBorder="1" applyAlignment="1">
      <alignment horizontal="center" vertical="center"/>
    </xf>
    <xf numFmtId="177" fontId="5" fillId="13" borderId="367" xfId="0" applyNumberFormat="1" applyFont="1" applyFill="1" applyBorder="1" applyAlignment="1">
      <alignment horizontal="center" vertical="center"/>
    </xf>
    <xf numFmtId="177" fontId="5" fillId="13" borderId="239" xfId="0" applyNumberFormat="1" applyFont="1" applyFill="1" applyBorder="1" applyAlignment="1">
      <alignment horizontal="center" vertical="center"/>
    </xf>
    <xf numFmtId="180" fontId="5" fillId="13" borderId="365" xfId="0" applyNumberFormat="1" applyFont="1" applyFill="1" applyBorder="1" applyAlignment="1">
      <alignment horizontal="center" vertical="center"/>
    </xf>
    <xf numFmtId="180" fontId="5" fillId="13" borderId="364" xfId="0" applyNumberFormat="1" applyFont="1" applyFill="1" applyBorder="1" applyAlignment="1">
      <alignment horizontal="center" vertical="center"/>
    </xf>
    <xf numFmtId="180" fontId="5" fillId="13" borderId="360" xfId="0" applyNumberFormat="1" applyFont="1" applyFill="1" applyBorder="1" applyAlignment="1">
      <alignment horizontal="center" vertical="center"/>
    </xf>
    <xf numFmtId="180" fontId="5" fillId="13" borderId="361" xfId="0" applyNumberFormat="1" applyFont="1" applyFill="1" applyBorder="1" applyAlignment="1">
      <alignment horizontal="center" vertical="center"/>
    </xf>
    <xf numFmtId="180" fontId="5" fillId="13" borderId="203" xfId="0" applyNumberFormat="1" applyFont="1" applyFill="1" applyBorder="1" applyAlignment="1">
      <alignment horizontal="center" vertical="center"/>
    </xf>
    <xf numFmtId="180" fontId="5" fillId="13" borderId="238" xfId="0" applyNumberFormat="1" applyFont="1" applyFill="1" applyBorder="1" applyAlignment="1">
      <alignment horizontal="center" vertical="center"/>
    </xf>
    <xf numFmtId="180" fontId="5" fillId="13" borderId="221" xfId="0" applyNumberFormat="1" applyFont="1" applyFill="1" applyBorder="1" applyAlignment="1">
      <alignment horizontal="center" vertical="center"/>
    </xf>
    <xf numFmtId="180" fontId="5" fillId="13" borderId="239" xfId="0" applyNumberFormat="1" applyFont="1" applyFill="1" applyBorder="1" applyAlignment="1">
      <alignment horizontal="center" vertical="center"/>
    </xf>
    <xf numFmtId="177" fontId="5" fillId="13" borderId="369" xfId="0" applyNumberFormat="1" applyFont="1" applyFill="1" applyBorder="1" applyAlignment="1">
      <alignment horizontal="center" vertical="center"/>
    </xf>
    <xf numFmtId="177" fontId="5" fillId="13" borderId="370" xfId="0" applyNumberFormat="1" applyFont="1" applyFill="1" applyBorder="1" applyAlignment="1">
      <alignment horizontal="center" vertical="center"/>
    </xf>
    <xf numFmtId="182" fontId="20" fillId="13" borderId="0" xfId="2" applyNumberFormat="1" applyFont="1" applyFill="1" applyBorder="1" applyAlignment="1">
      <alignment horizontal="center" vertical="center" shrinkToFit="1"/>
    </xf>
    <xf numFmtId="182" fontId="20" fillId="13" borderId="0" xfId="0" applyNumberFormat="1" applyFont="1" applyFill="1" applyBorder="1" applyAlignment="1">
      <alignment horizontal="center" vertical="center"/>
    </xf>
    <xf numFmtId="182" fontId="15" fillId="13" borderId="397" xfId="2" applyNumberFormat="1" applyFont="1" applyFill="1" applyBorder="1" applyAlignment="1">
      <alignment horizontal="center" vertical="center"/>
    </xf>
    <xf numFmtId="182" fontId="15" fillId="13" borderId="398" xfId="2" applyNumberFormat="1" applyFont="1" applyFill="1" applyBorder="1" applyAlignment="1">
      <alignment horizontal="center" vertical="center"/>
    </xf>
    <xf numFmtId="182" fontId="20" fillId="13" borderId="324" xfId="2" applyNumberFormat="1" applyFont="1" applyFill="1" applyBorder="1" applyAlignment="1">
      <alignment horizontal="center" vertical="center"/>
    </xf>
    <xf numFmtId="182" fontId="37" fillId="11" borderId="510" xfId="0" applyNumberFormat="1" applyFont="1" applyFill="1" applyBorder="1" applyAlignment="1">
      <alignment horizontal="center" vertical="center"/>
    </xf>
    <xf numFmtId="182" fontId="37" fillId="4" borderId="510" xfId="0" applyNumberFormat="1" applyFont="1" applyFill="1" applyBorder="1" applyAlignment="1">
      <alignment horizontal="center" vertical="center"/>
    </xf>
    <xf numFmtId="182" fontId="37" fillId="0" borderId="510" xfId="0" applyNumberFormat="1" applyFont="1" applyFill="1" applyBorder="1" applyAlignment="1">
      <alignment horizontal="center" vertical="center"/>
    </xf>
    <xf numFmtId="182" fontId="40" fillId="0" borderId="510" xfId="0" applyNumberFormat="1" applyFont="1" applyFill="1" applyBorder="1" applyAlignment="1">
      <alignment horizontal="center" vertical="center"/>
    </xf>
    <xf numFmtId="182" fontId="37" fillId="4" borderId="510" xfId="2" applyNumberFormat="1" applyFont="1" applyFill="1" applyBorder="1" applyAlignment="1">
      <alignment horizontal="center" vertical="center"/>
    </xf>
    <xf numFmtId="177" fontId="11" fillId="3" borderId="455" xfId="0" applyNumberFormat="1" applyFont="1" applyFill="1" applyBorder="1" applyAlignment="1">
      <alignment horizontal="center" vertical="center"/>
    </xf>
    <xf numFmtId="177" fontId="5" fillId="6" borderId="552" xfId="0" applyNumberFormat="1" applyFont="1" applyFill="1" applyBorder="1" applyAlignment="1">
      <alignment horizontal="center" vertical="center"/>
    </xf>
    <xf numFmtId="177" fontId="5" fillId="6" borderId="417" xfId="0" applyNumberFormat="1" applyFont="1" applyFill="1" applyBorder="1" applyAlignment="1">
      <alignment horizontal="center" vertical="center"/>
    </xf>
    <xf numFmtId="177" fontId="5" fillId="6" borderId="553" xfId="0" applyNumberFormat="1" applyFont="1" applyFill="1" applyBorder="1" applyAlignment="1">
      <alignment horizontal="center" vertical="center"/>
    </xf>
    <xf numFmtId="177" fontId="5" fillId="6" borderId="415" xfId="0" applyNumberFormat="1" applyFont="1" applyFill="1" applyBorder="1" applyAlignment="1">
      <alignment horizontal="center" vertical="center"/>
    </xf>
    <xf numFmtId="177" fontId="5" fillId="6" borderId="543" xfId="0" applyNumberFormat="1" applyFont="1" applyFill="1" applyBorder="1" applyAlignment="1">
      <alignment horizontal="center" vertical="center"/>
    </xf>
    <xf numFmtId="177" fontId="41" fillId="6" borderId="555" xfId="0" applyNumberFormat="1" applyFont="1" applyFill="1" applyBorder="1" applyAlignment="1">
      <alignment horizontal="center" vertical="center"/>
    </xf>
    <xf numFmtId="182" fontId="41" fillId="6" borderId="555" xfId="0" applyNumberFormat="1" applyFont="1" applyFill="1" applyBorder="1" applyAlignment="1">
      <alignment horizontal="center" vertical="center"/>
    </xf>
    <xf numFmtId="177" fontId="41" fillId="6" borderId="529" xfId="0" applyNumberFormat="1" applyFont="1" applyFill="1" applyBorder="1" applyAlignment="1">
      <alignment horizontal="center" vertical="center"/>
    </xf>
    <xf numFmtId="182" fontId="41" fillId="6" borderId="529" xfId="0" applyNumberFormat="1" applyFont="1" applyFill="1" applyBorder="1" applyAlignment="1">
      <alignment horizontal="center" vertical="center"/>
    </xf>
    <xf numFmtId="177" fontId="11" fillId="6" borderId="449" xfId="0" applyNumberFormat="1" applyFont="1" applyFill="1" applyBorder="1" applyAlignment="1">
      <alignment horizontal="center" vertical="center"/>
    </xf>
    <xf numFmtId="177" fontId="11" fillId="6" borderId="450" xfId="0" applyNumberFormat="1" applyFont="1" applyFill="1" applyBorder="1" applyAlignment="1">
      <alignment horizontal="center" vertical="center"/>
    </xf>
    <xf numFmtId="177" fontId="5" fillId="6" borderId="450" xfId="0" applyNumberFormat="1" applyFont="1" applyFill="1" applyBorder="1" applyAlignment="1">
      <alignment horizontal="center" vertical="center"/>
    </xf>
    <xf numFmtId="187" fontId="5" fillId="6" borderId="450" xfId="0" applyNumberFormat="1" applyFont="1" applyFill="1" applyBorder="1" applyAlignment="1">
      <alignment horizontal="center" vertical="center"/>
    </xf>
    <xf numFmtId="177" fontId="11" fillId="6" borderId="451" xfId="0" applyNumberFormat="1" applyFont="1" applyFill="1" applyBorder="1" applyAlignment="1">
      <alignment horizontal="center" vertical="center"/>
    </xf>
    <xf numFmtId="177" fontId="11" fillId="6" borderId="293" xfId="0" applyNumberFormat="1" applyFont="1" applyFill="1" applyBorder="1" applyAlignment="1">
      <alignment horizontal="center" vertical="center"/>
    </xf>
    <xf numFmtId="177" fontId="11" fillId="6" borderId="294" xfId="0" applyNumberFormat="1" applyFont="1" applyFill="1" applyBorder="1" applyAlignment="1">
      <alignment horizontal="center" vertical="center"/>
    </xf>
    <xf numFmtId="177" fontId="5" fillId="6" borderId="296" xfId="0" applyNumberFormat="1" applyFont="1" applyFill="1" applyBorder="1" applyAlignment="1">
      <alignment horizontal="center" vertical="center"/>
    </xf>
    <xf numFmtId="177" fontId="5" fillId="6" borderId="295" xfId="0" applyNumberFormat="1" applyFont="1" applyFill="1" applyBorder="1" applyAlignment="1">
      <alignment horizontal="center" vertical="center"/>
    </xf>
    <xf numFmtId="177" fontId="5" fillId="6" borderId="306" xfId="0" applyNumberFormat="1" applyFont="1" applyFill="1" applyBorder="1" applyAlignment="1">
      <alignment horizontal="center" vertical="center"/>
    </xf>
    <xf numFmtId="177" fontId="5" fillId="6" borderId="297" xfId="0" applyNumberFormat="1" applyFont="1" applyFill="1" applyBorder="1" applyAlignment="1">
      <alignment horizontal="center" vertical="center"/>
    </xf>
    <xf numFmtId="177" fontId="5" fillId="6" borderId="298" xfId="0" applyNumberFormat="1" applyFont="1" applyFill="1" applyBorder="1" applyAlignment="1">
      <alignment horizontal="center" vertical="center"/>
    </xf>
    <xf numFmtId="177" fontId="5" fillId="6" borderId="302" xfId="0" applyNumberFormat="1" applyFont="1" applyFill="1" applyBorder="1" applyAlignment="1">
      <alignment horizontal="center" vertical="center"/>
    </xf>
    <xf numFmtId="177" fontId="3" fillId="17" borderId="575" xfId="0" applyNumberFormat="1" applyFont="1" applyFill="1" applyBorder="1" applyAlignment="1">
      <alignment horizontal="center" vertical="center"/>
    </xf>
    <xf numFmtId="177" fontId="11" fillId="3" borderId="42" xfId="0" applyNumberFormat="1" applyFont="1" applyFill="1" applyBorder="1" applyAlignment="1">
      <alignment horizontal="center" vertical="center"/>
    </xf>
    <xf numFmtId="177" fontId="11" fillId="4" borderId="35" xfId="0" applyNumberFormat="1" applyFont="1" applyFill="1" applyBorder="1" applyAlignment="1">
      <alignment horizontal="center" vertical="center"/>
    </xf>
    <xf numFmtId="177" fontId="11" fillId="4" borderId="0" xfId="0" applyNumberFormat="1" applyFont="1" applyFill="1" applyBorder="1" applyAlignment="1">
      <alignment horizontal="center" vertical="center"/>
    </xf>
    <xf numFmtId="177" fontId="5" fillId="4" borderId="43" xfId="0" applyNumberFormat="1" applyFont="1" applyFill="1" applyBorder="1" applyAlignment="1">
      <alignment horizontal="center" vertical="center"/>
    </xf>
    <xf numFmtId="177" fontId="5" fillId="4" borderId="35" xfId="0" applyNumberFormat="1" applyFont="1" applyFill="1" applyBorder="1" applyAlignment="1">
      <alignment horizontal="center" vertical="center"/>
    </xf>
    <xf numFmtId="177" fontId="3" fillId="17" borderId="576" xfId="0" applyNumberFormat="1" applyFont="1" applyFill="1" applyBorder="1" applyAlignment="1">
      <alignment horizontal="center" vertical="center"/>
    </xf>
    <xf numFmtId="180" fontId="5" fillId="6" borderId="424" xfId="0" applyNumberFormat="1" applyFont="1" applyFill="1" applyBorder="1" applyAlignment="1">
      <alignment horizontal="center" vertical="center"/>
    </xf>
    <xf numFmtId="189" fontId="37" fillId="0" borderId="510" xfId="0" applyNumberFormat="1" applyFont="1" applyFill="1" applyBorder="1" applyAlignment="1">
      <alignment horizontal="center" vertical="center"/>
    </xf>
    <xf numFmtId="179" fontId="5" fillId="6" borderId="360" xfId="0" applyNumberFormat="1" applyFont="1" applyFill="1" applyBorder="1" applyAlignment="1">
      <alignment horizontal="center" vertical="center"/>
    </xf>
    <xf numFmtId="177" fontId="5" fillId="6" borderId="360" xfId="0" applyNumberFormat="1" applyFont="1" applyFill="1" applyBorder="1" applyAlignment="1">
      <alignment horizontal="left" vertical="center"/>
    </xf>
    <xf numFmtId="179" fontId="5" fillId="6" borderId="203" xfId="0" applyNumberFormat="1" applyFont="1" applyFill="1" applyBorder="1" applyAlignment="1">
      <alignment horizontal="center" vertical="center"/>
    </xf>
    <xf numFmtId="177" fontId="5" fillId="6" borderId="218" xfId="0" applyNumberFormat="1" applyFont="1" applyFill="1" applyBorder="1" applyAlignment="1">
      <alignment horizontal="center" vertical="center"/>
    </xf>
    <xf numFmtId="177" fontId="5" fillId="6" borderId="368" xfId="0" applyNumberFormat="1" applyFont="1" applyFill="1" applyBorder="1" applyAlignment="1">
      <alignment horizontal="center" vertical="center"/>
    </xf>
    <xf numFmtId="1" fontId="9" fillId="6" borderId="221" xfId="0" applyNumberFormat="1" applyFont="1" applyFill="1" applyBorder="1" applyAlignment="1">
      <alignment horizontal="center"/>
    </xf>
    <xf numFmtId="181" fontId="5" fillId="6" borderId="221" xfId="0" applyNumberFormat="1" applyFont="1" applyFill="1" applyBorder="1" applyAlignment="1">
      <alignment horizontal="center" vertical="center"/>
    </xf>
    <xf numFmtId="181" fontId="5" fillId="6" borderId="239" xfId="0" applyNumberFormat="1" applyFont="1" applyFill="1" applyBorder="1" applyAlignment="1">
      <alignment horizontal="center" vertical="center"/>
    </xf>
    <xf numFmtId="177" fontId="5" fillId="3" borderId="375" xfId="0" applyNumberFormat="1" applyFont="1" applyFill="1" applyBorder="1" applyAlignment="1">
      <alignment horizontal="center" vertical="center"/>
    </xf>
    <xf numFmtId="177" fontId="5" fillId="6" borderId="371" xfId="0" applyNumberFormat="1" applyFont="1" applyFill="1" applyBorder="1" applyAlignment="1">
      <alignment horizontal="center" vertical="center"/>
    </xf>
    <xf numFmtId="177" fontId="5" fillId="6" borderId="372" xfId="0" applyNumberFormat="1" applyFont="1" applyFill="1" applyBorder="1" applyAlignment="1">
      <alignment horizontal="center" vertical="center"/>
    </xf>
    <xf numFmtId="177" fontId="5" fillId="6" borderId="57" xfId="0" applyNumberFormat="1" applyFont="1" applyFill="1" applyBorder="1" applyAlignment="1">
      <alignment horizontal="center" vertical="center"/>
    </xf>
    <xf numFmtId="177" fontId="5" fillId="6" borderId="374" xfId="0" applyNumberFormat="1" applyFont="1" applyFill="1" applyBorder="1" applyAlignment="1">
      <alignment horizontal="center" vertical="center"/>
    </xf>
    <xf numFmtId="177" fontId="5" fillId="6" borderId="376" xfId="0" applyNumberFormat="1" applyFont="1" applyFill="1" applyBorder="1" applyAlignment="1">
      <alignment horizontal="center" vertical="center"/>
    </xf>
    <xf numFmtId="180" fontId="5" fillId="6" borderId="76" xfId="0" applyNumberFormat="1" applyFont="1" applyFill="1" applyBorder="1" applyAlignment="1">
      <alignment horizontal="center" vertical="center"/>
    </xf>
    <xf numFmtId="180" fontId="5" fillId="6" borderId="372" xfId="0" applyNumberFormat="1" applyFont="1" applyFill="1" applyBorder="1" applyAlignment="1">
      <alignment horizontal="center" vertical="center"/>
    </xf>
    <xf numFmtId="177" fontId="5" fillId="6" borderId="375" xfId="0" applyNumberFormat="1" applyFont="1" applyFill="1" applyBorder="1" applyAlignment="1">
      <alignment horizontal="center" vertical="center"/>
    </xf>
    <xf numFmtId="9" fontId="5" fillId="6" borderId="57" xfId="3" applyFont="1" applyFill="1" applyBorder="1" applyAlignment="1">
      <alignment horizontal="center" vertical="center"/>
    </xf>
    <xf numFmtId="9" fontId="5" fillId="6" borderId="371" xfId="3" applyFont="1" applyFill="1" applyBorder="1" applyAlignment="1">
      <alignment horizontal="center" vertical="center"/>
    </xf>
    <xf numFmtId="9" fontId="5" fillId="6" borderId="76" xfId="3" applyNumberFormat="1" applyFont="1" applyFill="1" applyBorder="1" applyAlignment="1">
      <alignment horizontal="center" vertical="center"/>
    </xf>
    <xf numFmtId="9" fontId="5" fillId="6" borderId="372" xfId="3" applyNumberFormat="1" applyFont="1" applyFill="1" applyBorder="1" applyAlignment="1">
      <alignment horizontal="center" vertical="center"/>
    </xf>
    <xf numFmtId="9" fontId="5" fillId="6" borderId="76" xfId="3" applyFont="1" applyFill="1" applyBorder="1" applyAlignment="1">
      <alignment horizontal="center" vertical="center"/>
    </xf>
    <xf numFmtId="9" fontId="5" fillId="6" borderId="372" xfId="3" applyFont="1" applyFill="1" applyBorder="1" applyAlignment="1">
      <alignment horizontal="center" vertical="center"/>
    </xf>
    <xf numFmtId="9" fontId="5" fillId="6" borderId="374" xfId="3" applyFont="1" applyFill="1" applyBorder="1" applyAlignment="1">
      <alignment horizontal="center" vertical="center"/>
    </xf>
    <xf numFmtId="9" fontId="5" fillId="3" borderId="373" xfId="0" applyNumberFormat="1" applyFont="1" applyFill="1" applyBorder="1" applyAlignment="1">
      <alignment horizontal="center" vertical="center"/>
    </xf>
    <xf numFmtId="177" fontId="5" fillId="3" borderId="386" xfId="0" applyNumberFormat="1" applyFont="1" applyFill="1" applyBorder="1" applyAlignment="1">
      <alignment horizontal="center" vertical="center"/>
    </xf>
    <xf numFmtId="198" fontId="8" fillId="6" borderId="57" xfId="0" applyNumberFormat="1" applyFont="1" applyFill="1" applyBorder="1" applyAlignment="1">
      <alignment horizontal="center" vertical="center"/>
    </xf>
    <xf numFmtId="181" fontId="8" fillId="6" borderId="58" xfId="0" applyNumberFormat="1" applyFont="1" applyFill="1" applyBorder="1" applyAlignment="1">
      <alignment horizontal="center" vertical="center"/>
    </xf>
    <xf numFmtId="198" fontId="8" fillId="6" borderId="58" xfId="0" applyNumberFormat="1" applyFont="1" applyFill="1" applyBorder="1" applyAlignment="1">
      <alignment horizontal="center" vertical="center"/>
    </xf>
    <xf numFmtId="181" fontId="8" fillId="6" borderId="355" xfId="0" applyNumberFormat="1" applyFont="1" applyFill="1" applyBorder="1" applyAlignment="1">
      <alignment horizontal="center" vertical="center"/>
    </xf>
    <xf numFmtId="181" fontId="8" fillId="6" borderId="76" xfId="0" applyNumberFormat="1" applyFont="1" applyFill="1" applyBorder="1" applyAlignment="1">
      <alignment horizontal="center" vertical="center"/>
    </xf>
    <xf numFmtId="181" fontId="8" fillId="6" borderId="80" xfId="0" applyNumberFormat="1" applyFont="1" applyFill="1" applyBorder="1" applyAlignment="1">
      <alignment horizontal="center" vertical="center"/>
    </xf>
    <xf numFmtId="181" fontId="8" fillId="6" borderId="354" xfId="0" applyNumberFormat="1" applyFont="1" applyFill="1" applyBorder="1" applyAlignment="1">
      <alignment horizontal="center" vertical="center"/>
    </xf>
    <xf numFmtId="181" fontId="8" fillId="6" borderId="79" xfId="0" applyNumberFormat="1" applyFont="1" applyFill="1" applyBorder="1" applyAlignment="1">
      <alignment horizontal="center" vertical="center"/>
    </xf>
    <xf numFmtId="181" fontId="8" fillId="6" borderId="353" xfId="0" applyNumberFormat="1" applyFont="1" applyFill="1" applyBorder="1" applyAlignment="1">
      <alignment horizontal="center" vertical="center"/>
    </xf>
    <xf numFmtId="177" fontId="8" fillId="3" borderId="280" xfId="0" applyNumberFormat="1" applyFont="1" applyFill="1" applyBorder="1" applyAlignment="1">
      <alignment horizontal="center" vertical="center"/>
    </xf>
    <xf numFmtId="181" fontId="8" fillId="3" borderId="280" xfId="0" applyNumberFormat="1" applyFont="1" applyFill="1" applyBorder="1" applyAlignment="1">
      <alignment horizontal="center" vertical="center"/>
    </xf>
    <xf numFmtId="181" fontId="8" fillId="3" borderId="279" xfId="0" applyNumberFormat="1" applyFont="1" applyFill="1" applyBorder="1" applyAlignment="1">
      <alignment horizontal="center" vertical="center"/>
    </xf>
    <xf numFmtId="177" fontId="8" fillId="3" borderId="61" xfId="0" applyNumberFormat="1" applyFont="1" applyFill="1" applyBorder="1" applyAlignment="1">
      <alignment horizontal="center" vertical="center"/>
    </xf>
    <xf numFmtId="177" fontId="8" fillId="6" borderId="76" xfId="0" applyNumberFormat="1" applyFont="1" applyFill="1" applyBorder="1" applyAlignment="1">
      <alignment horizontal="center" vertical="center"/>
    </xf>
    <xf numFmtId="177" fontId="8" fillId="6" borderId="80" xfId="0" applyNumberFormat="1" applyFont="1" applyFill="1" applyBorder="1" applyAlignment="1">
      <alignment horizontal="center" vertical="center"/>
    </xf>
    <xf numFmtId="177" fontId="8" fillId="6" borderId="60" xfId="0" applyNumberFormat="1" applyFont="1" applyFill="1" applyBorder="1" applyAlignment="1">
      <alignment horizontal="center" vertical="center"/>
    </xf>
    <xf numFmtId="181" fontId="8" fillId="6" borderId="61" xfId="0" applyNumberFormat="1" applyFont="1" applyFill="1" applyBorder="1" applyAlignment="1">
      <alignment horizontal="center" vertical="center"/>
    </xf>
    <xf numFmtId="181" fontId="8" fillId="6" borderId="356" xfId="0" applyNumberFormat="1" applyFont="1" applyFill="1" applyBorder="1" applyAlignment="1">
      <alignment horizontal="center" vertical="center"/>
    </xf>
    <xf numFmtId="177" fontId="8" fillId="6" borderId="172" xfId="0" applyNumberFormat="1" applyFont="1" applyFill="1" applyBorder="1" applyAlignment="1">
      <alignment horizontal="center" vertical="center"/>
    </xf>
    <xf numFmtId="181" fontId="8" fillId="6" borderId="378" xfId="0" applyNumberFormat="1" applyFont="1" applyFill="1" applyBorder="1" applyAlignment="1">
      <alignment horizontal="center" vertical="center"/>
    </xf>
    <xf numFmtId="181" fontId="8" fillId="6" borderId="377" xfId="0" applyNumberFormat="1" applyFont="1" applyFill="1" applyBorder="1" applyAlignment="1">
      <alignment horizontal="center" vertical="center"/>
    </xf>
    <xf numFmtId="37" fontId="9" fillId="3" borderId="32" xfId="0" applyNumberFormat="1" applyFont="1" applyFill="1" applyBorder="1" applyAlignment="1">
      <alignment horizontal="center" vertical="center"/>
    </xf>
    <xf numFmtId="177" fontId="5" fillId="3" borderId="102" xfId="0" applyNumberFormat="1" applyFont="1" applyFill="1" applyBorder="1" applyAlignment="1">
      <alignment horizontal="center" vertical="center"/>
    </xf>
    <xf numFmtId="177" fontId="5" fillId="3" borderId="360" xfId="0" applyNumberFormat="1" applyFont="1" applyFill="1" applyBorder="1" applyAlignment="1">
      <alignment horizontal="center" vertical="center"/>
    </xf>
    <xf numFmtId="177" fontId="5" fillId="3" borderId="229" xfId="0" applyNumberFormat="1" applyFont="1" applyFill="1" applyBorder="1" applyAlignment="1">
      <alignment horizontal="center" vertical="center"/>
    </xf>
    <xf numFmtId="177" fontId="5" fillId="3" borderId="365" xfId="0" applyNumberFormat="1" applyFont="1" applyFill="1" applyBorder="1" applyAlignment="1">
      <alignment horizontal="center" vertical="center"/>
    </xf>
    <xf numFmtId="177" fontId="5" fillId="3" borderId="203" xfId="0" applyNumberFormat="1" applyFont="1" applyFill="1" applyBorder="1" applyAlignment="1">
      <alignment horizontal="center" vertical="center"/>
    </xf>
    <xf numFmtId="177" fontId="5" fillId="3" borderId="102" xfId="2" applyNumberFormat="1" applyFont="1" applyFill="1" applyBorder="1" applyAlignment="1">
      <alignment horizontal="center" vertical="center"/>
    </xf>
    <xf numFmtId="177" fontId="5" fillId="3" borderId="360" xfId="2" applyNumberFormat="1" applyFont="1" applyFill="1" applyBorder="1" applyAlignment="1">
      <alignment horizontal="center" vertical="center"/>
    </xf>
    <xf numFmtId="177" fontId="5" fillId="3" borderId="230" xfId="0" applyNumberFormat="1" applyFont="1" applyFill="1" applyBorder="1" applyAlignment="1">
      <alignment horizontal="center" vertical="center"/>
    </xf>
    <xf numFmtId="177" fontId="5" fillId="3" borderId="366" xfId="0" applyNumberFormat="1" applyFont="1" applyFill="1" applyBorder="1" applyAlignment="1">
      <alignment horizontal="center" vertical="center"/>
    </xf>
    <xf numFmtId="177" fontId="5" fillId="3" borderId="103" xfId="0" applyNumberFormat="1" applyFont="1" applyFill="1" applyBorder="1" applyAlignment="1">
      <alignment horizontal="center" vertical="center"/>
    </xf>
    <xf numFmtId="177" fontId="5" fillId="3" borderId="221" xfId="0" applyNumberFormat="1" applyFont="1" applyFill="1" applyBorder="1" applyAlignment="1">
      <alignment horizontal="center" vertical="center"/>
    </xf>
    <xf numFmtId="180" fontId="5" fillId="3" borderId="229" xfId="0" applyNumberFormat="1" applyFont="1" applyFill="1" applyBorder="1" applyAlignment="1">
      <alignment horizontal="center" vertical="center"/>
    </xf>
    <xf numFmtId="180" fontId="5" fillId="3" borderId="365" xfId="0" applyNumberFormat="1" applyFont="1" applyFill="1" applyBorder="1" applyAlignment="1">
      <alignment horizontal="center" vertical="center"/>
    </xf>
    <xf numFmtId="180" fontId="5" fillId="3" borderId="102" xfId="0" applyNumberFormat="1" applyFont="1" applyFill="1" applyBorder="1" applyAlignment="1">
      <alignment horizontal="center" vertical="center"/>
    </xf>
    <xf numFmtId="180" fontId="5" fillId="3" borderId="360" xfId="0" applyNumberFormat="1" applyFont="1" applyFill="1" applyBorder="1" applyAlignment="1">
      <alignment horizontal="center" vertical="center"/>
    </xf>
    <xf numFmtId="180" fontId="5" fillId="3" borderId="220" xfId="0" applyNumberFormat="1" applyFont="1" applyFill="1" applyBorder="1" applyAlignment="1">
      <alignment horizontal="center" vertical="center"/>
    </xf>
    <xf numFmtId="180" fontId="5" fillId="3" borderId="203" xfId="0" applyNumberFormat="1" applyFont="1" applyFill="1" applyBorder="1" applyAlignment="1">
      <alignment horizontal="center" vertical="center"/>
    </xf>
    <xf numFmtId="180" fontId="5" fillId="3" borderId="103" xfId="0" applyNumberFormat="1" applyFont="1" applyFill="1" applyBorder="1" applyAlignment="1">
      <alignment horizontal="center" vertical="center"/>
    </xf>
    <xf numFmtId="180" fontId="5" fillId="3" borderId="221" xfId="0" applyNumberFormat="1" applyFont="1" applyFill="1" applyBorder="1" applyAlignment="1">
      <alignment horizontal="center" vertical="center"/>
    </xf>
    <xf numFmtId="177" fontId="5" fillId="3" borderId="101" xfId="0" applyNumberFormat="1" applyFont="1" applyFill="1" applyBorder="1" applyAlignment="1">
      <alignment horizontal="center" vertical="center"/>
    </xf>
    <xf numFmtId="177" fontId="5" fillId="3" borderId="369" xfId="0" applyNumberFormat="1" applyFont="1" applyFill="1" applyBorder="1" applyAlignment="1">
      <alignment horizontal="center" vertical="center"/>
    </xf>
    <xf numFmtId="177" fontId="5" fillId="6" borderId="194" xfId="0" applyNumberFormat="1" applyFont="1" applyFill="1" applyBorder="1" applyAlignment="1">
      <alignment horizontal="center" vertical="center"/>
    </xf>
    <xf numFmtId="183" fontId="5" fillId="6" borderId="18" xfId="0" applyNumberFormat="1" applyFont="1" applyFill="1" applyBorder="1" applyAlignment="1">
      <alignment horizontal="center" vertical="center"/>
    </xf>
    <xf numFmtId="188" fontId="9" fillId="3" borderId="202" xfId="0" applyNumberFormat="1" applyFont="1" applyFill="1" applyBorder="1" applyAlignment="1">
      <alignment horizontal="center" vertical="center"/>
    </xf>
    <xf numFmtId="179" fontId="9" fillId="3" borderId="351" xfId="0" applyNumberFormat="1" applyFont="1" applyFill="1" applyBorder="1" applyAlignment="1">
      <alignment horizontal="center" vertical="center"/>
    </xf>
    <xf numFmtId="179" fontId="9" fillId="3" borderId="172" xfId="0" applyNumberFormat="1" applyFont="1" applyFill="1" applyBorder="1" applyAlignment="1">
      <alignment horizontal="center" vertical="center"/>
    </xf>
    <xf numFmtId="179" fontId="9" fillId="6" borderId="103" xfId="0" applyNumberFormat="1" applyFont="1" applyFill="1" applyBorder="1" applyAlignment="1">
      <alignment horizontal="center" vertical="center"/>
    </xf>
    <xf numFmtId="188" fontId="8" fillId="3" borderId="215" xfId="0" applyNumberFormat="1" applyFont="1" applyFill="1" applyBorder="1" applyAlignment="1">
      <alignment horizontal="center" vertical="center"/>
    </xf>
    <xf numFmtId="179" fontId="8" fillId="3" borderId="218" xfId="0" applyNumberFormat="1" applyFont="1" applyFill="1" applyBorder="1" applyAlignment="1">
      <alignment horizontal="center" vertical="center"/>
    </xf>
    <xf numFmtId="188" fontId="8" fillId="3" borderId="218" xfId="0" applyNumberFormat="1" applyFont="1" applyFill="1" applyBorder="1" applyAlignment="1">
      <alignment horizontal="center" vertical="center"/>
    </xf>
    <xf numFmtId="180" fontId="8" fillId="3" borderId="218" xfId="0" applyNumberFormat="1" applyFont="1" applyFill="1" applyBorder="1" applyAlignment="1">
      <alignment horizontal="center" vertical="center"/>
    </xf>
    <xf numFmtId="179" fontId="8" fillId="3" borderId="368" xfId="0" applyNumberFormat="1" applyFont="1" applyFill="1" applyBorder="1" applyAlignment="1">
      <alignment horizontal="center" vertical="center"/>
    </xf>
    <xf numFmtId="180" fontId="9" fillId="6" borderId="0" xfId="0" applyNumberFormat="1" applyFont="1" applyFill="1">
      <alignment vertical="center"/>
    </xf>
    <xf numFmtId="182" fontId="9" fillId="6" borderId="153" xfId="0" applyNumberFormat="1" applyFont="1" applyFill="1" applyBorder="1" applyAlignment="1">
      <alignment horizontal="center" vertical="center"/>
    </xf>
    <xf numFmtId="189" fontId="9" fillId="6" borderId="159" xfId="2" applyNumberFormat="1" applyFont="1" applyFill="1" applyBorder="1" applyAlignment="1">
      <alignment horizontal="center" vertical="center"/>
    </xf>
    <xf numFmtId="177" fontId="9" fillId="6" borderId="160" xfId="0" applyNumberFormat="1" applyFont="1" applyFill="1" applyBorder="1" applyAlignment="1">
      <alignment horizontal="center" vertical="center"/>
    </xf>
    <xf numFmtId="180" fontId="8" fillId="6" borderId="55" xfId="0" applyNumberFormat="1" applyFont="1" applyFill="1" applyBorder="1">
      <alignment vertical="center"/>
    </xf>
    <xf numFmtId="180" fontId="8" fillId="6" borderId="458" xfId="0" applyNumberFormat="1" applyFont="1" applyFill="1" applyBorder="1">
      <alignment vertical="center"/>
    </xf>
    <xf numFmtId="41" fontId="8" fillId="6" borderId="113" xfId="0" applyNumberFormat="1" applyFont="1" applyFill="1" applyBorder="1">
      <alignment vertical="center"/>
    </xf>
    <xf numFmtId="188" fontId="8" fillId="6" borderId="288" xfId="0" applyNumberFormat="1" applyFont="1" applyFill="1" applyBorder="1" applyAlignment="1">
      <alignment horizontal="center" vertical="center"/>
    </xf>
    <xf numFmtId="41" fontId="9" fillId="6" borderId="340" xfId="2" applyFont="1" applyFill="1" applyBorder="1">
      <alignment vertical="center"/>
    </xf>
    <xf numFmtId="41" fontId="9" fillId="6" borderId="341" xfId="2" applyFont="1" applyFill="1" applyBorder="1">
      <alignment vertical="center"/>
    </xf>
    <xf numFmtId="41" fontId="9" fillId="6" borderId="342" xfId="2" applyFont="1" applyFill="1" applyBorder="1">
      <alignment vertical="center"/>
    </xf>
    <xf numFmtId="41" fontId="9" fillId="6" borderId="343" xfId="2" applyFont="1" applyFill="1" applyBorder="1">
      <alignment vertical="center"/>
    </xf>
    <xf numFmtId="182" fontId="9" fillId="6" borderId="346" xfId="2" applyNumberFormat="1" applyFont="1" applyFill="1" applyBorder="1">
      <alignment vertical="center"/>
    </xf>
    <xf numFmtId="182" fontId="9" fillId="6" borderId="127" xfId="2" applyNumberFormat="1" applyFont="1" applyFill="1" applyBorder="1">
      <alignment vertical="center"/>
    </xf>
    <xf numFmtId="182" fontId="9" fillId="6" borderId="340" xfId="2" applyNumberFormat="1" applyFont="1" applyFill="1" applyBorder="1">
      <alignment vertical="center"/>
    </xf>
    <xf numFmtId="41" fontId="9" fillId="0" borderId="344" xfId="2" applyFont="1" applyFill="1" applyBorder="1">
      <alignment vertical="center"/>
    </xf>
    <xf numFmtId="41" fontId="9" fillId="0" borderId="345" xfId="2" applyFont="1" applyFill="1" applyBorder="1">
      <alignment vertical="center"/>
    </xf>
    <xf numFmtId="197" fontId="8" fillId="6" borderId="58" xfId="2" applyNumberFormat="1" applyFont="1" applyFill="1" applyBorder="1" applyAlignment="1">
      <alignment horizontal="center" vertical="center"/>
    </xf>
    <xf numFmtId="197" fontId="8" fillId="6" borderId="80" xfId="2" applyNumberFormat="1" applyFont="1" applyFill="1" applyBorder="1" applyAlignment="1">
      <alignment horizontal="center" vertical="center"/>
    </xf>
    <xf numFmtId="197" fontId="8" fillId="6" borderId="84" xfId="2" applyNumberFormat="1" applyFont="1" applyFill="1" applyBorder="1" applyAlignment="1">
      <alignment horizontal="center" vertical="center"/>
    </xf>
    <xf numFmtId="41" fontId="8" fillId="6" borderId="330" xfId="2" applyFont="1" applyFill="1" applyBorder="1" applyAlignment="1">
      <alignment horizontal="center" vertical="center"/>
    </xf>
    <xf numFmtId="182" fontId="8" fillId="3" borderId="359" xfId="2" applyNumberFormat="1" applyFont="1" applyFill="1" applyBorder="1" applyAlignment="1">
      <alignment horizontal="right" vertical="center"/>
    </xf>
    <xf numFmtId="182" fontId="8" fillId="3" borderId="28" xfId="2" applyNumberFormat="1" applyFont="1" applyFill="1" applyBorder="1" applyAlignment="1">
      <alignment horizontal="right" vertical="center"/>
    </xf>
    <xf numFmtId="182" fontId="39" fillId="10" borderId="459" xfId="0" applyNumberFormat="1" applyFont="1" applyFill="1" applyBorder="1" applyAlignment="1">
      <alignment horizontal="center" vertical="center"/>
    </xf>
    <xf numFmtId="182" fontId="37" fillId="11" borderId="459" xfId="0" applyNumberFormat="1" applyFont="1" applyFill="1" applyBorder="1" applyAlignment="1">
      <alignment horizontal="center" vertical="center"/>
    </xf>
    <xf numFmtId="0" fontId="32" fillId="0" borderId="510" xfId="0" applyFont="1" applyFill="1" applyBorder="1" applyAlignment="1">
      <alignment horizontal="center" vertical="center"/>
    </xf>
    <xf numFmtId="182" fontId="37" fillId="0" borderId="459" xfId="0" applyNumberFormat="1" applyFont="1" applyFill="1" applyBorder="1" applyAlignment="1">
      <alignment horizontal="center" vertical="center"/>
    </xf>
    <xf numFmtId="0" fontId="32" fillId="0" borderId="512" xfId="0" applyFont="1" applyFill="1" applyBorder="1" applyAlignment="1">
      <alignment horizontal="center" vertical="center"/>
    </xf>
    <xf numFmtId="0" fontId="33" fillId="0" borderId="514" xfId="0" applyFont="1" applyBorder="1" applyAlignment="1">
      <alignment vertical="center"/>
    </xf>
    <xf numFmtId="0" fontId="33" fillId="0" borderId="0" xfId="0" applyFont="1" applyBorder="1" applyAlignment="1">
      <alignment vertical="center"/>
    </xf>
    <xf numFmtId="9" fontId="37" fillId="0" borderId="0" xfId="3" applyFont="1" applyBorder="1" applyAlignment="1">
      <alignment vertical="center"/>
    </xf>
    <xf numFmtId="41" fontId="37" fillId="0" borderId="0" xfId="2" applyFont="1" applyBorder="1" applyAlignment="1">
      <alignment vertical="center"/>
    </xf>
    <xf numFmtId="182" fontId="37" fillId="0" borderId="0" xfId="0" applyNumberFormat="1" applyFont="1" applyBorder="1" applyAlignment="1">
      <alignment vertical="center"/>
    </xf>
    <xf numFmtId="182" fontId="37" fillId="0" borderId="358" xfId="0" applyNumberFormat="1" applyFont="1" applyBorder="1" applyAlignment="1">
      <alignment vertical="center"/>
    </xf>
    <xf numFmtId="0" fontId="31" fillId="0" borderId="514" xfId="0" applyFont="1" applyBorder="1" applyAlignment="1">
      <alignment vertical="center"/>
    </xf>
    <xf numFmtId="0" fontId="31" fillId="0" borderId="0" xfId="0" applyFont="1" applyBorder="1" applyAlignment="1">
      <alignment vertical="center"/>
    </xf>
    <xf numFmtId="41" fontId="33" fillId="0" borderId="0" xfId="2" applyFont="1" applyBorder="1" applyAlignment="1">
      <alignment vertical="center"/>
    </xf>
    <xf numFmtId="41" fontId="33" fillId="0" borderId="358" xfId="2" applyFont="1" applyBorder="1" applyAlignment="1">
      <alignment vertical="center"/>
    </xf>
    <xf numFmtId="0" fontId="32" fillId="11" borderId="579" xfId="0" applyFont="1" applyFill="1" applyBorder="1" applyAlignment="1">
      <alignment horizontal="center" vertical="center"/>
    </xf>
    <xf numFmtId="182" fontId="40" fillId="0" borderId="459" xfId="0" applyNumberFormat="1" applyFont="1" applyFill="1" applyBorder="1" applyAlignment="1">
      <alignment horizontal="center" vertical="center"/>
    </xf>
    <xf numFmtId="9" fontId="37" fillId="0" borderId="358" xfId="3" applyFont="1" applyBorder="1" applyAlignment="1">
      <alignment vertical="center"/>
    </xf>
    <xf numFmtId="0" fontId="32" fillId="0" borderId="510" xfId="0" applyFont="1" applyFill="1" applyBorder="1" applyAlignment="1">
      <alignment horizontal="center" vertical="center" shrinkToFit="1"/>
    </xf>
    <xf numFmtId="182" fontId="37" fillId="11" borderId="459" xfId="2" applyNumberFormat="1" applyFont="1" applyFill="1" applyBorder="1" applyAlignment="1">
      <alignment horizontal="center" vertical="center"/>
    </xf>
    <xf numFmtId="0" fontId="32" fillId="0" borderId="510" xfId="0" applyFont="1" applyBorder="1" applyAlignment="1">
      <alignment horizontal="center" vertical="center"/>
    </xf>
    <xf numFmtId="182" fontId="37" fillId="0" borderId="459" xfId="2" applyNumberFormat="1" applyFont="1" applyFill="1" applyBorder="1" applyAlignment="1">
      <alignment horizontal="center" vertical="center"/>
    </xf>
    <xf numFmtId="9" fontId="45" fillId="0" borderId="206" xfId="3" applyNumberFormat="1" applyFont="1" applyFill="1" applyBorder="1" applyAlignment="1">
      <alignment horizontal="center" vertical="center"/>
    </xf>
    <xf numFmtId="0" fontId="6" fillId="0" borderId="0" xfId="0" applyFont="1" applyFill="1">
      <alignment vertical="center"/>
    </xf>
    <xf numFmtId="9" fontId="9" fillId="0" borderId="0" xfId="3" applyFont="1">
      <alignment vertical="center"/>
    </xf>
    <xf numFmtId="183" fontId="53" fillId="0" borderId="0" xfId="3" applyNumberFormat="1" applyFont="1" applyFill="1" applyAlignment="1">
      <alignment horizontal="center" vertical="center"/>
    </xf>
    <xf numFmtId="183" fontId="63" fillId="0" borderId="0" xfId="3" applyNumberFormat="1" applyFont="1" applyFill="1" applyAlignment="1">
      <alignment horizontal="center" vertical="center"/>
    </xf>
    <xf numFmtId="41" fontId="53" fillId="0" borderId="0" xfId="2" applyFont="1" applyFill="1" applyAlignment="1">
      <alignment horizontal="center" vertical="center"/>
    </xf>
    <xf numFmtId="9" fontId="70" fillId="0" borderId="0" xfId="3" applyNumberFormat="1" applyFont="1" applyFill="1" applyAlignment="1">
      <alignment horizontal="center" vertical="center"/>
    </xf>
    <xf numFmtId="9" fontId="70" fillId="0" borderId="0" xfId="2" applyNumberFormat="1" applyFont="1" applyFill="1" applyAlignment="1">
      <alignment horizontal="center" vertical="center"/>
    </xf>
    <xf numFmtId="41" fontId="70" fillId="0" borderId="0" xfId="2" applyFont="1" applyFill="1" applyAlignment="1">
      <alignment horizontal="center" vertical="center"/>
    </xf>
    <xf numFmtId="9" fontId="71" fillId="0" borderId="0" xfId="3" applyFont="1" applyFill="1" applyAlignment="1">
      <alignment horizontal="center" vertical="center"/>
    </xf>
    <xf numFmtId="177" fontId="53" fillId="0" borderId="0" xfId="0" applyNumberFormat="1" applyFont="1" applyFill="1" applyAlignment="1">
      <alignment horizontal="center" vertical="center"/>
    </xf>
    <xf numFmtId="9" fontId="53" fillId="0" borderId="0" xfId="3" applyFont="1" applyFill="1" applyAlignment="1">
      <alignment horizontal="center" vertical="center"/>
    </xf>
    <xf numFmtId="180" fontId="53" fillId="0" borderId="0" xfId="2" applyNumberFormat="1" applyFont="1" applyFill="1" applyAlignment="1">
      <alignment horizontal="center" vertical="center"/>
    </xf>
    <xf numFmtId="183" fontId="71" fillId="0" borderId="0" xfId="3" applyNumberFormat="1" applyFont="1" applyFill="1" applyAlignment="1">
      <alignment horizontal="center" vertical="center"/>
    </xf>
    <xf numFmtId="183" fontId="3" fillId="0" borderId="0" xfId="3" applyNumberFormat="1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61" fillId="0" borderId="206" xfId="3" applyFont="1" applyFill="1" applyBorder="1" applyAlignment="1">
      <alignment horizontal="center" vertical="center"/>
    </xf>
    <xf numFmtId="180" fontId="73" fillId="0" borderId="0" xfId="0" applyNumberFormat="1" applyFont="1" applyAlignment="1">
      <alignment horizontal="center" vertical="center" shrinkToFit="1"/>
    </xf>
    <xf numFmtId="180" fontId="68" fillId="0" borderId="0" xfId="0" applyNumberFormat="1" applyFont="1">
      <alignment vertical="center"/>
    </xf>
    <xf numFmtId="180" fontId="73" fillId="0" borderId="0" xfId="0" applyNumberFormat="1" applyFont="1" applyBorder="1" applyAlignment="1">
      <alignment horizontal="center" vertical="center" shrinkToFit="1"/>
    </xf>
    <xf numFmtId="180" fontId="68" fillId="0" borderId="0" xfId="0" applyNumberFormat="1" applyFont="1" applyBorder="1">
      <alignment vertical="center"/>
    </xf>
    <xf numFmtId="180" fontId="68" fillId="0" borderId="358" xfId="0" applyNumberFormat="1" applyFont="1" applyBorder="1">
      <alignment vertical="center"/>
    </xf>
    <xf numFmtId="178" fontId="68" fillId="0" borderId="0" xfId="0" applyNumberFormat="1" applyFont="1">
      <alignment vertical="center"/>
    </xf>
    <xf numFmtId="178" fontId="68" fillId="0" borderId="0" xfId="0" applyNumberFormat="1" applyFont="1" applyBorder="1">
      <alignment vertical="center"/>
    </xf>
    <xf numFmtId="178" fontId="68" fillId="0" borderId="358" xfId="0" applyNumberFormat="1" applyFont="1" applyBorder="1">
      <alignment vertical="center"/>
    </xf>
    <xf numFmtId="9" fontId="68" fillId="0" borderId="0" xfId="3" applyFont="1" applyFill="1">
      <alignment vertical="center"/>
    </xf>
    <xf numFmtId="9" fontId="68" fillId="0" borderId="0" xfId="3" applyFont="1">
      <alignment vertical="center"/>
    </xf>
    <xf numFmtId="9" fontId="68" fillId="0" borderId="0" xfId="3" applyFont="1" applyFill="1" applyBorder="1">
      <alignment vertical="center"/>
    </xf>
    <xf numFmtId="9" fontId="68" fillId="0" borderId="0" xfId="3" applyFont="1" applyBorder="1">
      <alignment vertical="center"/>
    </xf>
    <xf numFmtId="9" fontId="68" fillId="0" borderId="358" xfId="3" applyFont="1" applyBorder="1">
      <alignment vertical="center"/>
    </xf>
    <xf numFmtId="0" fontId="69" fillId="0" borderId="0" xfId="0" applyFont="1">
      <alignment vertical="center"/>
    </xf>
    <xf numFmtId="177" fontId="3" fillId="2" borderId="581" xfId="0" applyNumberFormat="1" applyFont="1" applyFill="1" applyBorder="1" applyAlignment="1">
      <alignment horizontal="center" vertical="center"/>
    </xf>
    <xf numFmtId="182" fontId="8" fillId="3" borderId="582" xfId="2" applyNumberFormat="1" applyFont="1" applyFill="1" applyBorder="1" applyAlignment="1">
      <alignment horizontal="right" vertical="center"/>
    </xf>
    <xf numFmtId="182" fontId="8" fillId="3" borderId="354" xfId="2" applyNumberFormat="1" applyFont="1" applyFill="1" applyBorder="1" applyAlignment="1">
      <alignment horizontal="right" vertical="center"/>
    </xf>
    <xf numFmtId="43" fontId="54" fillId="0" borderId="0" xfId="2" applyNumberFormat="1" applyFont="1" applyFill="1" applyBorder="1">
      <alignment vertical="center"/>
    </xf>
    <xf numFmtId="9" fontId="0" fillId="0" borderId="0" xfId="3" applyFont="1" applyBorder="1" applyAlignment="1">
      <alignment horizontal="center" vertical="center"/>
    </xf>
    <xf numFmtId="41" fontId="72" fillId="0" borderId="0" xfId="2" applyFont="1" applyFill="1" applyAlignment="1">
      <alignment horizontal="center" vertical="center"/>
    </xf>
    <xf numFmtId="177" fontId="5" fillId="0" borderId="584" xfId="0" applyNumberFormat="1" applyFont="1" applyFill="1" applyBorder="1" applyAlignment="1">
      <alignment horizontal="center" vertical="center"/>
    </xf>
    <xf numFmtId="183" fontId="9" fillId="0" borderId="0" xfId="3" applyNumberFormat="1" applyFont="1" applyFill="1">
      <alignment vertical="center"/>
    </xf>
    <xf numFmtId="177" fontId="22" fillId="0" borderId="0" xfId="0" applyNumberFormat="1" applyFont="1" applyFill="1" applyBorder="1" applyAlignment="1">
      <alignment horizontal="center" vertical="center"/>
    </xf>
    <xf numFmtId="9" fontId="15" fillId="0" borderId="0" xfId="3" applyFont="1" applyFill="1" applyBorder="1" applyAlignment="1">
      <alignment horizontal="center" vertical="center"/>
    </xf>
    <xf numFmtId="183" fontId="75" fillId="0" borderId="0" xfId="3" applyNumberFormat="1" applyFont="1" applyBorder="1" applyAlignment="1">
      <alignment horizontal="center" vertical="center"/>
    </xf>
    <xf numFmtId="9" fontId="22" fillId="0" borderId="0" xfId="3" applyFont="1" applyFill="1" applyBorder="1" applyAlignment="1">
      <alignment horizontal="center" vertical="center"/>
    </xf>
    <xf numFmtId="200" fontId="0" fillId="0" borderId="0" xfId="0" applyNumberFormat="1">
      <alignment vertical="center"/>
    </xf>
    <xf numFmtId="41" fontId="76" fillId="0" borderId="0" xfId="2" applyFont="1" applyBorder="1">
      <alignment vertical="center"/>
    </xf>
    <xf numFmtId="41" fontId="67" fillId="0" borderId="0" xfId="2" applyFont="1" applyBorder="1">
      <alignment vertical="center"/>
    </xf>
    <xf numFmtId="181" fontId="8" fillId="6" borderId="68" xfId="0" applyNumberFormat="1" applyFont="1" applyFill="1" applyBorder="1" applyAlignment="1">
      <alignment horizontal="center" vertical="center"/>
    </xf>
    <xf numFmtId="41" fontId="0" fillId="0" borderId="0" xfId="2" applyFont="1" applyFill="1" applyBorder="1" applyAlignment="1">
      <alignment horizontal="center" vertical="center"/>
    </xf>
    <xf numFmtId="9" fontId="20" fillId="0" borderId="0" xfId="3" applyFont="1" applyFill="1" applyBorder="1" applyAlignment="1">
      <alignment horizontal="center" vertical="center"/>
    </xf>
    <xf numFmtId="41" fontId="8" fillId="3" borderId="359" xfId="2" applyFont="1" applyFill="1" applyBorder="1" applyAlignment="1">
      <alignment horizontal="center" vertical="center"/>
    </xf>
    <xf numFmtId="41" fontId="45" fillId="0" borderId="0" xfId="2" applyFont="1" applyFill="1" applyAlignment="1">
      <alignment horizontal="center" vertical="center"/>
    </xf>
    <xf numFmtId="183" fontId="0" fillId="0" borderId="206" xfId="3" applyNumberFormat="1" applyFont="1" applyFill="1" applyBorder="1">
      <alignment vertical="center"/>
    </xf>
    <xf numFmtId="177" fontId="11" fillId="3" borderId="45" xfId="0" applyNumberFormat="1" applyFont="1" applyFill="1" applyBorder="1" applyAlignment="1">
      <alignment horizontal="center" vertical="center"/>
    </xf>
    <xf numFmtId="0" fontId="32" fillId="11" borderId="579" xfId="0" applyFont="1" applyFill="1" applyBorder="1" applyAlignment="1">
      <alignment horizontal="center" vertical="center"/>
    </xf>
    <xf numFmtId="182" fontId="37" fillId="10" borderId="510" xfId="0" applyNumberFormat="1" applyFont="1" applyFill="1" applyBorder="1" applyAlignment="1">
      <alignment horizontal="center" vertical="center"/>
    </xf>
    <xf numFmtId="182" fontId="40" fillId="10" borderId="510" xfId="0" applyNumberFormat="1" applyFont="1" applyFill="1" applyBorder="1" applyAlignment="1">
      <alignment horizontal="center" vertical="center"/>
    </xf>
    <xf numFmtId="182" fontId="37" fillId="10" borderId="459" xfId="0" applyNumberFormat="1" applyFont="1" applyFill="1" applyBorder="1" applyAlignment="1">
      <alignment horizontal="center" vertical="center"/>
    </xf>
    <xf numFmtId="182" fontId="40" fillId="10" borderId="459" xfId="0" applyNumberFormat="1" applyFont="1" applyFill="1" applyBorder="1" applyAlignment="1">
      <alignment horizontal="center" vertical="center"/>
    </xf>
    <xf numFmtId="0" fontId="32" fillId="0" borderId="583" xfId="0" applyFont="1" applyFill="1" applyBorder="1" applyAlignment="1">
      <alignment horizontal="center" vertical="center"/>
    </xf>
    <xf numFmtId="183" fontId="22" fillId="0" borderId="0" xfId="3" applyNumberFormat="1" applyFont="1" applyFill="1" applyBorder="1" applyAlignment="1">
      <alignment horizontal="center" vertical="center"/>
    </xf>
    <xf numFmtId="41" fontId="24" fillId="0" borderId="0" xfId="0" applyNumberFormat="1" applyFont="1" applyFill="1">
      <alignment vertical="center"/>
    </xf>
    <xf numFmtId="0" fontId="32" fillId="11" borderId="579" xfId="0" applyFont="1" applyFill="1" applyBorder="1" applyAlignment="1">
      <alignment horizontal="center" vertical="center"/>
    </xf>
    <xf numFmtId="177" fontId="9" fillId="19" borderId="60" xfId="0" applyNumberFormat="1" applyFont="1" applyFill="1" applyBorder="1" applyAlignment="1">
      <alignment horizontal="center" vertical="center"/>
    </xf>
    <xf numFmtId="0" fontId="5" fillId="3" borderId="88" xfId="0" applyFont="1" applyFill="1" applyBorder="1" applyAlignment="1">
      <alignment vertical="center" wrapText="1"/>
    </xf>
    <xf numFmtId="0" fontId="5" fillId="3" borderId="112" xfId="0" applyFont="1" applyFill="1" applyBorder="1" applyAlignment="1">
      <alignment vertical="center" wrapText="1"/>
    </xf>
    <xf numFmtId="177" fontId="5" fillId="18" borderId="195" xfId="0" applyNumberFormat="1" applyFont="1" applyFill="1" applyBorder="1" applyAlignment="1">
      <alignment horizontal="center" vertical="center"/>
    </xf>
    <xf numFmtId="180" fontId="5" fillId="18" borderId="194" xfId="0" applyNumberFormat="1" applyFont="1" applyFill="1" applyBorder="1" applyAlignment="1">
      <alignment horizontal="center" vertical="center"/>
    </xf>
    <xf numFmtId="177" fontId="5" fillId="18" borderId="194" xfId="0" applyNumberFormat="1" applyFont="1" applyFill="1" applyBorder="1" applyAlignment="1">
      <alignment horizontal="center" vertical="center"/>
    </xf>
    <xf numFmtId="177" fontId="5" fillId="18" borderId="472" xfId="0" applyNumberFormat="1" applyFont="1" applyFill="1" applyBorder="1" applyAlignment="1">
      <alignment horizontal="center" vertical="center"/>
    </xf>
    <xf numFmtId="177" fontId="5" fillId="18" borderId="13" xfId="0" applyNumberFormat="1" applyFont="1" applyFill="1" applyBorder="1" applyAlignment="1">
      <alignment horizontal="center" vertical="center"/>
    </xf>
    <xf numFmtId="180" fontId="5" fillId="18" borderId="12" xfId="0" applyNumberFormat="1" applyFont="1" applyFill="1" applyBorder="1" applyAlignment="1">
      <alignment horizontal="center" vertical="center"/>
    </xf>
    <xf numFmtId="177" fontId="5" fillId="18" borderId="12" xfId="0" applyNumberFormat="1" applyFont="1" applyFill="1" applyBorder="1" applyAlignment="1">
      <alignment horizontal="center" vertical="center"/>
    </xf>
    <xf numFmtId="177" fontId="5" fillId="18" borderId="460" xfId="0" applyNumberFormat="1" applyFont="1" applyFill="1" applyBorder="1" applyAlignment="1">
      <alignment horizontal="center" vertical="center"/>
    </xf>
    <xf numFmtId="177" fontId="5" fillId="18" borderId="11" xfId="0" applyNumberFormat="1" applyFont="1" applyFill="1" applyBorder="1" applyAlignment="1">
      <alignment horizontal="center" vertical="center"/>
    </xf>
    <xf numFmtId="183" fontId="5" fillId="18" borderId="17" xfId="0" applyNumberFormat="1" applyFont="1" applyFill="1" applyBorder="1" applyAlignment="1">
      <alignment horizontal="center" vertical="center"/>
    </xf>
    <xf numFmtId="183" fontId="5" fillId="18" borderId="461" xfId="0" applyNumberFormat="1" applyFont="1" applyFill="1" applyBorder="1" applyAlignment="1">
      <alignment horizontal="center" vertical="center"/>
    </xf>
    <xf numFmtId="177" fontId="9" fillId="19" borderId="61" xfId="0" applyNumberFormat="1" applyFont="1" applyFill="1" applyBorder="1" applyAlignment="1">
      <alignment horizontal="center" vertical="center"/>
    </xf>
    <xf numFmtId="177" fontId="11" fillId="3" borderId="587" xfId="0" applyNumberFormat="1" applyFont="1" applyFill="1" applyBorder="1" applyAlignment="1">
      <alignment horizontal="center" vertical="center"/>
    </xf>
    <xf numFmtId="177" fontId="11" fillId="0" borderId="555" xfId="0" applyNumberFormat="1" applyFont="1" applyFill="1" applyBorder="1" applyAlignment="1">
      <alignment horizontal="center" vertical="center"/>
    </xf>
    <xf numFmtId="177" fontId="5" fillId="4" borderId="589" xfId="0" applyNumberFormat="1" applyFont="1" applyFill="1" applyBorder="1" applyAlignment="1">
      <alignment horizontal="center" vertical="center"/>
    </xf>
    <xf numFmtId="177" fontId="5" fillId="0" borderId="555" xfId="0" applyNumberFormat="1" applyFont="1" applyFill="1" applyBorder="1" applyAlignment="1">
      <alignment horizontal="center" vertical="center"/>
    </xf>
    <xf numFmtId="187" fontId="5" fillId="0" borderId="555" xfId="0" applyNumberFormat="1" applyFont="1" applyFill="1" applyBorder="1" applyAlignment="1">
      <alignment horizontal="center" vertical="center"/>
    </xf>
    <xf numFmtId="0" fontId="8" fillId="0" borderId="162" xfId="0" applyFont="1" applyFill="1" applyBorder="1" applyAlignment="1">
      <alignment horizontal="center" vertical="center" shrinkToFit="1"/>
    </xf>
    <xf numFmtId="202" fontId="5" fillId="0" borderId="42" xfId="0" applyNumberFormat="1" applyFont="1" applyFill="1" applyBorder="1" applyAlignment="1">
      <alignment horizontal="left" vertical="center" indent="1"/>
    </xf>
    <xf numFmtId="177" fontId="9" fillId="20" borderId="61" xfId="0" applyNumberFormat="1" applyFont="1" applyFill="1" applyBorder="1" applyAlignment="1">
      <alignment horizontal="center" vertical="center"/>
    </xf>
    <xf numFmtId="41" fontId="8" fillId="0" borderId="0" xfId="2" applyFont="1" applyAlignment="1">
      <alignment horizontal="center" vertical="center" shrinkToFit="1"/>
    </xf>
    <xf numFmtId="41" fontId="48" fillId="0" borderId="0" xfId="2" applyFont="1" applyAlignment="1">
      <alignment horizontal="center" vertical="center" shrinkToFit="1"/>
    </xf>
    <xf numFmtId="179" fontId="9" fillId="4" borderId="57" xfId="0" applyNumberFormat="1" applyFont="1" applyFill="1" applyBorder="1" applyAlignment="1">
      <alignment horizontal="center" vertical="center"/>
    </xf>
    <xf numFmtId="182" fontId="9" fillId="0" borderId="60" xfId="2" applyNumberFormat="1" applyFont="1" applyFill="1" applyBorder="1">
      <alignment vertical="center"/>
    </xf>
    <xf numFmtId="0" fontId="32" fillId="11" borderId="579" xfId="0" applyFont="1" applyFill="1" applyBorder="1" applyAlignment="1">
      <alignment horizontal="center" vertical="center"/>
    </xf>
    <xf numFmtId="183" fontId="8" fillId="0" borderId="358" xfId="3" applyNumberFormat="1" applyFont="1" applyBorder="1" applyAlignment="1">
      <alignment horizontal="center" vertical="center"/>
    </xf>
    <xf numFmtId="182" fontId="37" fillId="0" borderId="0" xfId="0" applyNumberFormat="1" applyFont="1" applyAlignment="1">
      <alignment vertical="center" shrinkToFit="1"/>
    </xf>
    <xf numFmtId="177" fontId="8" fillId="3" borderId="202" xfId="0" applyNumberFormat="1" applyFont="1" applyFill="1" applyBorder="1" applyAlignment="1">
      <alignment horizontal="center" vertical="center"/>
    </xf>
    <xf numFmtId="177" fontId="8" fillId="0" borderId="360" xfId="0" applyNumberFormat="1" applyFont="1" applyFill="1" applyBorder="1" applyAlignment="1">
      <alignment horizontal="center" vertical="center"/>
    </xf>
    <xf numFmtId="177" fontId="8" fillId="0" borderId="203" xfId="0" applyNumberFormat="1" applyFont="1" applyFill="1" applyBorder="1" applyAlignment="1">
      <alignment horizontal="center" vertical="center"/>
    </xf>
    <xf numFmtId="177" fontId="8" fillId="0" borderId="362" xfId="0" applyNumberFormat="1" applyFont="1" applyFill="1" applyBorder="1" applyAlignment="1">
      <alignment horizontal="center" vertical="center"/>
    </xf>
    <xf numFmtId="177" fontId="8" fillId="0" borderId="221" xfId="0" applyNumberFormat="1" applyFont="1" applyFill="1" applyBorder="1" applyAlignment="1">
      <alignment horizontal="center" vertical="center"/>
    </xf>
    <xf numFmtId="183" fontId="8" fillId="3" borderId="202" xfId="0" applyNumberFormat="1" applyFont="1" applyFill="1" applyBorder="1" applyAlignment="1">
      <alignment horizontal="center" vertical="center"/>
    </xf>
    <xf numFmtId="183" fontId="8" fillId="0" borderId="360" xfId="3" applyNumberFormat="1" applyFont="1" applyFill="1" applyBorder="1" applyAlignment="1">
      <alignment horizontal="center" vertical="center"/>
    </xf>
    <xf numFmtId="183" fontId="8" fillId="0" borderId="203" xfId="3" applyNumberFormat="1" applyFont="1" applyFill="1" applyBorder="1" applyAlignment="1">
      <alignment horizontal="center" vertical="center"/>
    </xf>
    <xf numFmtId="183" fontId="8" fillId="0" borderId="221" xfId="3" applyNumberFormat="1" applyFont="1" applyFill="1" applyBorder="1" applyAlignment="1">
      <alignment horizontal="center" vertical="center"/>
    </xf>
    <xf numFmtId="187" fontId="8" fillId="0" borderId="360" xfId="0" applyNumberFormat="1" applyFont="1" applyFill="1" applyBorder="1" applyAlignment="1">
      <alignment horizontal="center" vertical="center"/>
    </xf>
    <xf numFmtId="187" fontId="8" fillId="0" borderId="203" xfId="0" applyNumberFormat="1" applyFont="1" applyFill="1" applyBorder="1" applyAlignment="1">
      <alignment horizontal="center" vertical="center"/>
    </xf>
    <xf numFmtId="180" fontId="8" fillId="3" borderId="202" xfId="0" applyNumberFormat="1" applyFont="1" applyFill="1" applyBorder="1" applyAlignment="1">
      <alignment horizontal="center" vertical="center"/>
    </xf>
    <xf numFmtId="0" fontId="32" fillId="11" borderId="580" xfId="0" applyFont="1" applyFill="1" applyBorder="1" applyAlignment="1">
      <alignment horizontal="center" vertical="center"/>
    </xf>
    <xf numFmtId="0" fontId="32" fillId="11" borderId="579" xfId="0" applyFont="1" applyFill="1" applyBorder="1" applyAlignment="1">
      <alignment horizontal="center" vertical="center"/>
    </xf>
    <xf numFmtId="0" fontId="32" fillId="11" borderId="580" xfId="0" applyFont="1" applyFill="1" applyBorder="1" applyAlignment="1">
      <alignment horizontal="center" vertical="center"/>
    </xf>
    <xf numFmtId="177" fontId="5" fillId="3" borderId="590" xfId="0" applyNumberFormat="1" applyFont="1" applyFill="1" applyBorder="1" applyAlignment="1">
      <alignment horizontal="center" vertical="center"/>
    </xf>
    <xf numFmtId="177" fontId="5" fillId="0" borderId="593" xfId="0" applyNumberFormat="1" applyFont="1" applyFill="1" applyBorder="1" applyAlignment="1">
      <alignment horizontal="center" vertical="center"/>
    </xf>
    <xf numFmtId="177" fontId="5" fillId="0" borderId="591" xfId="0" applyNumberFormat="1" applyFont="1" applyFill="1" applyBorder="1" applyAlignment="1">
      <alignment horizontal="center" vertical="center"/>
    </xf>
    <xf numFmtId="177" fontId="5" fillId="0" borderId="592" xfId="0" applyNumberFormat="1" applyFont="1" applyFill="1" applyBorder="1" applyAlignment="1">
      <alignment horizontal="center" vertical="center"/>
    </xf>
    <xf numFmtId="177" fontId="5" fillId="0" borderId="281" xfId="0" applyNumberFormat="1" applyFont="1" applyFill="1" applyBorder="1" applyAlignment="1">
      <alignment horizontal="center" vertical="center"/>
    </xf>
    <xf numFmtId="183" fontId="5" fillId="3" borderId="590" xfId="0" applyNumberFormat="1" applyFont="1" applyFill="1" applyBorder="1" applyAlignment="1">
      <alignment horizontal="center" vertical="center"/>
    </xf>
    <xf numFmtId="183" fontId="5" fillId="0" borderId="584" xfId="3" applyNumberFormat="1" applyFont="1" applyFill="1" applyBorder="1" applyAlignment="1">
      <alignment horizontal="center" vertical="center"/>
    </xf>
    <xf numFmtId="183" fontId="5" fillId="0" borderId="591" xfId="3" applyNumberFormat="1" applyFont="1" applyFill="1" applyBorder="1" applyAlignment="1">
      <alignment horizontal="center" vertical="center"/>
    </xf>
    <xf numFmtId="183" fontId="5" fillId="0" borderId="281" xfId="3" applyNumberFormat="1" applyFont="1" applyFill="1" applyBorder="1" applyAlignment="1">
      <alignment horizontal="center" vertical="center"/>
    </xf>
    <xf numFmtId="187" fontId="5" fillId="0" borderId="584" xfId="0" applyNumberFormat="1" applyFont="1" applyFill="1" applyBorder="1" applyAlignment="1">
      <alignment horizontal="center" vertical="center"/>
    </xf>
    <xf numFmtId="187" fontId="5" fillId="0" borderId="591" xfId="0" applyNumberFormat="1" applyFont="1" applyFill="1" applyBorder="1" applyAlignment="1">
      <alignment horizontal="center" vertical="center"/>
    </xf>
    <xf numFmtId="180" fontId="5" fillId="3" borderId="590" xfId="0" applyNumberFormat="1" applyFont="1" applyFill="1" applyBorder="1" applyAlignment="1">
      <alignment horizontal="center" vertical="center"/>
    </xf>
    <xf numFmtId="180" fontId="5" fillId="0" borderId="594" xfId="0" applyNumberFormat="1" applyFont="1" applyFill="1" applyBorder="1" applyAlignment="1">
      <alignment horizontal="center" vertical="center"/>
    </xf>
    <xf numFmtId="177" fontId="5" fillId="3" borderId="584" xfId="0" applyNumberFormat="1" applyFont="1" applyFill="1" applyBorder="1" applyAlignment="1">
      <alignment horizontal="center" vertical="center"/>
    </xf>
    <xf numFmtId="177" fontId="5" fillId="3" borderId="593" xfId="0" applyNumberFormat="1" applyFont="1" applyFill="1" applyBorder="1" applyAlignment="1">
      <alignment horizontal="center" vertical="center"/>
    </xf>
    <xf numFmtId="177" fontId="5" fillId="3" borderId="591" xfId="0" applyNumberFormat="1" applyFont="1" applyFill="1" applyBorder="1" applyAlignment="1">
      <alignment horizontal="center" vertical="center"/>
    </xf>
    <xf numFmtId="177" fontId="5" fillId="3" borderId="592" xfId="0" applyNumberFormat="1" applyFont="1" applyFill="1" applyBorder="1" applyAlignment="1">
      <alignment horizontal="center" vertical="center"/>
    </xf>
    <xf numFmtId="177" fontId="5" fillId="3" borderId="584" xfId="2" applyNumberFormat="1" applyFont="1" applyFill="1" applyBorder="1" applyAlignment="1">
      <alignment horizontal="center" vertical="center"/>
    </xf>
    <xf numFmtId="177" fontId="5" fillId="3" borderId="594" xfId="0" applyNumberFormat="1" applyFont="1" applyFill="1" applyBorder="1" applyAlignment="1">
      <alignment horizontal="center" vertical="center"/>
    </xf>
    <xf numFmtId="177" fontId="5" fillId="3" borderId="281" xfId="0" applyNumberFormat="1" applyFont="1" applyFill="1" applyBorder="1" applyAlignment="1">
      <alignment horizontal="center" vertical="center"/>
    </xf>
    <xf numFmtId="180" fontId="5" fillId="3" borderId="593" xfId="0" applyNumberFormat="1" applyFont="1" applyFill="1" applyBorder="1" applyAlignment="1">
      <alignment horizontal="center" vertical="center"/>
    </xf>
    <xf numFmtId="180" fontId="5" fillId="3" borderId="584" xfId="0" applyNumberFormat="1" applyFont="1" applyFill="1" applyBorder="1" applyAlignment="1">
      <alignment horizontal="center" vertical="center"/>
    </xf>
    <xf numFmtId="180" fontId="5" fillId="3" borderId="591" xfId="0" applyNumberFormat="1" applyFont="1" applyFill="1" applyBorder="1" applyAlignment="1">
      <alignment horizontal="center" vertical="center"/>
    </xf>
    <xf numFmtId="180" fontId="5" fillId="3" borderId="281" xfId="0" applyNumberFormat="1" applyFont="1" applyFill="1" applyBorder="1" applyAlignment="1">
      <alignment horizontal="center" vertical="center"/>
    </xf>
    <xf numFmtId="177" fontId="5" fillId="3" borderId="596" xfId="0" applyNumberFormat="1" applyFont="1" applyFill="1" applyBorder="1" applyAlignment="1">
      <alignment horizontal="center" vertical="center"/>
    </xf>
    <xf numFmtId="183" fontId="9" fillId="0" borderId="0" xfId="3" applyNumberFormat="1" applyFont="1" applyFill="1" applyBorder="1">
      <alignment vertical="center"/>
    </xf>
    <xf numFmtId="177" fontId="5" fillId="3" borderId="83" xfId="0" applyNumberFormat="1" applyFont="1" applyFill="1" applyBorder="1" applyAlignment="1">
      <alignment horizontal="center" vertical="center"/>
    </xf>
    <xf numFmtId="180" fontId="5" fillId="20" borderId="84" xfId="0" applyNumberFormat="1" applyFont="1" applyFill="1" applyBorder="1" applyAlignment="1">
      <alignment horizontal="center" vertical="center"/>
    </xf>
    <xf numFmtId="181" fontId="8" fillId="3" borderId="81" xfId="0" applyNumberFormat="1" applyFont="1" applyFill="1" applyBorder="1" applyAlignment="1">
      <alignment horizontal="center" vertical="center"/>
    </xf>
    <xf numFmtId="177" fontId="8" fillId="3" borderId="185" xfId="0" applyNumberFormat="1" applyFont="1" applyFill="1" applyBorder="1" applyAlignment="1">
      <alignment horizontal="center" vertical="center"/>
    </xf>
    <xf numFmtId="179" fontId="9" fillId="20" borderId="83" xfId="0" applyNumberFormat="1" applyFont="1" applyFill="1" applyBorder="1" applyAlignment="1">
      <alignment horizontal="center" vertical="center"/>
    </xf>
    <xf numFmtId="180" fontId="37" fillId="0" borderId="510" xfId="0" applyNumberFormat="1" applyFont="1" applyFill="1" applyBorder="1" applyAlignment="1">
      <alignment horizontal="center" vertical="center"/>
    </xf>
    <xf numFmtId="0" fontId="31" fillId="0" borderId="514" xfId="0" applyFont="1" applyBorder="1">
      <alignment vertical="center"/>
    </xf>
    <xf numFmtId="0" fontId="32" fillId="0" borderId="512" xfId="0" applyFont="1" applyBorder="1" applyAlignment="1">
      <alignment horizontal="center" vertical="center"/>
    </xf>
    <xf numFmtId="182" fontId="37" fillId="0" borderId="0" xfId="0" applyNumberFormat="1" applyFont="1">
      <alignment vertical="center"/>
    </xf>
    <xf numFmtId="182" fontId="37" fillId="21" borderId="510" xfId="0" applyNumberFormat="1" applyFont="1" applyFill="1" applyBorder="1" applyAlignment="1">
      <alignment horizontal="center" vertical="center"/>
    </xf>
    <xf numFmtId="182" fontId="40" fillId="21" borderId="510" xfId="0" applyNumberFormat="1" applyFont="1" applyFill="1" applyBorder="1" applyAlignment="1">
      <alignment horizontal="center" vertical="center"/>
    </xf>
    <xf numFmtId="201" fontId="40" fillId="21" borderId="510" xfId="0" applyNumberFormat="1" applyFont="1" applyFill="1" applyBorder="1" applyAlignment="1">
      <alignment horizontal="center" vertical="center"/>
    </xf>
    <xf numFmtId="180" fontId="79" fillId="0" borderId="0" xfId="2" applyNumberFormat="1" applyFont="1" applyBorder="1" applyAlignment="1">
      <alignment horizontal="center" vertical="center"/>
    </xf>
    <xf numFmtId="177" fontId="11" fillId="22" borderId="520" xfId="0" applyNumberFormat="1" applyFont="1" applyFill="1" applyBorder="1" applyAlignment="1">
      <alignment horizontal="center" vertical="center"/>
    </xf>
    <xf numFmtId="177" fontId="11" fillId="22" borderId="522" xfId="0" applyNumberFormat="1" applyFont="1" applyFill="1" applyBorder="1" applyAlignment="1">
      <alignment horizontal="center" vertical="center"/>
    </xf>
    <xf numFmtId="177" fontId="11" fillId="22" borderId="523" xfId="0" applyNumberFormat="1" applyFont="1" applyFill="1" applyBorder="1" applyAlignment="1">
      <alignment horizontal="center" vertical="center"/>
    </xf>
    <xf numFmtId="177" fontId="11" fillId="22" borderId="526" xfId="0" applyNumberFormat="1" applyFont="1" applyFill="1" applyBorder="1" applyAlignment="1">
      <alignment horizontal="center" vertical="center"/>
    </xf>
    <xf numFmtId="177" fontId="5" fillId="22" borderId="523" xfId="0" applyNumberFormat="1" applyFont="1" applyFill="1" applyBorder="1" applyAlignment="1">
      <alignment horizontal="center" vertical="center"/>
    </xf>
    <xf numFmtId="177" fontId="5" fillId="22" borderId="526" xfId="0" applyNumberFormat="1" applyFont="1" applyFill="1" applyBorder="1" applyAlignment="1">
      <alignment horizontal="center" vertical="center"/>
    </xf>
    <xf numFmtId="187" fontId="5" fillId="22" borderId="523" xfId="0" applyNumberFormat="1" applyFont="1" applyFill="1" applyBorder="1" applyAlignment="1">
      <alignment horizontal="center" vertical="center"/>
    </xf>
    <xf numFmtId="187" fontId="5" fillId="22" borderId="526" xfId="0" applyNumberFormat="1" applyFont="1" applyFill="1" applyBorder="1" applyAlignment="1">
      <alignment horizontal="center" vertical="center"/>
    </xf>
    <xf numFmtId="177" fontId="11" fillId="22" borderId="299" xfId="0" applyNumberFormat="1" applyFont="1" applyFill="1" applyBorder="1" applyAlignment="1">
      <alignment horizontal="center" vertical="center"/>
    </xf>
    <xf numFmtId="177" fontId="11" fillId="22" borderId="293" xfId="0" applyNumberFormat="1" applyFont="1" applyFill="1" applyBorder="1" applyAlignment="1">
      <alignment horizontal="center" vertical="center"/>
    </xf>
    <xf numFmtId="177" fontId="11" fillId="22" borderId="542" xfId="0" applyNumberFormat="1" applyFont="1" applyFill="1" applyBorder="1" applyAlignment="1">
      <alignment horizontal="center" vertical="center"/>
    </xf>
    <xf numFmtId="177" fontId="5" fillId="22" borderId="544" xfId="0" applyNumberFormat="1" applyFont="1" applyFill="1" applyBorder="1" applyAlignment="1">
      <alignment horizontal="center" vertical="center"/>
    </xf>
    <xf numFmtId="177" fontId="5" fillId="22" borderId="12" xfId="0" applyNumberFormat="1" applyFont="1" applyFill="1" applyBorder="1" applyAlignment="1">
      <alignment horizontal="center" vertical="center"/>
    </xf>
    <xf numFmtId="177" fontId="5" fillId="22" borderId="460" xfId="0" applyNumberFormat="1" applyFont="1" applyFill="1" applyBorder="1" applyAlignment="1">
      <alignment horizontal="center" vertical="center"/>
    </xf>
    <xf numFmtId="177" fontId="5" fillId="22" borderId="301" xfId="0" applyNumberFormat="1" applyFont="1" applyFill="1" applyBorder="1" applyAlignment="1">
      <alignment horizontal="center" vertical="center"/>
    </xf>
    <xf numFmtId="177" fontId="5" fillId="22" borderId="297" xfId="0" applyNumberFormat="1" applyFont="1" applyFill="1" applyBorder="1" applyAlignment="1">
      <alignment horizontal="center" vertical="center"/>
    </xf>
    <xf numFmtId="177" fontId="5" fillId="22" borderId="551" xfId="0" applyNumberFormat="1" applyFont="1" applyFill="1" applyBorder="1" applyAlignment="1">
      <alignment horizontal="center" vertical="center"/>
    </xf>
    <xf numFmtId="177" fontId="5" fillId="22" borderId="554" xfId="0" applyNumberFormat="1" applyFont="1" applyFill="1" applyBorder="1" applyAlignment="1">
      <alignment horizontal="center" vertical="center"/>
    </xf>
    <xf numFmtId="179" fontId="5" fillId="22" borderId="40" xfId="0" applyNumberFormat="1" applyFont="1" applyFill="1" applyBorder="1" applyAlignment="1">
      <alignment horizontal="center" vertical="center"/>
    </xf>
    <xf numFmtId="179" fontId="5" fillId="22" borderId="11" xfId="0" applyNumberFormat="1" applyFont="1" applyFill="1" applyBorder="1" applyAlignment="1">
      <alignment horizontal="center" vertical="center"/>
    </xf>
    <xf numFmtId="179" fontId="5" fillId="22" borderId="13" xfId="0" applyNumberFormat="1" applyFont="1" applyFill="1" applyBorder="1" applyAlignment="1">
      <alignment horizontal="center" vertical="center"/>
    </xf>
    <xf numFmtId="179" fontId="5" fillId="22" borderId="12" xfId="0" applyNumberFormat="1" applyFont="1" applyFill="1" applyBorder="1" applyAlignment="1">
      <alignment horizontal="center" vertical="center"/>
    </xf>
    <xf numFmtId="179" fontId="5" fillId="22" borderId="38" xfId="0" applyNumberFormat="1" applyFont="1" applyFill="1" applyBorder="1" applyAlignment="1">
      <alignment horizontal="center" vertical="center"/>
    </xf>
    <xf numFmtId="179" fontId="5" fillId="22" borderId="297" xfId="0" applyNumberFormat="1" applyFont="1" applyFill="1" applyBorder="1" applyAlignment="1">
      <alignment horizontal="center" vertical="center"/>
    </xf>
    <xf numFmtId="179" fontId="5" fillId="22" borderId="321" xfId="0" applyNumberFormat="1" applyFont="1" applyFill="1" applyBorder="1" applyAlignment="1">
      <alignment horizontal="center" vertical="center"/>
    </xf>
    <xf numFmtId="177" fontId="5" fillId="22" borderId="102" xfId="0" applyNumberFormat="1" applyFont="1" applyFill="1" applyBorder="1" applyAlignment="1">
      <alignment horizontal="center" vertical="center"/>
    </xf>
    <xf numFmtId="177" fontId="5" fillId="22" borderId="360" xfId="0" applyNumberFormat="1" applyFont="1" applyFill="1" applyBorder="1" applyAlignment="1">
      <alignment horizontal="center" vertical="center"/>
    </xf>
    <xf numFmtId="177" fontId="5" fillId="22" borderId="220" xfId="0" applyNumberFormat="1" applyFont="1" applyFill="1" applyBorder="1" applyAlignment="1">
      <alignment horizontal="center" vertical="center"/>
    </xf>
    <xf numFmtId="177" fontId="5" fillId="22" borderId="203" xfId="0" applyNumberFormat="1" applyFont="1" applyFill="1" applyBorder="1" applyAlignment="1">
      <alignment horizontal="center" vertical="center"/>
    </xf>
    <xf numFmtId="180" fontId="5" fillId="0" borderId="229" xfId="0" applyNumberFormat="1" applyFont="1" applyFill="1" applyBorder="1" applyAlignment="1">
      <alignment horizontal="center" vertical="center"/>
    </xf>
    <xf numFmtId="180" fontId="5" fillId="0" borderId="365" xfId="0" applyNumberFormat="1" applyFont="1" applyFill="1" applyBorder="1" applyAlignment="1">
      <alignment horizontal="center" vertical="center"/>
    </xf>
    <xf numFmtId="180" fontId="8" fillId="0" borderId="365" xfId="0" applyNumberFormat="1" applyFont="1" applyFill="1" applyBorder="1" applyAlignment="1">
      <alignment horizontal="center" vertical="center"/>
    </xf>
    <xf numFmtId="180" fontId="5" fillId="0" borderId="593" xfId="0" applyNumberFormat="1" applyFont="1" applyFill="1" applyBorder="1" applyAlignment="1">
      <alignment horizontal="center" vertical="center"/>
    </xf>
    <xf numFmtId="180" fontId="5" fillId="0" borderId="102" xfId="0" applyNumberFormat="1" applyFont="1" applyFill="1" applyBorder="1" applyAlignment="1">
      <alignment horizontal="center" vertical="center"/>
    </xf>
    <xf numFmtId="180" fontId="5" fillId="0" borderId="360" xfId="0" applyNumberFormat="1" applyFont="1" applyFill="1" applyBorder="1" applyAlignment="1">
      <alignment horizontal="center" vertical="center"/>
    </xf>
    <xf numFmtId="180" fontId="8" fillId="0" borderId="360" xfId="0" applyNumberFormat="1" applyFont="1" applyFill="1" applyBorder="1" applyAlignment="1">
      <alignment horizontal="center" vertical="center"/>
    </xf>
    <xf numFmtId="180" fontId="5" fillId="0" borderId="584" xfId="0" applyNumberFormat="1" applyFont="1" applyFill="1" applyBorder="1" applyAlignment="1">
      <alignment horizontal="center" vertical="center"/>
    </xf>
    <xf numFmtId="180" fontId="5" fillId="0" borderId="220" xfId="0" applyNumberFormat="1" applyFont="1" applyFill="1" applyBorder="1" applyAlignment="1">
      <alignment horizontal="center" vertical="center"/>
    </xf>
    <xf numFmtId="180" fontId="5" fillId="0" borderId="203" xfId="0" applyNumberFormat="1" applyFont="1" applyFill="1" applyBorder="1" applyAlignment="1">
      <alignment horizontal="center" vertical="center"/>
    </xf>
    <xf numFmtId="180" fontId="8" fillId="0" borderId="203" xfId="0" applyNumberFormat="1" applyFont="1" applyFill="1" applyBorder="1" applyAlignment="1">
      <alignment horizontal="center" vertical="center"/>
    </xf>
    <xf numFmtId="180" fontId="5" fillId="0" borderId="591" xfId="0" applyNumberFormat="1" applyFont="1" applyFill="1" applyBorder="1" applyAlignment="1">
      <alignment horizontal="center" vertical="center"/>
    </xf>
    <xf numFmtId="180" fontId="5" fillId="0" borderId="103" xfId="0" applyNumberFormat="1" applyFont="1" applyFill="1" applyBorder="1" applyAlignment="1">
      <alignment horizontal="center" vertical="center"/>
    </xf>
    <xf numFmtId="180" fontId="5" fillId="0" borderId="221" xfId="0" applyNumberFormat="1" applyFont="1" applyFill="1" applyBorder="1" applyAlignment="1">
      <alignment horizontal="center" vertical="center"/>
    </xf>
    <xf numFmtId="180" fontId="8" fillId="0" borderId="221" xfId="0" applyNumberFormat="1" applyFont="1" applyFill="1" applyBorder="1" applyAlignment="1">
      <alignment horizontal="center" vertical="center"/>
    </xf>
    <xf numFmtId="180" fontId="5" fillId="0" borderId="281" xfId="0" applyNumberFormat="1" applyFont="1" applyFill="1" applyBorder="1" applyAlignment="1">
      <alignment horizontal="center" vertical="center"/>
    </xf>
    <xf numFmtId="177" fontId="5" fillId="22" borderId="584" xfId="0" applyNumberFormat="1" applyFont="1" applyFill="1" applyBorder="1" applyAlignment="1">
      <alignment horizontal="center" vertical="center"/>
    </xf>
    <xf numFmtId="177" fontId="5" fillId="22" borderId="591" xfId="0" applyNumberFormat="1" applyFont="1" applyFill="1" applyBorder="1" applyAlignment="1">
      <alignment horizontal="center" vertical="center"/>
    </xf>
    <xf numFmtId="177" fontId="5" fillId="22" borderId="365" xfId="0" applyNumberFormat="1" applyFont="1" applyFill="1" applyBorder="1" applyAlignment="1">
      <alignment horizontal="center" vertical="center"/>
    </xf>
    <xf numFmtId="177" fontId="5" fillId="22" borderId="593" xfId="0" applyNumberFormat="1" applyFont="1" applyFill="1" applyBorder="1" applyAlignment="1">
      <alignment horizontal="center" vertical="center"/>
    </xf>
    <xf numFmtId="177" fontId="5" fillId="22" borderId="215" xfId="0" applyNumberFormat="1" applyFont="1" applyFill="1" applyBorder="1" applyAlignment="1">
      <alignment horizontal="center" vertical="center"/>
    </xf>
    <xf numFmtId="177" fontId="5" fillId="22" borderId="218" xfId="0" applyNumberFormat="1" applyFont="1" applyFill="1" applyBorder="1" applyAlignment="1">
      <alignment horizontal="center" vertical="center"/>
    </xf>
    <xf numFmtId="177" fontId="5" fillId="22" borderId="595" xfId="0" applyNumberFormat="1" applyFont="1" applyFill="1" applyBorder="1" applyAlignment="1">
      <alignment horizontal="center" vertical="center"/>
    </xf>
    <xf numFmtId="177" fontId="5" fillId="22" borderId="229" xfId="0" applyNumberFormat="1" applyFont="1" applyFill="1" applyBorder="1" applyAlignment="1">
      <alignment horizontal="center" vertical="center"/>
    </xf>
    <xf numFmtId="181" fontId="5" fillId="22" borderId="103" xfId="0" applyNumberFormat="1" applyFont="1" applyFill="1" applyBorder="1" applyAlignment="1">
      <alignment horizontal="center" vertical="center"/>
    </xf>
    <xf numFmtId="181" fontId="5" fillId="22" borderId="221" xfId="0" applyNumberFormat="1" applyFont="1" applyFill="1" applyBorder="1" applyAlignment="1">
      <alignment horizontal="center" vertical="center"/>
    </xf>
    <xf numFmtId="181" fontId="5" fillId="22" borderId="281" xfId="0" applyNumberFormat="1" applyFont="1" applyFill="1" applyBorder="1" applyAlignment="1">
      <alignment horizontal="center" vertical="center"/>
    </xf>
    <xf numFmtId="177" fontId="5" fillId="22" borderId="76" xfId="0" applyNumberFormat="1" applyFont="1" applyFill="1" applyBorder="1" applyAlignment="1">
      <alignment horizontal="center" vertical="center"/>
    </xf>
    <xf numFmtId="177" fontId="5" fillId="22" borderId="80" xfId="0" applyNumberFormat="1" applyFont="1" applyFill="1" applyBorder="1" applyAlignment="1">
      <alignment horizontal="center" vertical="center"/>
    </xf>
    <xf numFmtId="177" fontId="5" fillId="22" borderId="84" xfId="0" applyNumberFormat="1" applyFont="1" applyFill="1" applyBorder="1" applyAlignment="1">
      <alignment horizontal="center" vertical="center"/>
    </xf>
    <xf numFmtId="177" fontId="5" fillId="22" borderId="60" xfId="0" applyNumberFormat="1" applyFont="1" applyFill="1" applyBorder="1" applyAlignment="1">
      <alignment horizontal="center" vertical="center"/>
    </xf>
    <xf numFmtId="177" fontId="5" fillId="22" borderId="58" xfId="0" applyNumberFormat="1" applyFont="1" applyFill="1" applyBorder="1" applyAlignment="1">
      <alignment horizontal="center" vertical="center"/>
    </xf>
    <xf numFmtId="177" fontId="5" fillId="22" borderId="59" xfId="0" applyNumberFormat="1" applyFont="1" applyFill="1" applyBorder="1" applyAlignment="1">
      <alignment horizontal="center" vertical="center"/>
    </xf>
    <xf numFmtId="9" fontId="5" fillId="22" borderId="57" xfId="3" applyFont="1" applyFill="1" applyBorder="1" applyAlignment="1">
      <alignment horizontal="center" vertical="center"/>
    </xf>
    <xf numFmtId="9" fontId="5" fillId="22" borderId="58" xfId="3" applyFont="1" applyFill="1" applyBorder="1" applyAlignment="1">
      <alignment horizontal="center" vertical="center"/>
    </xf>
    <xf numFmtId="9" fontId="5" fillId="22" borderId="59" xfId="3" applyFont="1" applyFill="1" applyBorder="1" applyAlignment="1">
      <alignment horizontal="center" vertical="center"/>
    </xf>
    <xf numFmtId="9" fontId="5" fillId="22" borderId="76" xfId="3" applyFont="1" applyFill="1" applyBorder="1" applyAlignment="1">
      <alignment horizontal="center" vertical="center"/>
    </xf>
    <xf numFmtId="9" fontId="5" fillId="22" borderId="80" xfId="3" applyNumberFormat="1" applyFont="1" applyFill="1" applyBorder="1" applyAlignment="1">
      <alignment horizontal="center" vertical="center"/>
    </xf>
    <xf numFmtId="9" fontId="5" fillId="22" borderId="80" xfId="3" applyFont="1" applyFill="1" applyBorder="1" applyAlignment="1">
      <alignment horizontal="center" vertical="center"/>
    </xf>
    <xf numFmtId="9" fontId="5" fillId="22" borderId="84" xfId="3" applyFont="1" applyFill="1" applyBorder="1" applyAlignment="1">
      <alignment horizontal="center" vertical="center"/>
    </xf>
    <xf numFmtId="9" fontId="5" fillId="22" borderId="178" xfId="3" applyFont="1" applyFill="1" applyBorder="1" applyAlignment="1">
      <alignment horizontal="center" vertical="center"/>
    </xf>
    <xf numFmtId="9" fontId="5" fillId="22" borderId="290" xfId="3" applyFont="1" applyFill="1" applyBorder="1" applyAlignment="1">
      <alignment horizontal="center" vertical="center"/>
    </xf>
    <xf numFmtId="177" fontId="5" fillId="22" borderId="178" xfId="0" applyNumberFormat="1" applyFont="1" applyFill="1" applyBorder="1" applyAlignment="1">
      <alignment horizontal="center" vertical="center"/>
    </xf>
    <xf numFmtId="177" fontId="5" fillId="22" borderId="290" xfId="0" applyNumberFormat="1" applyFont="1" applyFill="1" applyBorder="1" applyAlignment="1">
      <alignment horizontal="center" vertical="center"/>
    </xf>
    <xf numFmtId="181" fontId="8" fillId="22" borderId="57" xfId="0" applyNumberFormat="1" applyFont="1" applyFill="1" applyBorder="1" applyAlignment="1">
      <alignment horizontal="center" vertical="center"/>
    </xf>
    <xf numFmtId="181" fontId="8" fillId="22" borderId="58" xfId="0" applyNumberFormat="1" applyFont="1" applyFill="1" applyBorder="1" applyAlignment="1">
      <alignment horizontal="center" vertical="center"/>
    </xf>
    <xf numFmtId="181" fontId="8" fillId="22" borderId="59" xfId="0" applyNumberFormat="1" applyFont="1" applyFill="1" applyBorder="1" applyAlignment="1">
      <alignment horizontal="center" vertical="center"/>
    </xf>
    <xf numFmtId="181" fontId="8" fillId="22" borderId="76" xfId="0" applyNumberFormat="1" applyFont="1" applyFill="1" applyBorder="1" applyAlignment="1">
      <alignment horizontal="center" vertical="center"/>
    </xf>
    <xf numFmtId="181" fontId="8" fillId="22" borderId="80" xfId="0" applyNumberFormat="1" applyFont="1" applyFill="1" applyBorder="1" applyAlignment="1">
      <alignment horizontal="center" vertical="center"/>
    </xf>
    <xf numFmtId="181" fontId="8" fillId="22" borderId="84" xfId="0" applyNumberFormat="1" applyFont="1" applyFill="1" applyBorder="1" applyAlignment="1">
      <alignment horizontal="center" vertical="center"/>
    </xf>
    <xf numFmtId="181" fontId="8" fillId="22" borderId="77" xfId="0" applyNumberFormat="1" applyFont="1" applyFill="1" applyBorder="1" applyAlignment="1">
      <alignment horizontal="center" vertical="center"/>
    </xf>
    <xf numFmtId="181" fontId="8" fillId="22" borderId="79" xfId="0" applyNumberFormat="1" applyFont="1" applyFill="1" applyBorder="1" applyAlignment="1">
      <alignment horizontal="center" vertical="center"/>
    </xf>
    <xf numFmtId="181" fontId="8" fillId="22" borderId="81" xfId="0" applyNumberFormat="1" applyFont="1" applyFill="1" applyBorder="1" applyAlignment="1">
      <alignment horizontal="center" vertical="center"/>
    </xf>
    <xf numFmtId="177" fontId="8" fillId="22" borderId="76" xfId="0" applyNumberFormat="1" applyFont="1" applyFill="1" applyBorder="1" applyAlignment="1">
      <alignment horizontal="center" vertical="center"/>
    </xf>
    <xf numFmtId="177" fontId="8" fillId="22" borderId="80" xfId="0" applyNumberFormat="1" applyFont="1" applyFill="1" applyBorder="1" applyAlignment="1">
      <alignment horizontal="center" vertical="center"/>
    </xf>
    <xf numFmtId="177" fontId="8" fillId="22" borderId="84" xfId="0" applyNumberFormat="1" applyFont="1" applyFill="1" applyBorder="1" applyAlignment="1">
      <alignment horizontal="center" vertical="center"/>
    </xf>
    <xf numFmtId="177" fontId="8" fillId="22" borderId="60" xfId="0" applyNumberFormat="1" applyFont="1" applyFill="1" applyBorder="1" applyAlignment="1">
      <alignment horizontal="center" vertical="center"/>
    </xf>
    <xf numFmtId="177" fontId="8" fillId="22" borderId="61" xfId="0" applyNumberFormat="1" applyFont="1" applyFill="1" applyBorder="1" applyAlignment="1">
      <alignment horizontal="center" vertical="center"/>
    </xf>
    <xf numFmtId="177" fontId="8" fillId="22" borderId="83" xfId="0" applyNumberFormat="1" applyFont="1" applyFill="1" applyBorder="1" applyAlignment="1">
      <alignment horizontal="center" vertical="center"/>
    </xf>
    <xf numFmtId="181" fontId="8" fillId="22" borderId="61" xfId="0" applyNumberFormat="1" applyFont="1" applyFill="1" applyBorder="1" applyAlignment="1">
      <alignment horizontal="center" vertical="center"/>
    </xf>
    <xf numFmtId="181" fontId="8" fillId="22" borderId="83" xfId="0" applyNumberFormat="1" applyFont="1" applyFill="1" applyBorder="1" applyAlignment="1">
      <alignment horizontal="center" vertical="center"/>
    </xf>
    <xf numFmtId="181" fontId="9" fillId="22" borderId="60" xfId="0" applyNumberFormat="1" applyFont="1" applyFill="1" applyBorder="1" applyAlignment="1">
      <alignment horizontal="center" vertical="center"/>
    </xf>
    <xf numFmtId="181" fontId="9" fillId="22" borderId="61" xfId="0" applyNumberFormat="1" applyFont="1" applyFill="1" applyBorder="1" applyAlignment="1">
      <alignment horizontal="center" vertical="center"/>
    </xf>
    <xf numFmtId="181" fontId="9" fillId="22" borderId="83" xfId="0" applyNumberFormat="1" applyFont="1" applyFill="1" applyBorder="1" applyAlignment="1">
      <alignment horizontal="center" vertical="center"/>
    </xf>
    <xf numFmtId="181" fontId="8" fillId="22" borderId="377" xfId="0" applyNumberFormat="1" applyFont="1" applyFill="1" applyBorder="1" applyAlignment="1">
      <alignment horizontal="center" vertical="center"/>
    </xf>
    <xf numFmtId="181" fontId="8" fillId="22" borderId="152" xfId="0" applyNumberFormat="1" applyFont="1" applyFill="1" applyBorder="1" applyAlignment="1">
      <alignment horizontal="center" vertical="center"/>
    </xf>
    <xf numFmtId="181" fontId="8" fillId="22" borderId="153" xfId="0" applyNumberFormat="1" applyFont="1" applyFill="1" applyBorder="1" applyAlignment="1">
      <alignment horizontal="center" vertical="center"/>
    </xf>
    <xf numFmtId="179" fontId="9" fillId="3" borderId="77" xfId="0" applyNumberFormat="1" applyFont="1" applyFill="1" applyBorder="1" applyAlignment="1">
      <alignment horizontal="center" vertical="center"/>
    </xf>
    <xf numFmtId="179" fontId="9" fillId="3" borderId="79" xfId="0" applyNumberFormat="1" applyFont="1" applyFill="1" applyBorder="1" applyAlignment="1">
      <alignment horizontal="center" vertical="center"/>
    </xf>
    <xf numFmtId="179" fontId="9" fillId="3" borderId="81" xfId="0" applyNumberFormat="1" applyFont="1" applyFill="1" applyBorder="1" applyAlignment="1">
      <alignment horizontal="center" vertical="center"/>
    </xf>
    <xf numFmtId="37" fontId="9" fillId="3" borderId="77" xfId="0" applyNumberFormat="1" applyFont="1" applyFill="1" applyBorder="1" applyAlignment="1">
      <alignment horizontal="center" vertical="center"/>
    </xf>
    <xf numFmtId="37" fontId="9" fillId="3" borderId="185" xfId="0" applyNumberFormat="1" applyFont="1" applyFill="1" applyBorder="1" applyAlignment="1">
      <alignment horizontal="center" vertical="center"/>
    </xf>
    <xf numFmtId="177" fontId="8" fillId="3" borderId="219" xfId="0" applyNumberFormat="1" applyFont="1" applyFill="1" applyBorder="1" applyAlignment="1">
      <alignment horizontal="center" vertical="center"/>
    </xf>
    <xf numFmtId="177" fontId="5" fillId="0" borderId="365" xfId="0" applyNumberFormat="1" applyFont="1" applyFill="1" applyBorder="1" applyAlignment="1">
      <alignment horizontal="center" vertical="center"/>
    </xf>
    <xf numFmtId="177" fontId="5" fillId="6" borderId="486" xfId="0" applyNumberFormat="1" applyFont="1" applyFill="1" applyBorder="1" applyAlignment="1">
      <alignment horizontal="center" vertical="center"/>
    </xf>
    <xf numFmtId="177" fontId="5" fillId="0" borderId="229" xfId="0" applyNumberFormat="1" applyFont="1" applyFill="1" applyBorder="1" applyAlignment="1">
      <alignment horizontal="center" vertical="center"/>
    </xf>
    <xf numFmtId="181" fontId="5" fillId="0" borderId="281" xfId="0" applyNumberFormat="1" applyFont="1" applyFill="1" applyBorder="1" applyAlignment="1">
      <alignment horizontal="center" vertical="center"/>
    </xf>
    <xf numFmtId="177" fontId="5" fillId="3" borderId="468" xfId="0" applyNumberFormat="1" applyFont="1" applyFill="1" applyBorder="1" applyAlignment="1">
      <alignment horizontal="center" vertical="center"/>
    </xf>
    <xf numFmtId="0" fontId="81" fillId="0" borderId="0" xfId="0" applyFont="1">
      <alignment vertical="center"/>
    </xf>
    <xf numFmtId="177" fontId="5" fillId="3" borderId="80" xfId="0" applyNumberFormat="1" applyFont="1" applyFill="1" applyBorder="1" applyAlignment="1">
      <alignment horizontal="center" vertical="center"/>
    </xf>
    <xf numFmtId="177" fontId="5" fillId="3" borderId="84" xfId="0" applyNumberFormat="1" applyFont="1" applyFill="1" applyBorder="1" applyAlignment="1">
      <alignment horizontal="center" vertical="center"/>
    </xf>
    <xf numFmtId="177" fontId="8" fillId="3" borderId="60" xfId="0" applyNumberFormat="1" applyFont="1" applyFill="1" applyBorder="1" applyAlignment="1">
      <alignment horizontal="center" vertical="center"/>
    </xf>
    <xf numFmtId="177" fontId="5" fillId="3" borderId="356" xfId="0" applyNumberFormat="1" applyFont="1" applyFill="1" applyBorder="1" applyAlignment="1">
      <alignment horizontal="center" vertical="center"/>
    </xf>
    <xf numFmtId="181" fontId="8" fillId="0" borderId="76" xfId="0" applyNumberFormat="1" applyFont="1" applyFill="1" applyBorder="1" applyAlignment="1">
      <alignment horizontal="center" vertical="center"/>
    </xf>
    <xf numFmtId="181" fontId="8" fillId="0" borderId="57" xfId="0" applyNumberFormat="1" applyFont="1" applyFill="1" applyBorder="1" applyAlignment="1">
      <alignment horizontal="center" vertical="center"/>
    </xf>
    <xf numFmtId="181" fontId="8" fillId="0" borderId="58" xfId="0" applyNumberFormat="1" applyFont="1" applyFill="1" applyBorder="1" applyAlignment="1">
      <alignment horizontal="center" vertical="center"/>
    </xf>
    <xf numFmtId="181" fontId="8" fillId="0" borderId="59" xfId="0" applyNumberFormat="1" applyFont="1" applyFill="1" applyBorder="1" applyAlignment="1">
      <alignment horizontal="center" vertical="center"/>
    </xf>
    <xf numFmtId="181" fontId="8" fillId="0" borderId="77" xfId="0" applyNumberFormat="1" applyFont="1" applyFill="1" applyBorder="1" applyAlignment="1">
      <alignment horizontal="center" vertical="center"/>
    </xf>
    <xf numFmtId="181" fontId="8" fillId="0" borderId="79" xfId="0" applyNumberFormat="1" applyFont="1" applyFill="1" applyBorder="1" applyAlignment="1">
      <alignment horizontal="center" vertical="center"/>
    </xf>
    <xf numFmtId="181" fontId="8" fillId="0" borderId="61" xfId="0" applyNumberFormat="1" applyFont="1" applyFill="1" applyBorder="1" applyAlignment="1">
      <alignment horizontal="center" vertical="center"/>
    </xf>
    <xf numFmtId="181" fontId="9" fillId="0" borderId="61" xfId="0" applyNumberFormat="1" applyFont="1" applyFill="1" applyBorder="1" applyAlignment="1">
      <alignment horizontal="center" vertical="center"/>
    </xf>
    <xf numFmtId="181" fontId="8" fillId="0" borderId="377" xfId="0" applyNumberFormat="1" applyFont="1" applyFill="1" applyBorder="1" applyAlignment="1">
      <alignment horizontal="center" vertical="center"/>
    </xf>
    <xf numFmtId="181" fontId="8" fillId="0" borderId="152" xfId="0" applyNumberFormat="1" applyFont="1" applyFill="1" applyBorder="1" applyAlignment="1">
      <alignment horizontal="center" vertical="center"/>
    </xf>
    <xf numFmtId="181" fontId="8" fillId="0" borderId="153" xfId="0" applyNumberFormat="1" applyFont="1" applyFill="1" applyBorder="1" applyAlignment="1">
      <alignment horizontal="center" vertical="center"/>
    </xf>
    <xf numFmtId="177" fontId="3" fillId="2" borderId="598" xfId="0" applyNumberFormat="1" applyFont="1" applyFill="1" applyBorder="1" applyAlignment="1">
      <alignment horizontal="center" vertical="center"/>
    </xf>
    <xf numFmtId="177" fontId="5" fillId="6" borderId="599" xfId="0" applyNumberFormat="1" applyFont="1" applyFill="1" applyBorder="1" applyAlignment="1">
      <alignment horizontal="center" vertical="center"/>
    </xf>
    <xf numFmtId="177" fontId="5" fillId="6" borderId="600" xfId="0" applyNumberFormat="1" applyFont="1" applyFill="1" applyBorder="1" applyAlignment="1">
      <alignment horizontal="center" vertical="center"/>
    </xf>
    <xf numFmtId="177" fontId="5" fillId="6" borderId="193" xfId="0" applyNumberFormat="1" applyFont="1" applyFill="1" applyBorder="1" applyAlignment="1">
      <alignment horizontal="center" vertical="center"/>
    </xf>
    <xf numFmtId="177" fontId="5" fillId="6" borderId="88" xfId="0" applyNumberFormat="1" applyFont="1" applyFill="1" applyBorder="1" applyAlignment="1">
      <alignment horizontal="center" vertical="center"/>
    </xf>
    <xf numFmtId="177" fontId="5" fillId="6" borderId="601" xfId="0" applyNumberFormat="1" applyFont="1" applyFill="1" applyBorder="1" applyAlignment="1">
      <alignment horizontal="center" vertical="center"/>
    </xf>
    <xf numFmtId="177" fontId="5" fillId="6" borderId="508" xfId="0" applyNumberFormat="1" applyFont="1" applyFill="1" applyBorder="1" applyAlignment="1">
      <alignment horizontal="center" vertical="center"/>
    </xf>
    <xf numFmtId="177" fontId="5" fillId="6" borderId="602" xfId="0" applyNumberFormat="1" applyFont="1" applyFill="1" applyBorder="1" applyAlignment="1">
      <alignment horizontal="center" vertical="center"/>
    </xf>
    <xf numFmtId="177" fontId="5" fillId="6" borderId="369" xfId="0" applyNumberFormat="1" applyFont="1" applyFill="1" applyBorder="1" applyAlignment="1">
      <alignment horizontal="center" vertical="center"/>
    </xf>
    <xf numFmtId="177" fontId="5" fillId="6" borderId="370" xfId="0" applyNumberFormat="1" applyFont="1" applyFill="1" applyBorder="1" applyAlignment="1">
      <alignment horizontal="center" vertical="center"/>
    </xf>
    <xf numFmtId="180" fontId="5" fillId="22" borderId="80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177" fontId="11" fillId="0" borderId="520" xfId="0" applyNumberFormat="1" applyFont="1" applyBorder="1" applyAlignment="1">
      <alignment horizontal="center" vertical="center"/>
    </xf>
    <xf numFmtId="9" fontId="3" fillId="0" borderId="0" xfId="3" applyFont="1" applyFill="1" applyBorder="1" applyAlignment="1">
      <alignment horizontal="center" vertical="center"/>
    </xf>
    <xf numFmtId="180" fontId="17" fillId="0" borderId="206" xfId="2" applyNumberFormat="1" applyFont="1" applyFill="1" applyBorder="1" applyAlignment="1">
      <alignment horizontal="center" vertical="center"/>
    </xf>
    <xf numFmtId="182" fontId="39" fillId="10" borderId="512" xfId="0" applyNumberFormat="1" applyFont="1" applyFill="1" applyBorder="1" applyAlignment="1">
      <alignment horizontal="center" vertical="center"/>
    </xf>
    <xf numFmtId="0" fontId="8" fillId="0" borderId="130" xfId="0" applyFont="1" applyBorder="1" applyAlignment="1">
      <alignment horizontal="center" vertical="center"/>
    </xf>
    <xf numFmtId="0" fontId="8" fillId="0" borderId="138" xfId="0" applyFont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201" fontId="40" fillId="0" borderId="510" xfId="0" applyNumberFormat="1" applyFont="1" applyFill="1" applyBorder="1" applyAlignment="1">
      <alignment horizontal="center" vertical="center"/>
    </xf>
    <xf numFmtId="177" fontId="5" fillId="22" borderId="528" xfId="0" applyNumberFormat="1" applyFont="1" applyFill="1" applyBorder="1" applyAlignment="1">
      <alignment horizontal="center" vertical="center"/>
    </xf>
    <xf numFmtId="177" fontId="5" fillId="22" borderId="532" xfId="0" applyNumberFormat="1" applyFont="1" applyFill="1" applyBorder="1" applyAlignment="1">
      <alignment horizontal="center" vertical="center"/>
    </xf>
    <xf numFmtId="177" fontId="5" fillId="22" borderId="520" xfId="0" applyNumberFormat="1" applyFont="1" applyFill="1" applyBorder="1" applyAlignment="1">
      <alignment horizontal="center" vertical="center"/>
    </xf>
    <xf numFmtId="177" fontId="5" fillId="22" borderId="522" xfId="0" applyNumberFormat="1" applyFont="1" applyFill="1" applyBorder="1" applyAlignment="1">
      <alignment horizontal="center" vertical="center"/>
    </xf>
    <xf numFmtId="182" fontId="5" fillId="22" borderId="523" xfId="0" applyNumberFormat="1" applyFont="1" applyFill="1" applyBorder="1" applyAlignment="1">
      <alignment horizontal="center" vertical="center"/>
    </xf>
    <xf numFmtId="182" fontId="5" fillId="22" borderId="528" xfId="0" applyNumberFormat="1" applyFont="1" applyFill="1" applyBorder="1" applyAlignment="1">
      <alignment horizontal="center" vertical="center"/>
    </xf>
    <xf numFmtId="177" fontId="5" fillId="22" borderId="231" xfId="0" applyNumberFormat="1" applyFont="1" applyFill="1" applyBorder="1" applyAlignment="1">
      <alignment horizontal="center" vertical="center"/>
    </xf>
    <xf numFmtId="177" fontId="5" fillId="22" borderId="519" xfId="0" applyNumberFormat="1" applyFont="1" applyFill="1" applyBorder="1" applyAlignment="1">
      <alignment horizontal="center" vertical="center"/>
    </xf>
    <xf numFmtId="177" fontId="11" fillId="22" borderId="555" xfId="0" applyNumberFormat="1" applyFont="1" applyFill="1" applyBorder="1" applyAlignment="1">
      <alignment horizontal="center" vertical="center"/>
    </xf>
    <xf numFmtId="177" fontId="11" fillId="22" borderId="588" xfId="0" applyNumberFormat="1" applyFont="1" applyFill="1" applyBorder="1" applyAlignment="1">
      <alignment horizontal="center" vertical="center"/>
    </xf>
    <xf numFmtId="177" fontId="5" fillId="22" borderId="555" xfId="0" applyNumberFormat="1" applyFont="1" applyFill="1" applyBorder="1" applyAlignment="1">
      <alignment horizontal="center" vertical="center"/>
    </xf>
    <xf numFmtId="177" fontId="5" fillId="22" borderId="588" xfId="0" applyNumberFormat="1" applyFont="1" applyFill="1" applyBorder="1" applyAlignment="1">
      <alignment horizontal="center" vertical="center"/>
    </xf>
    <xf numFmtId="187" fontId="5" fillId="22" borderId="555" xfId="0" applyNumberFormat="1" applyFont="1" applyFill="1" applyBorder="1" applyAlignment="1">
      <alignment horizontal="center" vertical="center"/>
    </xf>
    <xf numFmtId="187" fontId="5" fillId="22" borderId="588" xfId="0" applyNumberFormat="1" applyFont="1" applyFill="1" applyBorder="1" applyAlignment="1">
      <alignment horizontal="center" vertical="center"/>
    </xf>
    <xf numFmtId="177" fontId="5" fillId="22" borderId="529" xfId="0" applyNumberFormat="1" applyFont="1" applyFill="1" applyBorder="1" applyAlignment="1">
      <alignment horizontal="center" vertical="center"/>
    </xf>
    <xf numFmtId="183" fontId="53" fillId="0" borderId="358" xfId="3" applyNumberFormat="1" applyFont="1" applyFill="1" applyBorder="1" applyAlignment="1">
      <alignment horizontal="center" vertical="center"/>
    </xf>
    <xf numFmtId="177" fontId="5" fillId="6" borderId="358" xfId="0" applyNumberFormat="1" applyFont="1" applyFill="1" applyBorder="1" applyAlignment="1">
      <alignment horizontal="center" vertical="center"/>
    </xf>
    <xf numFmtId="177" fontId="5" fillId="6" borderId="470" xfId="0" applyNumberFormat="1" applyFont="1" applyFill="1" applyBorder="1" applyAlignment="1">
      <alignment horizontal="center" vertical="center"/>
    </xf>
    <xf numFmtId="177" fontId="5" fillId="6" borderId="471" xfId="0" applyNumberFormat="1" applyFont="1" applyFill="1" applyBorder="1" applyAlignment="1">
      <alignment horizontal="center" vertical="center"/>
    </xf>
    <xf numFmtId="180" fontId="9" fillId="6" borderId="457" xfId="0" applyNumberFormat="1" applyFont="1" applyFill="1" applyBorder="1" applyAlignment="1">
      <alignment horizontal="center" vertical="center"/>
    </xf>
    <xf numFmtId="177" fontId="5" fillId="6" borderId="463" xfId="0" applyNumberFormat="1" applyFont="1" applyFill="1" applyBorder="1" applyAlignment="1">
      <alignment horizontal="center" vertical="center"/>
    </xf>
    <xf numFmtId="177" fontId="5" fillId="6" borderId="465" xfId="0" applyNumberFormat="1" applyFont="1" applyFill="1" applyBorder="1" applyAlignment="1">
      <alignment horizontal="center" vertical="center"/>
    </xf>
    <xf numFmtId="177" fontId="5" fillId="6" borderId="464" xfId="0" applyNumberFormat="1" applyFont="1" applyFill="1" applyBorder="1" applyAlignment="1">
      <alignment horizontal="center" vertical="center"/>
    </xf>
    <xf numFmtId="177" fontId="5" fillId="6" borderId="466" xfId="0" applyNumberFormat="1" applyFont="1" applyFill="1" applyBorder="1" applyAlignment="1">
      <alignment horizontal="center" vertical="center"/>
    </xf>
    <xf numFmtId="179" fontId="9" fillId="3" borderId="462" xfId="0" applyNumberFormat="1" applyFont="1" applyFill="1" applyBorder="1" applyAlignment="1">
      <alignment horizontal="center" vertical="center"/>
    </xf>
    <xf numFmtId="180" fontId="9" fillId="3" borderId="219" xfId="0" applyNumberFormat="1" applyFont="1" applyFill="1" applyBorder="1" applyAlignment="1">
      <alignment horizontal="center" vertical="center"/>
    </xf>
    <xf numFmtId="179" fontId="8" fillId="3" borderId="215" xfId="0" applyNumberFormat="1" applyFont="1" applyFill="1" applyBorder="1" applyAlignment="1">
      <alignment horizontal="center" vertical="center"/>
    </xf>
    <xf numFmtId="179" fontId="8" fillId="3" borderId="467" xfId="0" applyNumberFormat="1" applyFont="1" applyFill="1" applyBorder="1" applyAlignment="1">
      <alignment horizontal="center" vertical="center"/>
    </xf>
    <xf numFmtId="179" fontId="9" fillId="3" borderId="468" xfId="0" applyNumberFormat="1" applyFont="1" applyFill="1" applyBorder="1" applyAlignment="1">
      <alignment horizontal="center" vertical="center"/>
    </xf>
    <xf numFmtId="179" fontId="9" fillId="6" borderId="466" xfId="0" applyNumberFormat="1" applyFont="1" applyFill="1" applyBorder="1" applyAlignment="1">
      <alignment horizontal="center" vertical="center"/>
    </xf>
    <xf numFmtId="180" fontId="9" fillId="6" borderId="103" xfId="0" applyNumberFormat="1" applyFont="1" applyFill="1" applyBorder="1" applyAlignment="1">
      <alignment horizontal="center" vertical="center"/>
    </xf>
    <xf numFmtId="180" fontId="9" fillId="0" borderId="160" xfId="0" applyNumberFormat="1" applyFont="1" applyFill="1" applyBorder="1" applyAlignment="1">
      <alignment horizontal="center" vertical="center"/>
    </xf>
    <xf numFmtId="0" fontId="5" fillId="0" borderId="388" xfId="0" applyFont="1" applyBorder="1" applyAlignment="1">
      <alignment horizontal="center" vertical="center"/>
    </xf>
    <xf numFmtId="177" fontId="5" fillId="6" borderId="89" xfId="0" applyNumberFormat="1" applyFont="1" applyFill="1" applyBorder="1" applyAlignment="1">
      <alignment horizontal="center" vertical="center"/>
    </xf>
    <xf numFmtId="177" fontId="5" fillId="6" borderId="603" xfId="0" applyNumberFormat="1" applyFont="1" applyFill="1" applyBorder="1" applyAlignment="1">
      <alignment horizontal="center" vertical="center"/>
    </xf>
    <xf numFmtId="177" fontId="5" fillId="6" borderId="604" xfId="0" applyNumberFormat="1" applyFont="1" applyFill="1" applyBorder="1" applyAlignment="1">
      <alignment horizontal="center" vertical="center"/>
    </xf>
    <xf numFmtId="177" fontId="5" fillId="6" borderId="584" xfId="0" applyNumberFormat="1" applyFont="1" applyFill="1" applyBorder="1" applyAlignment="1">
      <alignment horizontal="center" vertical="center"/>
    </xf>
    <xf numFmtId="177" fontId="5" fillId="3" borderId="590" xfId="1" applyNumberFormat="1" applyFont="1" applyFill="1" applyBorder="1" applyAlignment="1">
      <alignment horizontal="center" vertical="center"/>
    </xf>
    <xf numFmtId="179" fontId="9" fillId="6" borderId="281" xfId="0" applyNumberFormat="1" applyFont="1" applyFill="1" applyBorder="1" applyAlignment="1">
      <alignment horizontal="center" vertical="center"/>
    </xf>
    <xf numFmtId="177" fontId="17" fillId="2" borderId="452" xfId="1" applyNumberFormat="1" applyFont="1" applyFill="1" applyBorder="1" applyAlignment="1">
      <alignment horizontal="center" vertical="center"/>
    </xf>
    <xf numFmtId="179" fontId="9" fillId="3" borderId="129" xfId="0" applyNumberFormat="1" applyFont="1" applyFill="1" applyBorder="1" applyAlignment="1">
      <alignment horizontal="center" vertical="center"/>
    </xf>
    <xf numFmtId="179" fontId="9" fillId="0" borderId="605" xfId="0" applyNumberFormat="1" applyFont="1" applyFill="1" applyBorder="1" applyAlignment="1">
      <alignment horizontal="center" vertical="center"/>
    </xf>
    <xf numFmtId="179" fontId="17" fillId="2" borderId="171" xfId="0" applyNumberFormat="1" applyFont="1" applyFill="1" applyBorder="1" applyAlignment="1">
      <alignment horizontal="center" vertical="center"/>
    </xf>
    <xf numFmtId="177" fontId="5" fillId="0" borderId="219" xfId="0" applyNumberFormat="1" applyFont="1" applyFill="1" applyBorder="1" applyAlignment="1">
      <alignment horizontal="center" vertical="center"/>
    </xf>
    <xf numFmtId="177" fontId="5" fillId="0" borderId="202" xfId="0" applyNumberFormat="1" applyFont="1" applyFill="1" applyBorder="1" applyAlignment="1">
      <alignment horizontal="center" vertical="center"/>
    </xf>
    <xf numFmtId="177" fontId="5" fillId="0" borderId="462" xfId="0" applyNumberFormat="1" applyFont="1" applyFill="1" applyBorder="1" applyAlignment="1">
      <alignment horizontal="center" vertical="center"/>
    </xf>
    <xf numFmtId="179" fontId="9" fillId="0" borderId="221" xfId="0" applyNumberFormat="1" applyFont="1" applyFill="1" applyBorder="1" applyAlignment="1">
      <alignment horizontal="center" vertical="center"/>
    </xf>
    <xf numFmtId="180" fontId="9" fillId="0" borderId="103" xfId="0" applyNumberFormat="1" applyFont="1" applyFill="1" applyBorder="1" applyAlignment="1">
      <alignment horizontal="center" vertical="center"/>
    </xf>
    <xf numFmtId="183" fontId="5" fillId="18" borderId="18" xfId="0" applyNumberFormat="1" applyFont="1" applyFill="1" applyBorder="1" applyAlignment="1">
      <alignment horizontal="center" vertical="center"/>
    </xf>
    <xf numFmtId="0" fontId="6" fillId="0" borderId="0" xfId="0" applyFont="1" applyBorder="1">
      <alignment vertical="center"/>
    </xf>
    <xf numFmtId="177" fontId="5" fillId="0" borderId="590" xfId="0" applyNumberFormat="1" applyFont="1" applyFill="1" applyBorder="1" applyAlignment="1">
      <alignment horizontal="center" vertical="center"/>
    </xf>
    <xf numFmtId="182" fontId="25" fillId="6" borderId="510" xfId="4" applyNumberFormat="1" applyFont="1" applyFill="1" applyBorder="1" applyAlignment="1" applyProtection="1">
      <alignment horizontal="center" vertical="center"/>
    </xf>
    <xf numFmtId="180" fontId="5" fillId="4" borderId="22" xfId="0" applyNumberFormat="1" applyFont="1" applyFill="1" applyBorder="1" applyAlignment="1">
      <alignment horizontal="center" vertical="center"/>
    </xf>
    <xf numFmtId="0" fontId="0" fillId="0" borderId="88" xfId="0" applyBorder="1">
      <alignment vertical="center"/>
    </xf>
    <xf numFmtId="183" fontId="62" fillId="0" borderId="0" xfId="0" applyNumberFormat="1" applyFont="1" applyFill="1" applyAlignment="1">
      <alignment horizontal="center" vertical="center"/>
    </xf>
    <xf numFmtId="180" fontId="9" fillId="22" borderId="223" xfId="0" applyNumberFormat="1" applyFont="1" applyFill="1" applyBorder="1" applyAlignment="1">
      <alignment horizontal="center" vertical="center"/>
    </xf>
    <xf numFmtId="180" fontId="9" fillId="22" borderId="572" xfId="0" applyNumberFormat="1" applyFont="1" applyFill="1" applyBorder="1" applyAlignment="1">
      <alignment horizontal="center" vertical="center"/>
    </xf>
    <xf numFmtId="180" fontId="9" fillId="22" borderId="80" xfId="0" applyNumberFormat="1" applyFont="1" applyFill="1" applyBorder="1" applyAlignment="1">
      <alignment horizontal="center" vertical="center"/>
    </xf>
    <xf numFmtId="180" fontId="9" fillId="22" borderId="354" xfId="0" applyNumberFormat="1" applyFont="1" applyFill="1" applyBorder="1" applyAlignment="1">
      <alignment horizontal="center" vertical="center"/>
    </xf>
    <xf numFmtId="180" fontId="9" fillId="22" borderId="61" xfId="0" applyNumberFormat="1" applyFont="1" applyFill="1" applyBorder="1" applyAlignment="1">
      <alignment horizontal="center" vertical="center"/>
    </xf>
    <xf numFmtId="180" fontId="9" fillId="22" borderId="356" xfId="0" applyNumberFormat="1" applyFont="1" applyFill="1" applyBorder="1" applyAlignment="1">
      <alignment horizontal="center" vertical="center"/>
    </xf>
    <xf numFmtId="182" fontId="9" fillId="22" borderId="152" xfId="0" applyNumberFormat="1" applyFont="1" applyFill="1" applyBorder="1" applyAlignment="1">
      <alignment horizontal="center" vertical="center"/>
    </xf>
    <xf numFmtId="182" fontId="9" fillId="22" borderId="559" xfId="0" applyNumberFormat="1" applyFont="1" applyFill="1" applyBorder="1" applyAlignment="1">
      <alignment horizontal="center" vertical="center"/>
    </xf>
    <xf numFmtId="182" fontId="9" fillId="22" borderId="87" xfId="2" applyNumberFormat="1" applyFont="1" applyFill="1" applyBorder="1" applyAlignment="1">
      <alignment horizontal="center" vertical="center"/>
    </xf>
    <xf numFmtId="182" fontId="9" fillId="22" borderId="160" xfId="2" applyNumberFormat="1" applyFont="1" applyFill="1" applyBorder="1" applyAlignment="1">
      <alignment horizontal="center" vertical="center"/>
    </xf>
    <xf numFmtId="189" fontId="9" fillId="22" borderId="160" xfId="2" applyNumberFormat="1" applyFont="1" applyFill="1" applyBorder="1" applyAlignment="1">
      <alignment horizontal="center" vertical="center"/>
    </xf>
    <xf numFmtId="182" fontId="9" fillId="22" borderId="457" xfId="2" applyNumberFormat="1" applyFont="1" applyFill="1" applyBorder="1" applyAlignment="1">
      <alignment horizontal="center" vertical="center"/>
    </xf>
    <xf numFmtId="177" fontId="9" fillId="22" borderId="158" xfId="0" applyNumberFormat="1" applyFont="1" applyFill="1" applyBorder="1" applyAlignment="1">
      <alignment horizontal="center" vertical="center"/>
    </xf>
    <xf numFmtId="177" fontId="9" fillId="22" borderId="159" xfId="0" applyNumberFormat="1" applyFont="1" applyFill="1" applyBorder="1" applyAlignment="1">
      <alignment horizontal="center" vertical="center"/>
    </xf>
    <xf numFmtId="177" fontId="9" fillId="22" borderId="457" xfId="0" applyNumberFormat="1" applyFont="1" applyFill="1" applyBorder="1" applyAlignment="1">
      <alignment horizontal="center" vertical="center"/>
    </xf>
    <xf numFmtId="180" fontId="9" fillId="4" borderId="76" xfId="0" applyNumberFormat="1" applyFont="1" applyFill="1" applyBorder="1" applyAlignment="1">
      <alignment horizontal="center" vertical="center"/>
    </xf>
    <xf numFmtId="0" fontId="8" fillId="0" borderId="222" xfId="0" applyFont="1" applyFill="1" applyBorder="1" applyAlignment="1">
      <alignment horizontal="center" vertical="center"/>
    </xf>
    <xf numFmtId="0" fontId="8" fillId="0" borderId="128" xfId="0" applyFont="1" applyFill="1" applyBorder="1" applyAlignment="1">
      <alignment horizontal="center" vertical="center" shrinkToFit="1"/>
    </xf>
    <xf numFmtId="0" fontId="9" fillId="0" borderId="135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80" fontId="79" fillId="0" borderId="0" xfId="3" applyNumberFormat="1" applyFont="1" applyBorder="1" applyAlignment="1">
      <alignment vertical="center"/>
    </xf>
    <xf numFmtId="180" fontId="79" fillId="0" borderId="0" xfId="2" applyNumberFormat="1" applyFont="1" applyBorder="1" applyAlignment="1">
      <alignment vertical="center"/>
    </xf>
    <xf numFmtId="0" fontId="19" fillId="0" borderId="0" xfId="0" applyFont="1">
      <alignment vertical="center"/>
    </xf>
    <xf numFmtId="180" fontId="80" fillId="0" borderId="514" xfId="0" applyNumberFormat="1" applyFont="1" applyBorder="1" applyAlignment="1">
      <alignment horizontal="center" vertical="center" shrinkToFit="1"/>
    </xf>
    <xf numFmtId="180" fontId="80" fillId="0" borderId="0" xfId="0" applyNumberFormat="1" applyFont="1" applyBorder="1" applyAlignment="1">
      <alignment horizontal="center" vertical="center" shrinkToFit="1"/>
    </xf>
    <xf numFmtId="182" fontId="37" fillId="11" borderId="512" xfId="0" applyNumberFormat="1" applyFont="1" applyFill="1" applyBorder="1" applyAlignment="1">
      <alignment horizontal="center" vertical="center"/>
    </xf>
    <xf numFmtId="182" fontId="37" fillId="0" borderId="512" xfId="0" applyNumberFormat="1" applyFont="1" applyFill="1" applyBorder="1" applyAlignment="1">
      <alignment horizontal="center" vertical="center"/>
    </xf>
    <xf numFmtId="182" fontId="37" fillId="10" borderId="512" xfId="0" applyNumberFormat="1" applyFont="1" applyFill="1" applyBorder="1" applyAlignment="1">
      <alignment horizontal="center" vertical="center"/>
    </xf>
    <xf numFmtId="182" fontId="40" fillId="10" borderId="512" xfId="0" applyNumberFormat="1" applyFont="1" applyFill="1" applyBorder="1" applyAlignment="1">
      <alignment horizontal="center" vertical="center"/>
    </xf>
    <xf numFmtId="182" fontId="37" fillId="11" borderId="512" xfId="2" applyNumberFormat="1" applyFont="1" applyFill="1" applyBorder="1" applyAlignment="1">
      <alignment horizontal="center" vertical="center"/>
    </xf>
    <xf numFmtId="182" fontId="37" fillId="0" borderId="0" xfId="0" applyNumberFormat="1" applyFont="1" applyBorder="1">
      <alignment vertical="center"/>
    </xf>
    <xf numFmtId="182" fontId="37" fillId="21" borderId="512" xfId="0" applyNumberFormat="1" applyFont="1" applyFill="1" applyBorder="1" applyAlignment="1">
      <alignment horizontal="center" vertical="center"/>
    </xf>
    <xf numFmtId="182" fontId="40" fillId="21" borderId="512" xfId="0" applyNumberFormat="1" applyFont="1" applyFill="1" applyBorder="1" applyAlignment="1">
      <alignment horizontal="center" vertical="center"/>
    </xf>
    <xf numFmtId="177" fontId="5" fillId="22" borderId="300" xfId="0" applyNumberFormat="1" applyFont="1" applyFill="1" applyBorder="1" applyAlignment="1">
      <alignment horizontal="center" vertical="center"/>
    </xf>
    <xf numFmtId="177" fontId="5" fillId="22" borderId="606" xfId="0" applyNumberFormat="1" applyFont="1" applyFill="1" applyBorder="1" applyAlignment="1">
      <alignment horizontal="center" vertical="center"/>
    </xf>
    <xf numFmtId="177" fontId="11" fillId="0" borderId="389" xfId="0" applyNumberFormat="1" applyFont="1" applyFill="1" applyBorder="1" applyAlignment="1">
      <alignment horizontal="center" vertical="center"/>
    </xf>
    <xf numFmtId="177" fontId="11" fillId="4" borderId="589" xfId="0" applyNumberFormat="1" applyFont="1" applyFill="1" applyBorder="1" applyAlignment="1">
      <alignment horizontal="center" vertical="center"/>
    </xf>
    <xf numFmtId="177" fontId="11" fillId="0" borderId="556" xfId="0" applyNumberFormat="1" applyFont="1" applyFill="1" applyBorder="1" applyAlignment="1">
      <alignment horizontal="center" vertical="center"/>
    </xf>
    <xf numFmtId="177" fontId="5" fillId="0" borderId="556" xfId="0" applyNumberFormat="1" applyFont="1" applyFill="1" applyBorder="1" applyAlignment="1">
      <alignment horizontal="center" vertical="center"/>
    </xf>
    <xf numFmtId="187" fontId="5" fillId="0" borderId="556" xfId="0" applyNumberFormat="1" applyFont="1" applyFill="1" applyBorder="1" applyAlignment="1">
      <alignment horizontal="center" vertical="center"/>
    </xf>
    <xf numFmtId="177" fontId="5" fillId="0" borderId="607" xfId="0" applyNumberFormat="1" applyFont="1" applyFill="1" applyBorder="1" applyAlignment="1">
      <alignment horizontal="center" vertical="center"/>
    </xf>
    <xf numFmtId="177" fontId="11" fillId="0" borderId="608" xfId="0" applyNumberFormat="1" applyFont="1" applyFill="1" applyBorder="1" applyAlignment="1">
      <alignment horizontal="center" vertical="center"/>
    </xf>
    <xf numFmtId="177" fontId="5" fillId="0" borderId="300" xfId="0" applyNumberFormat="1" applyFont="1" applyFill="1" applyBorder="1" applyAlignment="1">
      <alignment horizontal="center" vertical="center"/>
    </xf>
    <xf numFmtId="177" fontId="5" fillId="4" borderId="609" xfId="0" applyNumberFormat="1" applyFont="1" applyFill="1" applyBorder="1" applyAlignment="1">
      <alignment horizontal="center" vertical="center"/>
    </xf>
    <xf numFmtId="177" fontId="5" fillId="0" borderId="606" xfId="0" applyNumberFormat="1" applyFont="1" applyFill="1" applyBorder="1" applyAlignment="1">
      <alignment horizontal="center" vertical="center"/>
    </xf>
    <xf numFmtId="177" fontId="5" fillId="0" borderId="321" xfId="0" applyNumberFormat="1" applyFont="1" applyFill="1" applyBorder="1" applyAlignment="1">
      <alignment horizontal="center" vertical="center"/>
    </xf>
    <xf numFmtId="180" fontId="68" fillId="0" borderId="0" xfId="0" applyNumberFormat="1" applyFont="1" applyFill="1" applyBorder="1">
      <alignment vertical="center"/>
    </xf>
    <xf numFmtId="180" fontId="68" fillId="0" borderId="358" xfId="0" applyNumberFormat="1" applyFont="1" applyFill="1" applyBorder="1">
      <alignment vertical="center"/>
    </xf>
    <xf numFmtId="178" fontId="68" fillId="0" borderId="0" xfId="0" applyNumberFormat="1" applyFont="1" applyFill="1" applyBorder="1">
      <alignment vertical="center"/>
    </xf>
    <xf numFmtId="178" fontId="68" fillId="0" borderId="358" xfId="0" applyNumberFormat="1" applyFont="1" applyFill="1" applyBorder="1">
      <alignment vertical="center"/>
    </xf>
    <xf numFmtId="9" fontId="68" fillId="0" borderId="358" xfId="3" applyFont="1" applyFill="1" applyBorder="1">
      <alignment vertical="center"/>
    </xf>
    <xf numFmtId="41" fontId="51" fillId="0" borderId="0" xfId="2" applyFont="1" applyFill="1" applyBorder="1">
      <alignment vertical="center"/>
    </xf>
    <xf numFmtId="41" fontId="51" fillId="0" borderId="358" xfId="2" applyFont="1" applyFill="1" applyBorder="1">
      <alignment vertical="center"/>
    </xf>
    <xf numFmtId="182" fontId="9" fillId="0" borderId="152" xfId="0" applyNumberFormat="1" applyFont="1" applyFill="1" applyBorder="1" applyAlignment="1">
      <alignment horizontal="center" vertical="center"/>
    </xf>
    <xf numFmtId="182" fontId="9" fillId="0" borderId="559" xfId="0" applyNumberFormat="1" applyFont="1" applyFill="1" applyBorder="1" applyAlignment="1">
      <alignment horizontal="center" vertical="center"/>
    </xf>
    <xf numFmtId="9" fontId="44" fillId="12" borderId="0" xfId="3" applyFont="1" applyFill="1" applyAlignment="1">
      <alignment horizontal="center" vertical="center"/>
    </xf>
    <xf numFmtId="179" fontId="32" fillId="0" borderId="613" xfId="2" applyNumberFormat="1" applyFont="1" applyFill="1" applyBorder="1" applyAlignment="1">
      <alignment horizontal="center" vertical="center"/>
    </xf>
    <xf numFmtId="179" fontId="32" fillId="0" borderId="614" xfId="2" applyNumberFormat="1" applyFont="1" applyFill="1" applyBorder="1" applyAlignment="1">
      <alignment horizontal="center" vertical="center"/>
    </xf>
    <xf numFmtId="179" fontId="32" fillId="0" borderId="615" xfId="2" applyNumberFormat="1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 shrinkToFit="1"/>
    </xf>
    <xf numFmtId="0" fontId="32" fillId="0" borderId="308" xfId="0" applyFont="1" applyFill="1" applyBorder="1" applyAlignment="1">
      <alignment horizontal="center" vertical="center"/>
    </xf>
    <xf numFmtId="0" fontId="32" fillId="0" borderId="313" xfId="0" applyFont="1" applyFill="1" applyBorder="1" applyAlignment="1">
      <alignment horizontal="center" vertical="center"/>
    </xf>
    <xf numFmtId="41" fontId="8" fillId="0" borderId="51" xfId="2" applyFont="1" applyFill="1" applyBorder="1">
      <alignment vertical="center"/>
    </xf>
    <xf numFmtId="41" fontId="8" fillId="0" borderId="50" xfId="2" applyFont="1" applyFill="1" applyBorder="1">
      <alignment vertical="center"/>
    </xf>
    <xf numFmtId="182" fontId="8" fillId="0" borderId="108" xfId="2" applyNumberFormat="1" applyFont="1" applyFill="1" applyBorder="1">
      <alignment vertical="center"/>
    </xf>
    <xf numFmtId="41" fontId="62" fillId="0" borderId="0" xfId="2" applyFont="1" applyFill="1">
      <alignment vertical="center"/>
    </xf>
    <xf numFmtId="193" fontId="81" fillId="0" borderId="0" xfId="0" applyNumberFormat="1" applyFont="1" applyAlignment="1">
      <alignment vertical="center" shrinkToFit="1"/>
    </xf>
    <xf numFmtId="193" fontId="81" fillId="0" borderId="0" xfId="0" applyNumberFormat="1" applyFont="1">
      <alignment vertical="center"/>
    </xf>
    <xf numFmtId="41" fontId="81" fillId="0" borderId="0" xfId="2" applyFont="1" applyFill="1" applyAlignment="1">
      <alignment vertical="center" shrinkToFit="1"/>
    </xf>
    <xf numFmtId="41" fontId="8" fillId="0" borderId="51" xfId="0" applyNumberFormat="1" applyFont="1" applyBorder="1">
      <alignment vertical="center"/>
    </xf>
    <xf numFmtId="41" fontId="8" fillId="4" borderId="140" xfId="2" applyFont="1" applyFill="1" applyBorder="1">
      <alignment vertical="center"/>
    </xf>
    <xf numFmtId="41" fontId="8" fillId="0" borderId="54" xfId="0" applyNumberFormat="1" applyFont="1" applyBorder="1">
      <alignment vertical="center"/>
    </xf>
    <xf numFmtId="180" fontId="8" fillId="0" borderId="51" xfId="0" applyNumberFormat="1" applyFont="1" applyBorder="1">
      <alignment vertical="center"/>
    </xf>
    <xf numFmtId="180" fontId="8" fillId="0" borderId="50" xfId="0" applyNumberFormat="1" applyFont="1" applyBorder="1">
      <alignment vertical="center"/>
    </xf>
    <xf numFmtId="180" fontId="8" fillId="4" borderId="616" xfId="0" applyNumberFormat="1" applyFont="1" applyFill="1" applyBorder="1">
      <alignment vertical="center"/>
    </xf>
    <xf numFmtId="180" fontId="8" fillId="0" borderId="617" xfId="0" applyNumberFormat="1" applyFont="1" applyBorder="1">
      <alignment vertical="center"/>
    </xf>
    <xf numFmtId="180" fontId="8" fillId="4" borderId="142" xfId="0" applyNumberFormat="1" applyFont="1" applyFill="1" applyBorder="1">
      <alignment vertical="center"/>
    </xf>
    <xf numFmtId="9" fontId="8" fillId="0" borderId="108" xfId="3" applyFont="1" applyFill="1" applyBorder="1">
      <alignment vertical="center"/>
    </xf>
    <xf numFmtId="180" fontId="8" fillId="0" borderId="108" xfId="0" applyNumberFormat="1" applyFont="1" applyBorder="1">
      <alignment vertical="center"/>
    </xf>
    <xf numFmtId="189" fontId="8" fillId="0" borderId="110" xfId="0" applyNumberFormat="1" applyFont="1" applyBorder="1">
      <alignment vertical="center"/>
    </xf>
    <xf numFmtId="9" fontId="8" fillId="0" borderId="116" xfId="3" applyFont="1" applyFill="1" applyBorder="1">
      <alignment vertical="center"/>
    </xf>
    <xf numFmtId="182" fontId="8" fillId="4" borderId="141" xfId="0" applyNumberFormat="1" applyFont="1" applyFill="1" applyBorder="1">
      <alignment vertical="center"/>
    </xf>
    <xf numFmtId="182" fontId="8" fillId="4" borderId="140" xfId="0" applyNumberFormat="1" applyFont="1" applyFill="1" applyBorder="1">
      <alignment vertical="center"/>
    </xf>
    <xf numFmtId="182" fontId="8" fillId="4" borderId="148" xfId="0" applyNumberFormat="1" applyFont="1" applyFill="1" applyBorder="1">
      <alignment vertical="center"/>
    </xf>
    <xf numFmtId="186" fontId="8" fillId="0" borderId="53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41" fontId="9" fillId="0" borderId="77" xfId="2" applyFont="1" applyFill="1" applyBorder="1">
      <alignment vertical="center"/>
    </xf>
    <xf numFmtId="41" fontId="9" fillId="0" borderId="79" xfId="2" applyFont="1" applyFill="1" applyBorder="1">
      <alignment vertical="center"/>
    </xf>
    <xf numFmtId="41" fontId="9" fillId="0" borderId="76" xfId="2" applyFont="1" applyFill="1" applyBorder="1">
      <alignment vertical="center"/>
    </xf>
    <xf numFmtId="41" fontId="9" fillId="0" borderId="57" xfId="2" applyFont="1" applyFill="1" applyBorder="1">
      <alignment vertical="center"/>
    </xf>
    <xf numFmtId="41" fontId="9" fillId="0" borderId="60" xfId="2" applyFont="1" applyFill="1" applyBorder="1">
      <alignment vertical="center"/>
    </xf>
    <xf numFmtId="41" fontId="1" fillId="0" borderId="76" xfId="0" applyNumberFormat="1" applyFont="1" applyFill="1" applyBorder="1">
      <alignment vertical="center"/>
    </xf>
    <xf numFmtId="41" fontId="1" fillId="0" borderId="80" xfId="0" applyNumberFormat="1" applyFont="1" applyFill="1" applyBorder="1">
      <alignment vertical="center"/>
    </xf>
    <xf numFmtId="41" fontId="1" fillId="0" borderId="80" xfId="2" applyFont="1" applyFill="1" applyBorder="1">
      <alignment vertical="center"/>
    </xf>
    <xf numFmtId="41" fontId="0" fillId="0" borderId="80" xfId="2" applyFont="1" applyFill="1" applyBorder="1">
      <alignment vertical="center"/>
    </xf>
    <xf numFmtId="41" fontId="0" fillId="0" borderId="354" xfId="2" applyFont="1" applyFill="1" applyBorder="1">
      <alignment vertical="center"/>
    </xf>
    <xf numFmtId="191" fontId="1" fillId="0" borderId="80" xfId="2" applyNumberFormat="1" applyFont="1" applyFill="1" applyBorder="1">
      <alignment vertical="center"/>
    </xf>
    <xf numFmtId="182" fontId="9" fillId="0" borderId="77" xfId="2" applyNumberFormat="1" applyFont="1" applyFill="1" applyBorder="1">
      <alignment vertical="center"/>
    </xf>
    <xf numFmtId="182" fontId="9" fillId="0" borderId="79" xfId="2" applyNumberFormat="1" applyFont="1" applyFill="1" applyBorder="1">
      <alignment vertical="center"/>
    </xf>
    <xf numFmtId="9" fontId="9" fillId="0" borderId="60" xfId="3" applyFont="1" applyFill="1" applyBorder="1">
      <alignment vertical="center"/>
    </xf>
    <xf numFmtId="9" fontId="9" fillId="0" borderId="61" xfId="3" applyFont="1" applyFill="1" applyBorder="1">
      <alignment vertical="center"/>
    </xf>
    <xf numFmtId="41" fontId="8" fillId="6" borderId="560" xfId="0" applyNumberFormat="1" applyFont="1" applyFill="1" applyBorder="1">
      <alignment vertical="center"/>
    </xf>
    <xf numFmtId="41" fontId="8" fillId="6" borderId="561" xfId="0" applyNumberFormat="1" applyFont="1" applyFill="1" applyBorder="1">
      <alignment vertical="center"/>
    </xf>
    <xf numFmtId="41" fontId="8" fillId="6" borderId="561" xfId="2" applyFont="1" applyFill="1" applyBorder="1">
      <alignment vertical="center"/>
    </xf>
    <xf numFmtId="41" fontId="8" fillId="6" borderId="562" xfId="0" applyNumberFormat="1" applyFont="1" applyFill="1" applyBorder="1">
      <alignment vertical="center"/>
    </xf>
    <xf numFmtId="180" fontId="8" fillId="6" borderId="562" xfId="0" applyNumberFormat="1" applyFont="1" applyFill="1" applyBorder="1">
      <alignment vertical="center"/>
    </xf>
    <xf numFmtId="180" fontId="8" fillId="6" borderId="561" xfId="0" applyNumberFormat="1" applyFont="1" applyFill="1" applyBorder="1">
      <alignment vertical="center"/>
    </xf>
    <xf numFmtId="180" fontId="8" fillId="6" borderId="563" xfId="0" applyNumberFormat="1" applyFont="1" applyFill="1" applyBorder="1">
      <alignment vertical="center"/>
    </xf>
    <xf numFmtId="178" fontId="8" fillId="6" borderId="564" xfId="0" applyNumberFormat="1" applyFont="1" applyFill="1" applyBorder="1">
      <alignment vertical="center"/>
    </xf>
    <xf numFmtId="189" fontId="8" fillId="6" borderId="561" xfId="0" applyNumberFormat="1" applyFont="1" applyFill="1" applyBorder="1">
      <alignment vertical="center"/>
    </xf>
    <xf numFmtId="180" fontId="8" fillId="6" borderId="565" xfId="0" applyNumberFormat="1" applyFont="1" applyFill="1" applyBorder="1">
      <alignment vertical="center"/>
    </xf>
    <xf numFmtId="182" fontId="8" fillId="6" borderId="566" xfId="0" applyNumberFormat="1" applyFont="1" applyFill="1" applyBorder="1">
      <alignment vertical="center"/>
    </xf>
    <xf numFmtId="182" fontId="8" fillId="6" borderId="568" xfId="2" applyNumberFormat="1" applyFont="1" applyFill="1" applyBorder="1">
      <alignment vertical="center"/>
    </xf>
    <xf numFmtId="197" fontId="8" fillId="6" borderId="51" xfId="0" applyNumberFormat="1" applyFont="1" applyFill="1" applyBorder="1">
      <alignment vertical="center"/>
    </xf>
    <xf numFmtId="41" fontId="8" fillId="6" borderId="569" xfId="0" applyNumberFormat="1" applyFont="1" applyFill="1" applyBorder="1">
      <alignment vertical="center"/>
    </xf>
    <xf numFmtId="182" fontId="8" fillId="6" borderId="51" xfId="0" applyNumberFormat="1" applyFont="1" applyFill="1" applyBorder="1">
      <alignment vertical="center"/>
    </xf>
    <xf numFmtId="182" fontId="8" fillId="6" borderId="108" xfId="2" applyNumberFormat="1" applyFont="1" applyFill="1" applyBorder="1">
      <alignment vertical="center"/>
    </xf>
    <xf numFmtId="41" fontId="9" fillId="6" borderId="347" xfId="2" applyFont="1" applyFill="1" applyBorder="1">
      <alignment vertical="center"/>
    </xf>
    <xf numFmtId="41" fontId="9" fillId="6" borderId="348" xfId="2" applyFont="1" applyFill="1" applyBorder="1">
      <alignment vertical="center"/>
    </xf>
    <xf numFmtId="41" fontId="9" fillId="6" borderId="574" xfId="2" applyFont="1" applyFill="1" applyBorder="1">
      <alignment vertical="center"/>
    </xf>
    <xf numFmtId="41" fontId="9" fillId="6" borderId="77" xfId="2" applyFont="1" applyFill="1" applyBorder="1">
      <alignment vertical="center"/>
    </xf>
    <xf numFmtId="41" fontId="9" fillId="6" borderId="353" xfId="2" applyFont="1" applyFill="1" applyBorder="1">
      <alignment vertical="center"/>
    </xf>
    <xf numFmtId="41" fontId="9" fillId="6" borderId="76" xfId="2" applyFont="1" applyFill="1" applyBorder="1">
      <alignment vertical="center"/>
    </xf>
    <xf numFmtId="41" fontId="9" fillId="6" borderId="354" xfId="2" applyFont="1" applyFill="1" applyBorder="1">
      <alignment vertical="center"/>
    </xf>
    <xf numFmtId="41" fontId="9" fillId="6" borderId="57" xfId="2" applyFont="1" applyFill="1" applyBorder="1">
      <alignment vertical="center"/>
    </xf>
    <xf numFmtId="41" fontId="9" fillId="6" borderId="355" xfId="2" applyFont="1" applyFill="1" applyBorder="1">
      <alignment vertical="center"/>
    </xf>
    <xf numFmtId="41" fontId="9" fillId="6" borderId="60" xfId="2" applyFont="1" applyFill="1" applyBorder="1">
      <alignment vertical="center"/>
    </xf>
    <xf numFmtId="41" fontId="9" fillId="6" borderId="356" xfId="2" applyFont="1" applyFill="1" applyBorder="1">
      <alignment vertical="center"/>
    </xf>
    <xf numFmtId="182" fontId="9" fillId="6" borderId="77" xfId="2" applyNumberFormat="1" applyFont="1" applyFill="1" applyBorder="1">
      <alignment vertical="center"/>
    </xf>
    <xf numFmtId="182" fontId="9" fillId="6" borderId="79" xfId="2" applyNumberFormat="1" applyFont="1" applyFill="1" applyBorder="1">
      <alignment vertical="center"/>
    </xf>
    <xf numFmtId="182" fontId="9" fillId="6" borderId="353" xfId="2" applyNumberFormat="1" applyFont="1" applyFill="1" applyBorder="1">
      <alignment vertical="center"/>
    </xf>
    <xf numFmtId="182" fontId="9" fillId="6" borderId="60" xfId="2" applyNumberFormat="1" applyFont="1" applyFill="1" applyBorder="1">
      <alignment vertical="center"/>
    </xf>
    <xf numFmtId="182" fontId="9" fillId="6" borderId="61" xfId="2" applyNumberFormat="1" applyFont="1" applyFill="1" applyBorder="1">
      <alignment vertical="center"/>
    </xf>
    <xf numFmtId="182" fontId="9" fillId="6" borderId="356" xfId="2" applyNumberFormat="1" applyFont="1" applyFill="1" applyBorder="1">
      <alignment vertical="center"/>
    </xf>
    <xf numFmtId="177" fontId="9" fillId="6" borderId="80" xfId="2" applyNumberFormat="1" applyFont="1" applyFill="1" applyBorder="1">
      <alignment vertical="center"/>
    </xf>
    <xf numFmtId="177" fontId="9" fillId="6" borderId="354" xfId="2" applyNumberFormat="1" applyFont="1" applyFill="1" applyBorder="1">
      <alignment vertical="center"/>
    </xf>
    <xf numFmtId="177" fontId="9" fillId="6" borderId="76" xfId="2" applyNumberFormat="1" applyFont="1" applyFill="1" applyBorder="1">
      <alignment vertical="center"/>
    </xf>
    <xf numFmtId="0" fontId="84" fillId="0" borderId="0" xfId="0" applyFont="1">
      <alignment vertical="center"/>
    </xf>
    <xf numFmtId="191" fontId="84" fillId="0" borderId="0" xfId="2" applyNumberFormat="1" applyFont="1" applyBorder="1" applyAlignment="1">
      <alignment horizontal="center" vertical="center"/>
    </xf>
    <xf numFmtId="43" fontId="19" fillId="0" borderId="0" xfId="0" applyNumberFormat="1" applyFont="1">
      <alignment vertical="center"/>
    </xf>
    <xf numFmtId="191" fontId="0" fillId="0" borderId="80" xfId="2" applyNumberFormat="1" applyFont="1" applyFill="1" applyBorder="1">
      <alignment vertical="center"/>
    </xf>
    <xf numFmtId="41" fontId="0" fillId="0" borderId="76" xfId="0" applyNumberFormat="1" applyFill="1" applyBorder="1">
      <alignment vertical="center"/>
    </xf>
    <xf numFmtId="41" fontId="0" fillId="0" borderId="80" xfId="0" applyNumberFormat="1" applyFill="1" applyBorder="1">
      <alignment vertical="center"/>
    </xf>
    <xf numFmtId="41" fontId="8" fillId="0" borderId="81" xfId="2" applyFont="1" applyFill="1" applyBorder="1">
      <alignment vertical="center"/>
    </xf>
    <xf numFmtId="41" fontId="1" fillId="0" borderId="84" xfId="2" applyFont="1" applyFill="1" applyBorder="1">
      <alignment vertical="center"/>
    </xf>
    <xf numFmtId="182" fontId="9" fillId="0" borderId="81" xfId="2" applyNumberFormat="1" applyFont="1" applyFill="1" applyBorder="1">
      <alignment vertical="center"/>
    </xf>
    <xf numFmtId="182" fontId="9" fillId="0" borderId="83" xfId="2" applyNumberFormat="1" applyFont="1" applyFill="1" applyBorder="1">
      <alignment vertical="center"/>
    </xf>
    <xf numFmtId="182" fontId="9" fillId="3" borderId="81" xfId="2" applyNumberFormat="1" applyFont="1" applyFill="1" applyBorder="1">
      <alignment vertical="center"/>
    </xf>
    <xf numFmtId="9" fontId="62" fillId="0" borderId="0" xfId="3" applyFont="1" applyFill="1">
      <alignment vertical="center"/>
    </xf>
    <xf numFmtId="41" fontId="8" fillId="3" borderId="618" xfId="0" applyNumberFormat="1" applyFont="1" applyFill="1" applyBorder="1">
      <alignment vertical="center"/>
    </xf>
    <xf numFmtId="41" fontId="8" fillId="0" borderId="71" xfId="0" applyNumberFormat="1" applyFont="1" applyBorder="1">
      <alignment vertical="center"/>
    </xf>
    <xf numFmtId="180" fontId="8" fillId="0" borderId="619" xfId="0" applyNumberFormat="1" applyFont="1" applyBorder="1">
      <alignment vertical="center"/>
    </xf>
    <xf numFmtId="180" fontId="8" fillId="0" borderId="620" xfId="0" applyNumberFormat="1" applyFont="1" applyBorder="1">
      <alignment vertical="center"/>
    </xf>
    <xf numFmtId="189" fontId="8" fillId="0" borderId="111" xfId="0" applyNumberFormat="1" applyFont="1" applyBorder="1">
      <alignment vertical="center"/>
    </xf>
    <xf numFmtId="204" fontId="83" fillId="0" borderId="0" xfId="0" applyNumberFormat="1" applyFont="1" applyBorder="1" applyAlignment="1">
      <alignment horizontal="center" vertical="center"/>
    </xf>
    <xf numFmtId="179" fontId="32" fillId="0" borderId="317" xfId="2" applyNumberFormat="1" applyFont="1" applyFill="1" applyBorder="1" applyAlignment="1">
      <alignment horizontal="center" vertical="center"/>
    </xf>
    <xf numFmtId="179" fontId="32" fillId="0" borderId="311" xfId="2" applyNumberFormat="1" applyFont="1" applyFill="1" applyBorder="1" applyAlignment="1">
      <alignment horizontal="center" vertical="center"/>
    </xf>
    <xf numFmtId="179" fontId="32" fillId="0" borderId="318" xfId="2" applyNumberFormat="1" applyFont="1" applyFill="1" applyBorder="1" applyAlignment="1">
      <alignment horizontal="center" vertical="center"/>
    </xf>
    <xf numFmtId="182" fontId="9" fillId="22" borderId="89" xfId="2" applyNumberFormat="1" applyFont="1" applyFill="1" applyBorder="1">
      <alignment vertical="center"/>
    </xf>
    <xf numFmtId="41" fontId="9" fillId="22" borderId="88" xfId="2" applyFont="1" applyFill="1" applyBorder="1">
      <alignment vertical="center"/>
    </xf>
    <xf numFmtId="41" fontId="15" fillId="0" borderId="0" xfId="0" applyNumberFormat="1" applyFont="1" applyAlignment="1">
      <alignment horizontal="center" vertical="center"/>
    </xf>
    <xf numFmtId="9" fontId="15" fillId="0" borderId="0" xfId="0" applyNumberFormat="1" applyFont="1" applyAlignment="1">
      <alignment horizontal="center" vertical="center"/>
    </xf>
    <xf numFmtId="41" fontId="9" fillId="3" borderId="88" xfId="2" applyFont="1" applyFill="1" applyBorder="1" applyAlignment="1">
      <alignment vertical="center" shrinkToFit="1"/>
    </xf>
    <xf numFmtId="41" fontId="9" fillId="0" borderId="88" xfId="2" applyFont="1" applyFill="1" applyBorder="1" applyAlignment="1">
      <alignment vertical="center" shrinkToFit="1"/>
    </xf>
    <xf numFmtId="41" fontId="9" fillId="0" borderId="0" xfId="2" applyFont="1" applyFill="1" applyBorder="1" applyAlignment="1">
      <alignment vertical="center" shrinkToFit="1"/>
    </xf>
    <xf numFmtId="41" fontId="9" fillId="3" borderId="87" xfId="2" applyFont="1" applyFill="1" applyBorder="1" applyAlignment="1">
      <alignment vertical="center" shrinkToFit="1"/>
    </xf>
    <xf numFmtId="41" fontId="9" fillId="3" borderId="282" xfId="2" applyFont="1" applyFill="1" applyBorder="1" applyAlignment="1">
      <alignment vertical="center" shrinkToFit="1"/>
    </xf>
    <xf numFmtId="41" fontId="9" fillId="0" borderId="89" xfId="2" applyFont="1" applyFill="1" applyBorder="1" applyAlignment="1">
      <alignment vertical="center" shrinkToFit="1"/>
    </xf>
    <xf numFmtId="182" fontId="20" fillId="0" borderId="395" xfId="0" applyNumberFormat="1" applyFont="1" applyBorder="1" applyAlignment="1">
      <alignment horizontal="center" vertical="center" shrinkToFit="1"/>
    </xf>
    <xf numFmtId="182" fontId="15" fillId="0" borderId="394" xfId="0" applyNumberFormat="1" applyFont="1" applyBorder="1" applyAlignment="1">
      <alignment horizontal="center" vertical="center" shrinkToFit="1"/>
    </xf>
    <xf numFmtId="182" fontId="82" fillId="0" borderId="395" xfId="0" applyNumberFormat="1" applyFont="1" applyBorder="1" applyAlignment="1">
      <alignment horizontal="center" vertical="center" shrinkToFit="1"/>
    </xf>
    <xf numFmtId="182" fontId="15" fillId="0" borderId="396" xfId="0" applyNumberFormat="1" applyFont="1" applyBorder="1" applyAlignment="1">
      <alignment horizontal="center" vertical="center" shrinkToFit="1"/>
    </xf>
    <xf numFmtId="182" fontId="15" fillId="0" borderId="395" xfId="0" applyNumberFormat="1" applyFont="1" applyBorder="1" applyAlignment="1">
      <alignment horizontal="center" vertical="center" shrinkToFit="1"/>
    </xf>
    <xf numFmtId="182" fontId="20" fillId="18" borderId="324" xfId="2" applyNumberFormat="1" applyFont="1" applyFill="1" applyBorder="1" applyAlignment="1">
      <alignment horizontal="center" vertical="center" shrinkToFit="1"/>
    </xf>
    <xf numFmtId="182" fontId="20" fillId="0" borderId="0" xfId="0" applyNumberFormat="1" applyFont="1" applyBorder="1" applyAlignment="1">
      <alignment horizontal="center" vertical="center" shrinkToFit="1"/>
    </xf>
    <xf numFmtId="182" fontId="15" fillId="0" borderId="0" xfId="0" applyNumberFormat="1" applyFont="1" applyBorder="1" applyAlignment="1">
      <alignment horizontal="center" vertical="center" shrinkToFit="1"/>
    </xf>
    <xf numFmtId="182" fontId="82" fillId="0" borderId="0" xfId="0" applyNumberFormat="1" applyFont="1" applyBorder="1" applyAlignment="1">
      <alignment horizontal="center" vertical="center" shrinkToFit="1"/>
    </xf>
    <xf numFmtId="41" fontId="8" fillId="0" borderId="80" xfId="2" applyFont="1" applyFill="1" applyBorder="1" applyAlignment="1">
      <alignment horizontal="center" vertical="center"/>
    </xf>
    <xf numFmtId="41" fontId="8" fillId="3" borderId="353" xfId="2" applyFont="1" applyFill="1" applyBorder="1" applyAlignment="1">
      <alignment horizontal="center" vertical="center"/>
    </xf>
    <xf numFmtId="180" fontId="8" fillId="3" borderId="79" xfId="2" applyNumberFormat="1" applyFont="1" applyFill="1" applyBorder="1" applyAlignment="1">
      <alignment horizontal="right" vertical="center"/>
    </xf>
    <xf numFmtId="41" fontId="8" fillId="22" borderId="80" xfId="2" applyFont="1" applyFill="1" applyBorder="1" applyAlignment="1">
      <alignment horizontal="center" vertical="center"/>
    </xf>
    <xf numFmtId="41" fontId="8" fillId="22" borderId="354" xfId="2" applyFont="1" applyFill="1" applyBorder="1" applyAlignment="1">
      <alignment horizontal="center" vertical="center"/>
    </xf>
    <xf numFmtId="180" fontId="8" fillId="22" borderId="80" xfId="2" applyNumberFormat="1" applyFont="1" applyFill="1" applyBorder="1" applyAlignment="1">
      <alignment horizontal="right" vertical="center"/>
    </xf>
    <xf numFmtId="197" fontId="8" fillId="22" borderId="80" xfId="2" applyNumberFormat="1" applyFont="1" applyFill="1" applyBorder="1" applyAlignment="1">
      <alignment horizontal="center" vertical="center"/>
    </xf>
    <xf numFmtId="197" fontId="8" fillId="22" borderId="58" xfId="2" applyNumberFormat="1" applyFont="1" applyFill="1" applyBorder="1" applyAlignment="1">
      <alignment horizontal="center" vertical="center"/>
    </xf>
    <xf numFmtId="197" fontId="8" fillId="22" borderId="355" xfId="2" applyNumberFormat="1" applyFont="1" applyFill="1" applyBorder="1" applyAlignment="1">
      <alignment horizontal="center" vertical="center"/>
    </xf>
    <xf numFmtId="41" fontId="8" fillId="22" borderId="61" xfId="2" applyFont="1" applyFill="1" applyBorder="1" applyAlignment="1">
      <alignment horizontal="center" vertical="center"/>
    </xf>
    <xf numFmtId="41" fontId="8" fillId="22" borderId="356" xfId="2" applyFont="1" applyFill="1" applyBorder="1" applyAlignment="1">
      <alignment horizontal="center" vertical="center"/>
    </xf>
    <xf numFmtId="41" fontId="8" fillId="22" borderId="58" xfId="2" applyFont="1" applyFill="1" applyBorder="1" applyAlignment="1">
      <alignment horizontal="center" vertical="center"/>
    </xf>
    <xf numFmtId="41" fontId="8" fillId="22" borderId="355" xfId="2" applyFont="1" applyFill="1" applyBorder="1" applyAlignment="1">
      <alignment horizontal="center" vertical="center"/>
    </xf>
    <xf numFmtId="41" fontId="8" fillId="22" borderId="79" xfId="2" applyFont="1" applyFill="1" applyBorder="1" applyAlignment="1">
      <alignment horizontal="center" vertical="center"/>
    </xf>
    <xf numFmtId="41" fontId="8" fillId="22" borderId="353" xfId="2" applyFont="1" applyFill="1" applyBorder="1" applyAlignment="1">
      <alignment horizontal="center" vertical="center"/>
    </xf>
    <xf numFmtId="197" fontId="8" fillId="22" borderId="84" xfId="2" applyNumberFormat="1" applyFont="1" applyFill="1" applyBorder="1" applyAlignment="1">
      <alignment horizontal="center" vertical="center"/>
    </xf>
    <xf numFmtId="197" fontId="8" fillId="22" borderId="354" xfId="2" applyNumberFormat="1" applyFont="1" applyFill="1" applyBorder="1" applyAlignment="1">
      <alignment horizontal="center" vertical="center"/>
    </xf>
    <xf numFmtId="41" fontId="8" fillId="3" borderId="236" xfId="2" applyFont="1" applyFill="1" applyBorder="1" applyAlignment="1">
      <alignment horizontal="center" vertical="center"/>
    </xf>
    <xf numFmtId="41" fontId="8" fillId="0" borderId="61" xfId="2" applyFont="1" applyFill="1" applyBorder="1" applyAlignment="1">
      <alignment horizontal="center" vertical="center"/>
    </xf>
    <xf numFmtId="41" fontId="8" fillId="0" borderId="58" xfId="2" applyFont="1" applyFill="1" applyBorder="1" applyAlignment="1">
      <alignment horizontal="center" vertical="center"/>
    </xf>
    <xf numFmtId="180" fontId="19" fillId="0" borderId="0" xfId="0" applyNumberFormat="1" applyFont="1" applyAlignment="1">
      <alignment horizontal="center" vertical="center"/>
    </xf>
    <xf numFmtId="183" fontId="53" fillId="0" borderId="0" xfId="3" applyNumberFormat="1" applyFont="1" applyFill="1" applyBorder="1" applyAlignment="1">
      <alignment horizontal="center" vertical="center"/>
    </xf>
    <xf numFmtId="179" fontId="32" fillId="23" borderId="314" xfId="2" applyNumberFormat="1" applyFont="1" applyFill="1" applyBorder="1" applyAlignment="1">
      <alignment horizontal="center" vertical="center"/>
    </xf>
    <xf numFmtId="179" fontId="32" fillId="23" borderId="315" xfId="2" applyNumberFormat="1" applyFont="1" applyFill="1" applyBorder="1" applyAlignment="1">
      <alignment horizontal="center" vertical="center"/>
    </xf>
    <xf numFmtId="179" fontId="32" fillId="23" borderId="305" xfId="2" applyNumberFormat="1" applyFont="1" applyFill="1" applyBorder="1" applyAlignment="1">
      <alignment horizontal="center" vertical="center"/>
    </xf>
    <xf numFmtId="41" fontId="28" fillId="7" borderId="35" xfId="2" applyFont="1" applyFill="1" applyBorder="1">
      <alignment vertical="center"/>
    </xf>
    <xf numFmtId="41" fontId="9" fillId="5" borderId="623" xfId="2" applyFont="1" applyFill="1" applyBorder="1">
      <alignment vertical="center"/>
    </xf>
    <xf numFmtId="41" fontId="28" fillId="7" borderId="624" xfId="2" applyFont="1" applyFill="1" applyBorder="1">
      <alignment vertical="center"/>
    </xf>
    <xf numFmtId="41" fontId="28" fillId="7" borderId="43" xfId="2" applyFont="1" applyFill="1" applyBorder="1">
      <alignment vertical="center"/>
    </xf>
    <xf numFmtId="41" fontId="9" fillId="5" borderId="626" xfId="2" applyFont="1" applyFill="1" applyBorder="1">
      <alignment vertical="center"/>
    </xf>
    <xf numFmtId="41" fontId="28" fillId="7" borderId="64" xfId="2" applyFont="1" applyFill="1" applyBorder="1">
      <alignment vertical="center"/>
    </xf>
    <xf numFmtId="182" fontId="85" fillId="0" borderId="0" xfId="2" applyNumberFormat="1" applyFont="1" applyFill="1" applyBorder="1">
      <alignment vertical="center"/>
    </xf>
    <xf numFmtId="41" fontId="8" fillId="22" borderId="81" xfId="2" applyFont="1" applyFill="1" applyBorder="1" applyAlignment="1">
      <alignment horizontal="center" vertical="center"/>
    </xf>
    <xf numFmtId="182" fontId="9" fillId="22" borderId="247" xfId="2" applyNumberFormat="1" applyFont="1" applyFill="1" applyBorder="1">
      <alignment vertical="center"/>
    </xf>
    <xf numFmtId="41" fontId="9" fillId="22" borderId="37" xfId="2" applyFont="1" applyFill="1" applyBorder="1">
      <alignment vertical="center"/>
    </xf>
    <xf numFmtId="182" fontId="9" fillId="22" borderId="249" xfId="2" applyNumberFormat="1" applyFont="1" applyFill="1" applyBorder="1">
      <alignment vertical="center"/>
    </xf>
    <xf numFmtId="182" fontId="9" fillId="22" borderId="32" xfId="2" applyNumberFormat="1" applyFont="1" applyFill="1" applyBorder="1">
      <alignment vertical="center"/>
    </xf>
    <xf numFmtId="182" fontId="9" fillId="22" borderId="19" xfId="2" applyNumberFormat="1" applyFont="1" applyFill="1" applyBorder="1">
      <alignment vertical="center"/>
    </xf>
    <xf numFmtId="182" fontId="9" fillId="22" borderId="248" xfId="2" applyNumberFormat="1" applyFont="1" applyFill="1" applyBorder="1">
      <alignment vertical="center"/>
    </xf>
    <xf numFmtId="177" fontId="9" fillId="22" borderId="0" xfId="2" applyNumberFormat="1" applyFont="1" applyFill="1" applyBorder="1">
      <alignment vertical="center"/>
    </xf>
    <xf numFmtId="9" fontId="9" fillId="22" borderId="19" xfId="3" applyFont="1" applyFill="1" applyBorder="1">
      <alignment vertical="center"/>
    </xf>
    <xf numFmtId="41" fontId="9" fillId="22" borderId="32" xfId="2" applyFont="1" applyFill="1" applyBorder="1">
      <alignment vertical="center"/>
    </xf>
    <xf numFmtId="41" fontId="9" fillId="22" borderId="346" xfId="2" applyFont="1" applyFill="1" applyBorder="1">
      <alignment vertical="center"/>
    </xf>
    <xf numFmtId="9" fontId="9" fillId="22" borderId="127" xfId="3" applyFont="1" applyFill="1" applyBorder="1">
      <alignment vertical="center"/>
    </xf>
    <xf numFmtId="41" fontId="9" fillId="22" borderId="77" xfId="2" applyFont="1" applyFill="1" applyBorder="1">
      <alignment vertical="center"/>
    </xf>
    <xf numFmtId="41" fontId="9" fillId="22" borderId="79" xfId="2" applyFont="1" applyFill="1" applyBorder="1">
      <alignment vertical="center"/>
    </xf>
    <xf numFmtId="41" fontId="9" fillId="22" borderId="353" xfId="2" applyFont="1" applyFill="1" applyBorder="1">
      <alignment vertical="center"/>
    </xf>
    <xf numFmtId="9" fontId="9" fillId="22" borderId="60" xfId="3" applyFont="1" applyFill="1" applyBorder="1">
      <alignment vertical="center"/>
    </xf>
    <xf numFmtId="9" fontId="9" fillId="22" borderId="61" xfId="3" applyFont="1" applyFill="1" applyBorder="1">
      <alignment vertical="center"/>
    </xf>
    <xf numFmtId="9" fontId="9" fillId="22" borderId="356" xfId="3" applyFont="1" applyFill="1" applyBorder="1">
      <alignment vertical="center"/>
    </xf>
    <xf numFmtId="9" fontId="17" fillId="0" borderId="0" xfId="0" applyNumberFormat="1" applyFont="1" applyFill="1">
      <alignment vertical="center"/>
    </xf>
    <xf numFmtId="9" fontId="17" fillId="0" borderId="0" xfId="3" applyFont="1" applyFill="1">
      <alignment vertical="center"/>
    </xf>
    <xf numFmtId="0" fontId="17" fillId="0" borderId="0" xfId="0" applyFont="1" applyFill="1">
      <alignment vertical="center"/>
    </xf>
    <xf numFmtId="182" fontId="17" fillId="0" borderId="0" xfId="0" applyNumberFormat="1" applyFont="1" applyFill="1">
      <alignment vertical="center"/>
    </xf>
    <xf numFmtId="0" fontId="81" fillId="0" borderId="0" xfId="0" applyFont="1" applyFill="1" applyAlignment="1">
      <alignment horizontal="center" vertical="center"/>
    </xf>
    <xf numFmtId="41" fontId="3" fillId="0" borderId="0" xfId="2" applyFont="1" applyFill="1" applyBorder="1">
      <alignment vertical="center"/>
    </xf>
    <xf numFmtId="0" fontId="3" fillId="0" borderId="0" xfId="0" applyFont="1" applyFill="1">
      <alignment vertical="center"/>
    </xf>
    <xf numFmtId="182" fontId="3" fillId="0" borderId="0" xfId="2" applyNumberFormat="1" applyFont="1" applyFill="1" applyBorder="1" applyAlignment="1">
      <alignment horizontal="center" vertical="center"/>
    </xf>
    <xf numFmtId="0" fontId="81" fillId="0" borderId="0" xfId="0" applyFont="1" applyFill="1">
      <alignment vertical="center"/>
    </xf>
    <xf numFmtId="9" fontId="3" fillId="0" borderId="0" xfId="3" applyFont="1" applyAlignment="1">
      <alignment horizontal="center" vertical="center"/>
    </xf>
    <xf numFmtId="180" fontId="86" fillId="0" borderId="0" xfId="0" applyNumberFormat="1" applyFont="1" applyFill="1">
      <alignment vertical="center"/>
    </xf>
    <xf numFmtId="180" fontId="86" fillId="0" borderId="0" xfId="3" applyNumberFormat="1" applyFont="1" applyFill="1">
      <alignment vertical="center"/>
    </xf>
    <xf numFmtId="180" fontId="86" fillId="0" borderId="0" xfId="0" applyNumberFormat="1" applyFont="1">
      <alignment vertical="center"/>
    </xf>
    <xf numFmtId="0" fontId="6" fillId="0" borderId="19" xfId="0" applyFont="1" applyBorder="1">
      <alignment vertical="center"/>
    </xf>
    <xf numFmtId="41" fontId="8" fillId="22" borderId="54" xfId="0" applyNumberFormat="1" applyFont="1" applyFill="1" applyBorder="1">
      <alignment vertical="center"/>
    </xf>
    <xf numFmtId="180" fontId="8" fillId="22" borderId="54" xfId="0" applyNumberFormat="1" applyFont="1" applyFill="1" applyBorder="1">
      <alignment vertical="center"/>
    </xf>
    <xf numFmtId="180" fontId="8" fillId="22" borderId="50" xfId="0" applyNumberFormat="1" applyFont="1" applyFill="1" applyBorder="1">
      <alignment vertical="center"/>
    </xf>
    <xf numFmtId="180" fontId="8" fillId="22" borderId="286" xfId="0" applyNumberFormat="1" applyFont="1" applyFill="1" applyBorder="1">
      <alignment vertical="center"/>
    </xf>
    <xf numFmtId="189" fontId="74" fillId="0" borderId="0" xfId="0" applyNumberFormat="1" applyFont="1" applyFill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82" fontId="0" fillId="0" borderId="0" xfId="2" applyNumberFormat="1" applyFont="1" applyBorder="1">
      <alignment vertical="center"/>
    </xf>
    <xf numFmtId="10" fontId="0" fillId="0" borderId="0" xfId="0" applyNumberFormat="1" applyBorder="1">
      <alignment vertical="center"/>
    </xf>
    <xf numFmtId="177" fontId="0" fillId="0" borderId="89" xfId="0" applyNumberFormat="1" applyBorder="1">
      <alignment vertical="center"/>
    </xf>
    <xf numFmtId="9" fontId="0" fillId="0" borderId="89" xfId="3" applyFont="1" applyBorder="1">
      <alignment vertical="center"/>
    </xf>
    <xf numFmtId="177" fontId="8" fillId="6" borderId="360" xfId="0" applyNumberFormat="1" applyFont="1" applyFill="1" applyBorder="1" applyAlignment="1">
      <alignment horizontal="center" vertical="center"/>
    </xf>
    <xf numFmtId="179" fontId="8" fillId="6" borderId="360" xfId="0" applyNumberFormat="1" applyFont="1" applyFill="1" applyBorder="1" applyAlignment="1">
      <alignment horizontal="center" vertical="center"/>
    </xf>
    <xf numFmtId="177" fontId="8" fillId="6" borderId="584" xfId="0" applyNumberFormat="1" applyFont="1" applyFill="1" applyBorder="1" applyAlignment="1">
      <alignment horizontal="center" vertical="center"/>
    </xf>
    <xf numFmtId="177" fontId="8" fillId="6" borderId="360" xfId="0" applyNumberFormat="1" applyFont="1" applyFill="1" applyBorder="1" applyAlignment="1">
      <alignment horizontal="left" vertical="center"/>
    </xf>
    <xf numFmtId="177" fontId="8" fillId="6" borderId="203" xfId="0" applyNumberFormat="1" applyFont="1" applyFill="1" applyBorder="1" applyAlignment="1">
      <alignment horizontal="center" vertical="center"/>
    </xf>
    <xf numFmtId="179" fontId="8" fillId="6" borderId="203" xfId="0" applyNumberFormat="1" applyFont="1" applyFill="1" applyBorder="1" applyAlignment="1">
      <alignment horizontal="center" vertical="center"/>
    </xf>
    <xf numFmtId="177" fontId="8" fillId="6" borderId="591" xfId="0" applyNumberFormat="1" applyFont="1" applyFill="1" applyBorder="1" applyAlignment="1">
      <alignment horizontal="center" vertical="center"/>
    </xf>
    <xf numFmtId="181" fontId="8" fillId="0" borderId="360" xfId="0" applyNumberFormat="1" applyFont="1" applyFill="1" applyBorder="1" applyAlignment="1">
      <alignment horizontal="center" vertical="center"/>
    </xf>
    <xf numFmtId="181" fontId="8" fillId="0" borderId="203" xfId="0" applyNumberFormat="1" applyFont="1" applyFill="1" applyBorder="1" applyAlignment="1">
      <alignment horizontal="center" vertical="center"/>
    </xf>
    <xf numFmtId="182" fontId="8" fillId="3" borderId="627" xfId="2" applyNumberFormat="1" applyFont="1" applyFill="1" applyBorder="1" applyAlignment="1">
      <alignment horizontal="right" vertical="center"/>
    </xf>
    <xf numFmtId="41" fontId="8" fillId="0" borderId="84" xfId="2" applyFont="1" applyFill="1" applyBorder="1" applyAlignment="1">
      <alignment horizontal="center" vertical="center"/>
    </xf>
    <xf numFmtId="41" fontId="8" fillId="3" borderId="627" xfId="2" applyFont="1" applyFill="1" applyBorder="1" applyAlignment="1">
      <alignment horizontal="center" vertical="center"/>
    </xf>
    <xf numFmtId="41" fontId="8" fillId="0" borderId="83" xfId="2" applyFont="1" applyFill="1" applyBorder="1" applyAlignment="1">
      <alignment horizontal="center" vertical="center"/>
    </xf>
    <xf numFmtId="41" fontId="8" fillId="0" borderId="81" xfId="2" applyFont="1" applyFill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177" fontId="88" fillId="0" borderId="0" xfId="0" applyNumberFormat="1" applyFont="1" applyAlignment="1">
      <alignment horizontal="center" vertical="center"/>
    </xf>
    <xf numFmtId="0" fontId="88" fillId="0" borderId="0" xfId="0" applyFont="1" applyBorder="1" applyAlignment="1">
      <alignment horizontal="center" vertical="center"/>
    </xf>
    <xf numFmtId="177" fontId="88" fillId="0" borderId="89" xfId="0" applyNumberFormat="1" applyFont="1" applyBorder="1" applyAlignment="1">
      <alignment horizontal="center" vertical="center"/>
    </xf>
    <xf numFmtId="177" fontId="88" fillId="0" borderId="0" xfId="0" applyNumberFormat="1" applyFont="1" applyBorder="1" applyAlignment="1">
      <alignment horizontal="center" vertical="center"/>
    </xf>
    <xf numFmtId="0" fontId="88" fillId="0" borderId="0" xfId="0" applyFont="1" applyFill="1" applyAlignment="1">
      <alignment horizontal="center" vertical="center"/>
    </xf>
    <xf numFmtId="9" fontId="8" fillId="0" borderId="58" xfId="3" applyFont="1" applyFill="1" applyBorder="1" applyAlignment="1">
      <alignment horizontal="center" vertical="center"/>
    </xf>
    <xf numFmtId="9" fontId="8" fillId="0" borderId="80" xfId="3" applyFont="1" applyFill="1" applyBorder="1" applyAlignment="1">
      <alignment horizontal="center" vertical="center"/>
    </xf>
    <xf numFmtId="9" fontId="8" fillId="0" borderId="178" xfId="3" applyFont="1" applyFill="1" applyBorder="1" applyAlignment="1">
      <alignment horizontal="center" vertical="center"/>
    </xf>
    <xf numFmtId="177" fontId="8" fillId="3" borderId="83" xfId="0" applyNumberFormat="1" applyFont="1" applyFill="1" applyBorder="1" applyAlignment="1">
      <alignment horizontal="center" vertical="center"/>
    </xf>
    <xf numFmtId="177" fontId="8" fillId="0" borderId="80" xfId="0" applyNumberFormat="1" applyFont="1" applyFill="1" applyBorder="1" applyAlignment="1">
      <alignment horizontal="center" vertical="center"/>
    </xf>
    <xf numFmtId="177" fontId="8" fillId="0" borderId="84" xfId="0" applyNumberFormat="1" applyFont="1" applyFill="1" applyBorder="1" applyAlignment="1">
      <alignment horizontal="center" vertical="center"/>
    </xf>
    <xf numFmtId="180" fontId="8" fillId="3" borderId="76" xfId="0" applyNumberFormat="1" applyFont="1" applyFill="1" applyBorder="1" applyAlignment="1">
      <alignment horizontal="center" vertical="center"/>
    </xf>
    <xf numFmtId="180" fontId="8" fillId="3" borderId="80" xfId="0" applyNumberFormat="1" applyFont="1" applyFill="1" applyBorder="1" applyAlignment="1">
      <alignment horizontal="center" vertical="center"/>
    </xf>
    <xf numFmtId="180" fontId="8" fillId="3" borderId="84" xfId="0" applyNumberFormat="1" applyFont="1" applyFill="1" applyBorder="1" applyAlignment="1">
      <alignment horizontal="center" vertical="center"/>
    </xf>
    <xf numFmtId="177" fontId="8" fillId="3" borderId="79" xfId="0" applyNumberFormat="1" applyFont="1" applyFill="1" applyBorder="1" applyAlignment="1">
      <alignment horizontal="center" vertical="center"/>
    </xf>
    <xf numFmtId="177" fontId="8" fillId="3" borderId="81" xfId="0" applyNumberFormat="1" applyFont="1" applyFill="1" applyBorder="1" applyAlignment="1">
      <alignment horizontal="center" vertical="center"/>
    </xf>
    <xf numFmtId="177" fontId="8" fillId="0" borderId="61" xfId="0" applyNumberFormat="1" applyFont="1" applyFill="1" applyBorder="1" applyAlignment="1">
      <alignment horizontal="center" vertical="center"/>
    </xf>
    <xf numFmtId="177" fontId="8" fillId="0" borderId="83" xfId="0" applyNumberFormat="1" applyFont="1" applyFill="1" applyBorder="1" applyAlignment="1">
      <alignment horizontal="center" vertical="center"/>
    </xf>
    <xf numFmtId="183" fontId="75" fillId="0" borderId="0" xfId="3" applyNumberFormat="1" applyFont="1" applyAlignment="1">
      <alignment horizontal="center" vertical="center"/>
    </xf>
    <xf numFmtId="41" fontId="75" fillId="0" borderId="0" xfId="2" applyFont="1" applyAlignment="1">
      <alignment horizontal="center" vertical="center" shrinkToFit="1"/>
    </xf>
    <xf numFmtId="180" fontId="75" fillId="0" borderId="0" xfId="2" applyNumberFormat="1" applyFont="1" applyAlignment="1">
      <alignment horizontal="center" vertical="center"/>
    </xf>
    <xf numFmtId="180" fontId="89" fillId="0" borderId="35" xfId="3" applyNumberFormat="1" applyFont="1" applyBorder="1" applyAlignment="1">
      <alignment horizontal="center" vertical="center"/>
    </xf>
    <xf numFmtId="180" fontId="89" fillId="0" borderId="35" xfId="3" applyNumberFormat="1" applyFont="1" applyBorder="1" applyAlignment="1">
      <alignment vertical="center"/>
    </xf>
    <xf numFmtId="180" fontId="89" fillId="0" borderId="35" xfId="2" applyNumberFormat="1" applyFont="1" applyBorder="1" applyAlignment="1">
      <alignment vertical="center"/>
    </xf>
    <xf numFmtId="180" fontId="89" fillId="0" borderId="35" xfId="2" applyNumberFormat="1" applyFont="1" applyBorder="1" applyAlignment="1">
      <alignment horizontal="center" vertical="center"/>
    </xf>
    <xf numFmtId="182" fontId="89" fillId="0" borderId="35" xfId="2" applyNumberFormat="1" applyFont="1" applyBorder="1" applyAlignment="1">
      <alignment horizontal="center" vertical="center"/>
    </xf>
    <xf numFmtId="180" fontId="89" fillId="0" borderId="0" xfId="3" applyNumberFormat="1" applyFont="1" applyBorder="1" applyAlignment="1">
      <alignment vertical="center"/>
    </xf>
    <xf numFmtId="180" fontId="89" fillId="0" borderId="0" xfId="2" applyNumberFormat="1" applyFont="1" applyBorder="1" applyAlignment="1">
      <alignment vertical="center"/>
    </xf>
    <xf numFmtId="180" fontId="89" fillId="0" borderId="0" xfId="2" applyNumberFormat="1" applyFont="1" applyBorder="1" applyAlignment="1">
      <alignment horizontal="center" vertical="center"/>
    </xf>
    <xf numFmtId="177" fontId="5" fillId="0" borderId="42" xfId="0" applyNumberFormat="1" applyFont="1" applyBorder="1" applyAlignment="1">
      <alignment horizontal="left" vertical="center" indent="1"/>
    </xf>
    <xf numFmtId="202" fontId="5" fillId="0" borderId="42" xfId="0" applyNumberFormat="1" applyFont="1" applyBorder="1" applyAlignment="1">
      <alignment horizontal="left" vertical="center" indent="1"/>
    </xf>
    <xf numFmtId="177" fontId="5" fillId="0" borderId="535" xfId="0" applyNumberFormat="1" applyFont="1" applyBorder="1" applyAlignment="1">
      <alignment horizontal="left" vertical="center" indent="1"/>
    </xf>
    <xf numFmtId="177" fontId="5" fillId="18" borderId="360" xfId="0" applyNumberFormat="1" applyFont="1" applyFill="1" applyBorder="1" applyAlignment="1">
      <alignment horizontal="center" vertical="center"/>
    </xf>
    <xf numFmtId="177" fontId="5" fillId="18" borderId="584" xfId="0" applyNumberFormat="1" applyFont="1" applyFill="1" applyBorder="1" applyAlignment="1">
      <alignment horizontal="center" vertical="center"/>
    </xf>
    <xf numFmtId="9" fontId="8" fillId="0" borderId="59" xfId="3" applyFont="1" applyFill="1" applyBorder="1" applyAlignment="1">
      <alignment horizontal="center" vertical="center"/>
    </xf>
    <xf numFmtId="9" fontId="8" fillId="0" borderId="84" xfId="3" applyFont="1" applyFill="1" applyBorder="1" applyAlignment="1">
      <alignment horizontal="center" vertical="center"/>
    </xf>
    <xf numFmtId="9" fontId="8" fillId="0" borderId="290" xfId="3" applyFont="1" applyFill="1" applyBorder="1" applyAlignment="1">
      <alignment horizontal="center" vertical="center"/>
    </xf>
    <xf numFmtId="189" fontId="8" fillId="0" borderId="50" xfId="0" applyNumberFormat="1" applyFont="1" applyFill="1" applyBorder="1">
      <alignment vertical="center"/>
    </xf>
    <xf numFmtId="189" fontId="8" fillId="0" borderId="51" xfId="0" applyNumberFormat="1" applyFont="1" applyFill="1" applyBorder="1">
      <alignment vertical="center"/>
    </xf>
    <xf numFmtId="182" fontId="8" fillId="0" borderId="51" xfId="0" applyNumberFormat="1" applyFont="1" applyFill="1" applyBorder="1">
      <alignment vertical="center"/>
    </xf>
    <xf numFmtId="196" fontId="5" fillId="6" borderId="38" xfId="0" applyNumberFormat="1" applyFont="1" applyFill="1" applyBorder="1" applyAlignment="1">
      <alignment horizontal="center" vertical="center"/>
    </xf>
    <xf numFmtId="177" fontId="5" fillId="6" borderId="593" xfId="0" applyNumberFormat="1" applyFont="1" applyFill="1" applyBorder="1" applyAlignment="1">
      <alignment horizontal="center" vertical="center"/>
    </xf>
    <xf numFmtId="177" fontId="11" fillId="0" borderId="522" xfId="0" applyNumberFormat="1" applyFont="1" applyFill="1" applyBorder="1" applyAlignment="1">
      <alignment horizontal="center" vertical="center"/>
    </xf>
    <xf numFmtId="177" fontId="11" fillId="0" borderId="588" xfId="0" applyNumberFormat="1" applyFont="1" applyFill="1" applyBorder="1" applyAlignment="1">
      <alignment horizontal="center" vertical="center"/>
    </xf>
    <xf numFmtId="177" fontId="5" fillId="0" borderId="588" xfId="0" applyNumberFormat="1" applyFont="1" applyFill="1" applyBorder="1" applyAlignment="1">
      <alignment horizontal="center" vertical="center"/>
    </xf>
    <xf numFmtId="187" fontId="5" fillId="0" borderId="588" xfId="0" applyNumberFormat="1" applyFont="1" applyFill="1" applyBorder="1" applyAlignment="1">
      <alignment horizontal="center" vertical="center"/>
    </xf>
    <xf numFmtId="177" fontId="5" fillId="0" borderId="628" xfId="0" applyNumberFormat="1" applyFont="1" applyFill="1" applyBorder="1" applyAlignment="1">
      <alignment horizontal="center" vertical="center"/>
    </xf>
    <xf numFmtId="182" fontId="20" fillId="25" borderId="0" xfId="2" applyNumberFormat="1" applyFont="1" applyFill="1" applyBorder="1" applyAlignment="1">
      <alignment horizontal="center" vertical="center" shrinkToFit="1"/>
    </xf>
    <xf numFmtId="177" fontId="11" fillId="0" borderId="522" xfId="0" applyNumberFormat="1" applyFont="1" applyBorder="1" applyAlignment="1">
      <alignment horizontal="center" vertical="center"/>
    </xf>
    <xf numFmtId="177" fontId="5" fillId="19" borderId="102" xfId="0" applyNumberFormat="1" applyFont="1" applyFill="1" applyBorder="1" applyAlignment="1">
      <alignment horizontal="center" vertical="center"/>
    </xf>
    <xf numFmtId="9" fontId="5" fillId="6" borderId="84" xfId="3" applyNumberFormat="1" applyFont="1" applyFill="1" applyBorder="1" applyAlignment="1">
      <alignment horizontal="center" vertical="center"/>
    </xf>
    <xf numFmtId="0" fontId="92" fillId="0" borderId="0" xfId="0" applyFont="1">
      <alignment vertical="center"/>
    </xf>
    <xf numFmtId="0" fontId="92" fillId="0" borderId="0" xfId="0" applyFont="1" applyBorder="1">
      <alignment vertical="center"/>
    </xf>
    <xf numFmtId="180" fontId="75" fillId="0" borderId="0" xfId="2" applyNumberFormat="1" applyFont="1" applyBorder="1" applyAlignment="1">
      <alignment horizontal="center" vertical="center"/>
    </xf>
    <xf numFmtId="43" fontId="92" fillId="0" borderId="0" xfId="0" applyNumberFormat="1" applyFont="1">
      <alignment vertical="center"/>
    </xf>
    <xf numFmtId="41" fontId="92" fillId="0" borderId="206" xfId="2" applyFont="1" applyBorder="1">
      <alignment vertical="center"/>
    </xf>
    <xf numFmtId="0" fontId="8" fillId="3" borderId="56" xfId="0" applyFont="1" applyFill="1" applyBorder="1" applyAlignment="1">
      <alignment horizontal="center" vertical="center" shrinkToFit="1"/>
    </xf>
    <xf numFmtId="177" fontId="5" fillId="19" borderId="360" xfId="0" applyNumberFormat="1" applyFont="1" applyFill="1" applyBorder="1" applyAlignment="1">
      <alignment horizontal="center" vertical="center"/>
    </xf>
    <xf numFmtId="182" fontId="9" fillId="0" borderId="0" xfId="2" applyNumberFormat="1" applyFont="1" applyFill="1" applyBorder="1" applyAlignment="1">
      <alignment vertical="center" shrinkToFit="1"/>
    </xf>
    <xf numFmtId="181" fontId="5" fillId="0" borderId="103" xfId="0" applyNumberFormat="1" applyFont="1" applyFill="1" applyBorder="1" applyAlignment="1">
      <alignment horizontal="center" vertical="center"/>
    </xf>
    <xf numFmtId="179" fontId="5" fillId="6" borderId="180" xfId="0" applyNumberFormat="1" applyFont="1" applyFill="1" applyBorder="1" applyAlignment="1">
      <alignment horizontal="center" vertical="center"/>
    </xf>
    <xf numFmtId="177" fontId="5" fillId="6" borderId="489" xfId="0" applyNumberFormat="1" applyFont="1" applyFill="1" applyBorder="1" applyAlignment="1">
      <alignment horizontal="center" vertical="center"/>
    </xf>
    <xf numFmtId="179" fontId="5" fillId="6" borderId="490" xfId="0" applyNumberFormat="1" applyFont="1" applyFill="1" applyBorder="1" applyAlignment="1">
      <alignment horizontal="center" vertical="center"/>
    </xf>
    <xf numFmtId="177" fontId="5" fillId="6" borderId="491" xfId="0" applyNumberFormat="1" applyFont="1" applyFill="1" applyBorder="1" applyAlignment="1">
      <alignment horizontal="center" vertical="center"/>
    </xf>
    <xf numFmtId="179" fontId="5" fillId="6" borderId="221" xfId="0" applyNumberFormat="1" applyFont="1" applyFill="1" applyBorder="1" applyAlignment="1">
      <alignment horizontal="center" vertical="center"/>
    </xf>
    <xf numFmtId="177" fontId="8" fillId="6" borderId="221" xfId="0" applyNumberFormat="1" applyFont="1" applyFill="1" applyBorder="1" applyAlignment="1">
      <alignment horizontal="center" vertical="center"/>
    </xf>
    <xf numFmtId="177" fontId="8" fillId="6" borderId="281" xfId="0" applyNumberFormat="1" applyFont="1" applyFill="1" applyBorder="1" applyAlignment="1">
      <alignment horizontal="center" vertical="center"/>
    </xf>
    <xf numFmtId="177" fontId="20" fillId="0" borderId="0" xfId="0" applyNumberFormat="1" applyFont="1">
      <alignment vertical="center"/>
    </xf>
    <xf numFmtId="179" fontId="20" fillId="0" borderId="0" xfId="0" applyNumberFormat="1" applyFont="1">
      <alignment vertical="center"/>
    </xf>
    <xf numFmtId="41" fontId="75" fillId="0" borderId="0" xfId="2" applyFont="1" applyAlignment="1">
      <alignment horizontal="center" vertical="center"/>
    </xf>
    <xf numFmtId="177" fontId="42" fillId="3" borderId="629" xfId="0" applyNumberFormat="1" applyFont="1" applyFill="1" applyBorder="1" applyAlignment="1">
      <alignment horizontal="center" vertical="center"/>
    </xf>
    <xf numFmtId="177" fontId="11" fillId="3" borderId="630" xfId="0" applyNumberFormat="1" applyFont="1" applyFill="1" applyBorder="1" applyAlignment="1">
      <alignment horizontal="center" vertical="center"/>
    </xf>
    <xf numFmtId="180" fontId="75" fillId="0" borderId="0" xfId="2" applyNumberFormat="1" applyFont="1" applyAlignment="1">
      <alignment horizontal="center" vertical="center" shrinkToFit="1"/>
    </xf>
    <xf numFmtId="0" fontId="32" fillId="11" borderId="579" xfId="0" applyFont="1" applyFill="1" applyBorder="1" applyAlignment="1">
      <alignment horizontal="center" vertical="center"/>
    </xf>
    <xf numFmtId="182" fontId="39" fillId="10" borderId="512" xfId="0" applyNumberFormat="1" applyFont="1" applyFill="1" applyBorder="1" applyAlignment="1">
      <alignment horizontal="center" vertical="center"/>
    </xf>
    <xf numFmtId="0" fontId="33" fillId="0" borderId="631" xfId="0" applyFont="1" applyBorder="1" applyAlignment="1">
      <alignment vertical="center"/>
    </xf>
    <xf numFmtId="182" fontId="37" fillId="0" borderId="631" xfId="0" applyNumberFormat="1" applyFont="1" applyBorder="1" applyAlignment="1">
      <alignment vertical="center"/>
    </xf>
    <xf numFmtId="182" fontId="39" fillId="10" borderId="622" xfId="0" applyNumberFormat="1" applyFont="1" applyFill="1" applyBorder="1" applyAlignment="1">
      <alignment horizontal="center" vertical="center"/>
    </xf>
    <xf numFmtId="9" fontId="37" fillId="0" borderId="0" xfId="3" applyFont="1" applyBorder="1">
      <alignment vertical="center"/>
    </xf>
    <xf numFmtId="9" fontId="96" fillId="0" borderId="0" xfId="3" applyFont="1" applyAlignment="1">
      <alignment horizontal="center" vertical="center"/>
    </xf>
    <xf numFmtId="182" fontId="39" fillId="10" borderId="512" xfId="0" applyNumberFormat="1" applyFont="1" applyFill="1" applyBorder="1" applyAlignment="1">
      <alignment horizontal="center" vertical="center"/>
    </xf>
    <xf numFmtId="182" fontId="39" fillId="27" borderId="510" xfId="0" applyNumberFormat="1" applyFont="1" applyFill="1" applyBorder="1" applyAlignment="1">
      <alignment horizontal="center" vertical="center"/>
    </xf>
    <xf numFmtId="9" fontId="33" fillId="0" borderId="0" xfId="3" applyFont="1" applyBorder="1" applyAlignment="1">
      <alignment vertical="center"/>
    </xf>
    <xf numFmtId="180" fontId="37" fillId="0" borderId="0" xfId="2" applyNumberFormat="1" applyFont="1" applyBorder="1" applyAlignment="1">
      <alignment horizontal="center" vertical="center"/>
    </xf>
    <xf numFmtId="9" fontId="97" fillId="0" borderId="0" xfId="3" applyFont="1" applyAlignment="1">
      <alignment horizontal="center" vertical="center"/>
    </xf>
    <xf numFmtId="0" fontId="98" fillId="0" borderId="0" xfId="0" applyFont="1">
      <alignment vertical="center"/>
    </xf>
    <xf numFmtId="183" fontId="33" fillId="0" borderId="0" xfId="3" applyNumberFormat="1" applyFont="1">
      <alignment vertical="center"/>
    </xf>
    <xf numFmtId="180" fontId="102" fillId="3" borderId="583" xfId="0" applyNumberFormat="1" applyFont="1" applyFill="1" applyBorder="1" applyAlignment="1">
      <alignment horizontal="right" vertical="center"/>
    </xf>
    <xf numFmtId="180" fontId="102" fillId="3" borderId="455" xfId="0" applyNumberFormat="1" applyFont="1" applyFill="1" applyBorder="1" applyAlignment="1">
      <alignment horizontal="right" vertical="center"/>
    </xf>
    <xf numFmtId="180" fontId="102" fillId="3" borderId="510" xfId="0" applyNumberFormat="1" applyFont="1" applyFill="1" applyBorder="1" applyAlignment="1">
      <alignment horizontal="right" vertical="center"/>
    </xf>
    <xf numFmtId="180" fontId="33" fillId="16" borderId="583" xfId="0" applyNumberFormat="1" applyFont="1" applyFill="1" applyBorder="1" applyAlignment="1">
      <alignment horizontal="right" vertical="center"/>
    </xf>
    <xf numFmtId="180" fontId="33" fillId="16" borderId="455" xfId="0" applyNumberFormat="1" applyFont="1" applyFill="1" applyBorder="1" applyAlignment="1">
      <alignment horizontal="right" vertical="center"/>
    </xf>
    <xf numFmtId="180" fontId="33" fillId="28" borderId="583" xfId="0" applyNumberFormat="1" applyFont="1" applyFill="1" applyBorder="1" applyAlignment="1">
      <alignment horizontal="right" vertical="center"/>
    </xf>
    <xf numFmtId="180" fontId="33" fillId="28" borderId="455" xfId="0" applyNumberFormat="1" applyFont="1" applyFill="1" applyBorder="1" applyAlignment="1">
      <alignment horizontal="right" vertical="center"/>
    </xf>
    <xf numFmtId="180" fontId="33" fillId="28" borderId="510" xfId="0" applyNumberFormat="1" applyFont="1" applyFill="1" applyBorder="1" applyAlignment="1">
      <alignment horizontal="right" vertical="center"/>
    </xf>
    <xf numFmtId="41" fontId="33" fillId="0" borderId="633" xfId="2" applyFont="1" applyBorder="1" applyAlignment="1">
      <alignment vertical="center"/>
    </xf>
    <xf numFmtId="0" fontId="33" fillId="29" borderId="510" xfId="0" applyFont="1" applyFill="1" applyBorder="1" applyAlignment="1">
      <alignment horizontal="center" vertical="center"/>
    </xf>
    <xf numFmtId="180" fontId="33" fillId="29" borderId="583" xfId="0" applyNumberFormat="1" applyFont="1" applyFill="1" applyBorder="1" applyAlignment="1">
      <alignment horizontal="right" vertical="center"/>
    </xf>
    <xf numFmtId="180" fontId="33" fillId="29" borderId="455" xfId="0" applyNumberFormat="1" applyFont="1" applyFill="1" applyBorder="1" applyAlignment="1">
      <alignment horizontal="right" vertical="center"/>
    </xf>
    <xf numFmtId="180" fontId="33" fillId="29" borderId="510" xfId="0" applyNumberFormat="1" applyFont="1" applyFill="1" applyBorder="1" applyAlignment="1">
      <alignment horizontal="right" vertical="center"/>
    </xf>
    <xf numFmtId="0" fontId="33" fillId="12" borderId="510" xfId="0" applyFont="1" applyFill="1" applyBorder="1" applyAlignment="1">
      <alignment horizontal="center" vertical="center"/>
    </xf>
    <xf numFmtId="180" fontId="33" fillId="12" borderId="583" xfId="0" applyNumberFormat="1" applyFont="1" applyFill="1" applyBorder="1" applyAlignment="1">
      <alignment horizontal="right" vertical="center"/>
    </xf>
    <xf numFmtId="180" fontId="33" fillId="12" borderId="455" xfId="0" applyNumberFormat="1" applyFont="1" applyFill="1" applyBorder="1" applyAlignment="1">
      <alignment horizontal="right" vertical="center"/>
    </xf>
    <xf numFmtId="180" fontId="33" fillId="12" borderId="510" xfId="0" applyNumberFormat="1" applyFont="1" applyFill="1" applyBorder="1" applyAlignment="1">
      <alignment horizontal="right" vertical="center"/>
    </xf>
    <xf numFmtId="0" fontId="33" fillId="28" borderId="513" xfId="0" applyFont="1" applyFill="1" applyBorder="1" applyAlignment="1">
      <alignment horizontal="center" vertical="center"/>
    </xf>
    <xf numFmtId="0" fontId="33" fillId="24" borderId="513" xfId="0" applyFont="1" applyFill="1" applyBorder="1" applyAlignment="1">
      <alignment horizontal="center" vertical="center"/>
    </xf>
    <xf numFmtId="180" fontId="33" fillId="24" borderId="583" xfId="0" applyNumberFormat="1" applyFont="1" applyFill="1" applyBorder="1" applyAlignment="1">
      <alignment horizontal="right" vertical="center"/>
    </xf>
    <xf numFmtId="180" fontId="33" fillId="24" borderId="513" xfId="0" applyNumberFormat="1" applyFont="1" applyFill="1" applyBorder="1" applyAlignment="1">
      <alignment horizontal="right" vertical="center"/>
    </xf>
    <xf numFmtId="180" fontId="33" fillId="24" borderId="510" xfId="0" applyNumberFormat="1" applyFont="1" applyFill="1" applyBorder="1" applyAlignment="1">
      <alignment horizontal="right" vertical="center"/>
    </xf>
    <xf numFmtId="180" fontId="33" fillId="6" borderId="583" xfId="0" applyNumberFormat="1" applyFont="1" applyFill="1" applyBorder="1" applyAlignment="1">
      <alignment horizontal="right" vertical="center"/>
    </xf>
    <xf numFmtId="0" fontId="33" fillId="30" borderId="513" xfId="0" applyFont="1" applyFill="1" applyBorder="1" applyAlignment="1">
      <alignment horizontal="center" vertical="center"/>
    </xf>
    <xf numFmtId="180" fontId="33" fillId="30" borderId="583" xfId="0" applyNumberFormat="1" applyFont="1" applyFill="1" applyBorder="1" applyAlignment="1">
      <alignment horizontal="right" vertical="center"/>
    </xf>
    <xf numFmtId="180" fontId="33" fillId="30" borderId="513" xfId="0" applyNumberFormat="1" applyFont="1" applyFill="1" applyBorder="1" applyAlignment="1">
      <alignment horizontal="right" vertical="center"/>
    </xf>
    <xf numFmtId="180" fontId="33" fillId="30" borderId="510" xfId="0" applyNumberFormat="1" applyFont="1" applyFill="1" applyBorder="1" applyAlignment="1">
      <alignment horizontal="right" vertical="center"/>
    </xf>
    <xf numFmtId="180" fontId="33" fillId="15" borderId="583" xfId="0" applyNumberFormat="1" applyFont="1" applyFill="1" applyBorder="1" applyAlignment="1">
      <alignment horizontal="right" vertical="center"/>
    </xf>
    <xf numFmtId="0" fontId="33" fillId="6" borderId="513" xfId="0" applyFont="1" applyFill="1" applyBorder="1" applyAlignment="1">
      <alignment horizontal="center" vertical="center"/>
    </xf>
    <xf numFmtId="180" fontId="33" fillId="6" borderId="455" xfId="0" applyNumberFormat="1" applyFont="1" applyFill="1" applyBorder="1" applyAlignment="1">
      <alignment horizontal="right" vertical="center"/>
    </xf>
    <xf numFmtId="180" fontId="33" fillId="6" borderId="510" xfId="0" applyNumberFormat="1" applyFont="1" applyFill="1" applyBorder="1" applyAlignment="1">
      <alignment horizontal="right" vertical="center"/>
    </xf>
    <xf numFmtId="0" fontId="33" fillId="15" borderId="513" xfId="0" applyFont="1" applyFill="1" applyBorder="1" applyAlignment="1">
      <alignment horizontal="center" vertical="center"/>
    </xf>
    <xf numFmtId="180" fontId="33" fillId="15" borderId="455" xfId="0" applyNumberFormat="1" applyFont="1" applyFill="1" applyBorder="1" applyAlignment="1">
      <alignment horizontal="right" vertical="center"/>
    </xf>
    <xf numFmtId="180" fontId="33" fillId="15" borderId="510" xfId="0" applyNumberFormat="1" applyFont="1" applyFill="1" applyBorder="1" applyAlignment="1">
      <alignment horizontal="right" vertical="center"/>
    </xf>
    <xf numFmtId="182" fontId="33" fillId="16" borderId="583" xfId="0" applyNumberFormat="1" applyFont="1" applyFill="1" applyBorder="1" applyAlignment="1">
      <alignment horizontal="right" vertical="center"/>
    </xf>
    <xf numFmtId="182" fontId="33" fillId="16" borderId="455" xfId="0" applyNumberFormat="1" applyFont="1" applyFill="1" applyBorder="1" applyAlignment="1">
      <alignment horizontal="right" vertical="center"/>
    </xf>
    <xf numFmtId="182" fontId="33" fillId="28" borderId="583" xfId="0" applyNumberFormat="1" applyFont="1" applyFill="1" applyBorder="1" applyAlignment="1">
      <alignment horizontal="right" vertical="center"/>
    </xf>
    <xf numFmtId="182" fontId="33" fillId="28" borderId="455" xfId="0" applyNumberFormat="1" applyFont="1" applyFill="1" applyBorder="1" applyAlignment="1">
      <alignment horizontal="right" vertical="center"/>
    </xf>
    <xf numFmtId="182" fontId="33" fillId="28" borderId="510" xfId="0" applyNumberFormat="1" applyFont="1" applyFill="1" applyBorder="1" applyAlignment="1">
      <alignment horizontal="right" vertical="center"/>
    </xf>
    <xf numFmtId="182" fontId="33" fillId="29" borderId="583" xfId="0" applyNumberFormat="1" applyFont="1" applyFill="1" applyBorder="1" applyAlignment="1">
      <alignment horizontal="right" vertical="center"/>
    </xf>
    <xf numFmtId="182" fontId="33" fillId="29" borderId="510" xfId="0" applyNumberFormat="1" applyFont="1" applyFill="1" applyBorder="1" applyAlignment="1">
      <alignment horizontal="right" vertical="center"/>
    </xf>
    <xf numFmtId="182" fontId="33" fillId="12" borderId="583" xfId="0" applyNumberFormat="1" applyFont="1" applyFill="1" applyBorder="1" applyAlignment="1">
      <alignment horizontal="right" vertical="center"/>
    </xf>
    <xf numFmtId="182" fontId="33" fillId="12" borderId="510" xfId="0" applyNumberFormat="1" applyFont="1" applyFill="1" applyBorder="1" applyAlignment="1">
      <alignment horizontal="right" vertical="center"/>
    </xf>
    <xf numFmtId="180" fontId="33" fillId="24" borderId="446" xfId="0" applyNumberFormat="1" applyFont="1" applyFill="1" applyBorder="1" applyAlignment="1">
      <alignment horizontal="right" vertical="center"/>
    </xf>
    <xf numFmtId="180" fontId="33" fillId="24" borderId="624" xfId="0" applyNumberFormat="1" applyFont="1" applyFill="1" applyBorder="1" applyAlignment="1">
      <alignment horizontal="right" vertical="center"/>
    </xf>
    <xf numFmtId="180" fontId="33" fillId="24" borderId="429" xfId="0" applyNumberFormat="1" applyFont="1" applyFill="1" applyBorder="1" applyAlignment="1">
      <alignment horizontal="right" vertical="center"/>
    </xf>
    <xf numFmtId="180" fontId="33" fillId="30" borderId="446" xfId="0" applyNumberFormat="1" applyFont="1" applyFill="1" applyBorder="1" applyAlignment="1">
      <alignment horizontal="right" vertical="center"/>
    </xf>
    <xf numFmtId="180" fontId="33" fillId="30" borderId="624" xfId="0" applyNumberFormat="1" applyFont="1" applyFill="1" applyBorder="1" applyAlignment="1">
      <alignment horizontal="right" vertical="center"/>
    </xf>
    <xf numFmtId="180" fontId="33" fillId="30" borderId="429" xfId="0" applyNumberFormat="1" applyFont="1" applyFill="1" applyBorder="1" applyAlignment="1">
      <alignment horizontal="right" vertical="center"/>
    </xf>
    <xf numFmtId="0" fontId="33" fillId="6" borderId="510" xfId="0" applyFont="1" applyFill="1" applyBorder="1" applyAlignment="1">
      <alignment horizontal="center" vertical="center"/>
    </xf>
    <xf numFmtId="0" fontId="33" fillId="15" borderId="510" xfId="0" applyFont="1" applyFill="1" applyBorder="1" applyAlignment="1">
      <alignment horizontal="center" vertical="center"/>
    </xf>
    <xf numFmtId="180" fontId="33" fillId="15" borderId="446" xfId="0" applyNumberFormat="1" applyFont="1" applyFill="1" applyBorder="1" applyAlignment="1">
      <alignment horizontal="right" vertical="center"/>
    </xf>
    <xf numFmtId="180" fontId="33" fillId="15" borderId="634" xfId="0" applyNumberFormat="1" applyFont="1" applyFill="1" applyBorder="1" applyAlignment="1">
      <alignment horizontal="right" vertical="center"/>
    </xf>
    <xf numFmtId="180" fontId="33" fillId="15" borderId="429" xfId="0" applyNumberFormat="1" applyFont="1" applyFill="1" applyBorder="1" applyAlignment="1">
      <alignment horizontal="right" vertical="center"/>
    </xf>
    <xf numFmtId="0" fontId="103" fillId="28" borderId="589" xfId="0" applyFont="1" applyFill="1" applyBorder="1" applyAlignment="1">
      <alignment horizontal="center" vertical="center" wrapText="1"/>
    </xf>
    <xf numFmtId="0" fontId="103" fillId="0" borderId="35" xfId="0" applyFont="1" applyBorder="1" applyAlignment="1">
      <alignment horizontal="center" vertical="center" shrinkToFit="1"/>
    </xf>
    <xf numFmtId="180" fontId="103" fillId="0" borderId="446" xfId="0" applyNumberFormat="1" applyFont="1" applyBorder="1" applyAlignment="1">
      <alignment horizontal="right" vertical="center"/>
    </xf>
    <xf numFmtId="180" fontId="33" fillId="16" borderId="510" xfId="0" applyNumberFormat="1" applyFont="1" applyFill="1" applyBorder="1" applyAlignment="1">
      <alignment horizontal="right" vertical="center"/>
    </xf>
    <xf numFmtId="0" fontId="33" fillId="29" borderId="583" xfId="0" applyFont="1" applyFill="1" applyBorder="1">
      <alignment vertical="center"/>
    </xf>
    <xf numFmtId="0" fontId="106" fillId="0" borderId="0" xfId="0" applyFont="1">
      <alignment vertical="center"/>
    </xf>
    <xf numFmtId="0" fontId="33" fillId="12" borderId="583" xfId="0" applyFont="1" applyFill="1" applyBorder="1">
      <alignment vertical="center"/>
    </xf>
    <xf numFmtId="0" fontId="33" fillId="6" borderId="583" xfId="0" applyFont="1" applyFill="1" applyBorder="1">
      <alignment vertical="center"/>
    </xf>
    <xf numFmtId="3" fontId="33" fillId="0" borderId="0" xfId="0" applyNumberFormat="1" applyFont="1">
      <alignment vertical="center"/>
    </xf>
    <xf numFmtId="183" fontId="33" fillId="0" borderId="0" xfId="3" applyNumberFormat="1" applyFont="1" applyAlignment="1">
      <alignment vertical="center"/>
    </xf>
    <xf numFmtId="180" fontId="33" fillId="0" borderId="0" xfId="0" applyNumberFormat="1" applyFont="1">
      <alignment vertical="center"/>
    </xf>
    <xf numFmtId="0" fontId="99" fillId="10" borderId="637" xfId="0" quotePrefix="1" applyFont="1" applyFill="1" applyBorder="1" applyAlignment="1">
      <alignment horizontal="center" vertical="center"/>
    </xf>
    <xf numFmtId="180" fontId="33" fillId="15" borderId="586" xfId="0" applyNumberFormat="1" applyFont="1" applyFill="1" applyBorder="1" applyAlignment="1">
      <alignment horizontal="right" vertical="center"/>
    </xf>
    <xf numFmtId="180" fontId="33" fillId="15" borderId="638" xfId="0" applyNumberFormat="1" applyFont="1" applyFill="1" applyBorder="1" applyAlignment="1">
      <alignment horizontal="right" vertical="center"/>
    </xf>
    <xf numFmtId="180" fontId="33" fillId="15" borderId="639" xfId="0" applyNumberFormat="1" applyFont="1" applyFill="1" applyBorder="1" applyAlignment="1">
      <alignment horizontal="right" vertical="center"/>
    </xf>
    <xf numFmtId="0" fontId="99" fillId="10" borderId="635" xfId="0" quotePrefix="1" applyFont="1" applyFill="1" applyBorder="1" applyAlignment="1">
      <alignment horizontal="center" vertical="center" shrinkToFit="1"/>
    </xf>
    <xf numFmtId="180" fontId="33" fillId="28" borderId="640" xfId="0" applyNumberFormat="1" applyFont="1" applyFill="1" applyBorder="1" applyAlignment="1">
      <alignment horizontal="right" vertical="center"/>
    </xf>
    <xf numFmtId="180" fontId="33" fillId="24" borderId="455" xfId="0" applyNumberFormat="1" applyFont="1" applyFill="1" applyBorder="1" applyAlignment="1">
      <alignment horizontal="right" vertical="center"/>
    </xf>
    <xf numFmtId="180" fontId="33" fillId="30" borderId="455" xfId="0" applyNumberFormat="1" applyFont="1" applyFill="1" applyBorder="1" applyAlignment="1">
      <alignment horizontal="right" vertical="center"/>
    </xf>
    <xf numFmtId="180" fontId="102" fillId="3" borderId="640" xfId="0" applyNumberFormat="1" applyFont="1" applyFill="1" applyBorder="1" applyAlignment="1">
      <alignment horizontal="right" vertical="center"/>
    </xf>
    <xf numFmtId="182" fontId="33" fillId="29" borderId="455" xfId="0" applyNumberFormat="1" applyFont="1" applyFill="1" applyBorder="1" applyAlignment="1">
      <alignment horizontal="right" vertical="center"/>
    </xf>
    <xf numFmtId="182" fontId="33" fillId="12" borderId="455" xfId="0" applyNumberFormat="1" applyFont="1" applyFill="1" applyBorder="1" applyAlignment="1">
      <alignment horizontal="right" vertical="center"/>
    </xf>
    <xf numFmtId="180" fontId="33" fillId="24" borderId="634" xfId="0" applyNumberFormat="1" applyFont="1" applyFill="1" applyBorder="1" applyAlignment="1">
      <alignment horizontal="right" vertical="center"/>
    </xf>
    <xf numFmtId="180" fontId="33" fillId="30" borderId="634" xfId="0" applyNumberFormat="1" applyFont="1" applyFill="1" applyBorder="1" applyAlignment="1">
      <alignment horizontal="right" vertical="center"/>
    </xf>
    <xf numFmtId="0" fontId="33" fillId="15" borderId="639" xfId="0" applyFont="1" applyFill="1" applyBorder="1">
      <alignment vertical="center"/>
    </xf>
    <xf numFmtId="0" fontId="99" fillId="17" borderId="636" xfId="0" quotePrefix="1" applyFont="1" applyFill="1" applyBorder="1" applyAlignment="1">
      <alignment horizontal="center" vertical="center"/>
    </xf>
    <xf numFmtId="0" fontId="99" fillId="17" borderId="637" xfId="0" quotePrefix="1" applyFont="1" applyFill="1" applyBorder="1" applyAlignment="1">
      <alignment horizontal="center" vertical="center"/>
    </xf>
    <xf numFmtId="0" fontId="99" fillId="31" borderId="635" xfId="0" quotePrefix="1" applyFont="1" applyFill="1" applyBorder="1" applyAlignment="1">
      <alignment horizontal="center" vertical="center" shrinkToFit="1"/>
    </xf>
    <xf numFmtId="0" fontId="99" fillId="31" borderId="635" xfId="0" quotePrefix="1" applyFont="1" applyFill="1" applyBorder="1" applyAlignment="1">
      <alignment horizontal="center" vertical="center"/>
    </xf>
    <xf numFmtId="41" fontId="33" fillId="0" borderId="633" xfId="2" applyFont="1" applyFill="1" applyBorder="1" applyAlignment="1">
      <alignment vertical="center"/>
    </xf>
    <xf numFmtId="41" fontId="33" fillId="0" borderId="633" xfId="2" quotePrefix="1" applyFont="1" applyBorder="1" applyAlignment="1">
      <alignment vertical="center"/>
    </xf>
    <xf numFmtId="41" fontId="33" fillId="0" borderId="625" xfId="2" quotePrefix="1" applyFont="1" applyBorder="1" applyAlignment="1">
      <alignment vertical="center"/>
    </xf>
    <xf numFmtId="41" fontId="33" fillId="0" borderId="446" xfId="2" applyFont="1" applyFill="1" applyBorder="1" applyAlignment="1">
      <alignment vertical="center"/>
    </xf>
    <xf numFmtId="0" fontId="33" fillId="0" borderId="583" xfId="0" applyFont="1" applyFill="1" applyBorder="1">
      <alignment vertical="center"/>
    </xf>
    <xf numFmtId="0" fontId="33" fillId="0" borderId="625" xfId="0" quotePrefix="1" applyFont="1" applyFill="1" applyBorder="1">
      <alignment vertical="center"/>
    </xf>
    <xf numFmtId="41" fontId="33" fillId="0" borderId="633" xfId="2" quotePrefix="1" applyFont="1" applyFill="1" applyBorder="1" applyAlignment="1">
      <alignment vertical="center"/>
    </xf>
    <xf numFmtId="41" fontId="33" fillId="0" borderId="633" xfId="2" applyFont="1" applyBorder="1" applyAlignment="1">
      <alignment horizontal="center" vertical="center"/>
    </xf>
    <xf numFmtId="41" fontId="33" fillId="0" borderId="446" xfId="2" applyFont="1" applyBorder="1" applyAlignment="1">
      <alignment vertical="center"/>
    </xf>
    <xf numFmtId="41" fontId="33" fillId="0" borderId="633" xfId="2" applyFont="1" applyFill="1" applyBorder="1" applyAlignment="1">
      <alignment horizontal="left" vertical="center"/>
    </xf>
    <xf numFmtId="0" fontId="33" fillId="0" borderId="583" xfId="0" applyFont="1" applyFill="1" applyBorder="1" applyAlignment="1">
      <alignment vertical="center" wrapText="1"/>
    </xf>
    <xf numFmtId="0" fontId="33" fillId="0" borderId="42" xfId="0" quotePrefix="1" applyFont="1" applyFill="1" applyBorder="1">
      <alignment vertical="center"/>
    </xf>
    <xf numFmtId="0" fontId="33" fillId="0" borderId="42" xfId="0" applyFont="1" applyFill="1" applyBorder="1">
      <alignment vertical="center"/>
    </xf>
    <xf numFmtId="0" fontId="33" fillId="0" borderId="583" xfId="0" applyFont="1" applyFill="1" applyBorder="1" applyAlignment="1">
      <alignment vertical="center" shrinkToFit="1"/>
    </xf>
    <xf numFmtId="0" fontId="33" fillId="0" borderId="639" xfId="0" applyFont="1" applyFill="1" applyBorder="1" applyAlignment="1">
      <alignment vertical="center" shrinkToFit="1"/>
    </xf>
    <xf numFmtId="0" fontId="107" fillId="0" borderId="0" xfId="0" applyFont="1">
      <alignment vertical="center"/>
    </xf>
    <xf numFmtId="0" fontId="107" fillId="0" borderId="0" xfId="0" applyFont="1" applyAlignment="1">
      <alignment horizontal="center" vertical="center"/>
    </xf>
    <xf numFmtId="183" fontId="107" fillId="0" borderId="0" xfId="3" applyNumberFormat="1" applyFont="1">
      <alignment vertical="center"/>
    </xf>
    <xf numFmtId="183" fontId="107" fillId="0" borderId="0" xfId="3" applyNumberFormat="1" applyFont="1" applyFill="1">
      <alignment vertical="center"/>
    </xf>
    <xf numFmtId="41" fontId="107" fillId="5" borderId="0" xfId="2" applyFont="1" applyFill="1">
      <alignment vertical="center"/>
    </xf>
    <xf numFmtId="41" fontId="107" fillId="0" borderId="0" xfId="2" applyFont="1">
      <alignment vertical="center"/>
    </xf>
    <xf numFmtId="41" fontId="107" fillId="7" borderId="0" xfId="2" applyFont="1" applyFill="1">
      <alignment vertical="center"/>
    </xf>
    <xf numFmtId="43" fontId="107" fillId="0" borderId="0" xfId="0" applyNumberFormat="1" applyFont="1">
      <alignment vertical="center"/>
    </xf>
    <xf numFmtId="3" fontId="107" fillId="0" borderId="0" xfId="0" applyNumberFormat="1" applyFont="1" applyAlignment="1">
      <alignment horizontal="right" vertical="center" indent="1"/>
    </xf>
    <xf numFmtId="0" fontId="107" fillId="0" borderId="0" xfId="0" applyFont="1" applyAlignment="1">
      <alignment horizontal="right" vertical="center" indent="1"/>
    </xf>
    <xf numFmtId="41" fontId="107" fillId="0" borderId="0" xfId="2" applyFont="1" applyAlignment="1">
      <alignment vertical="center"/>
    </xf>
    <xf numFmtId="41" fontId="107" fillId="7" borderId="0" xfId="2" applyFont="1" applyFill="1" applyAlignment="1">
      <alignment vertical="center"/>
    </xf>
    <xf numFmtId="0" fontId="100" fillId="2" borderId="637" xfId="0" applyFont="1" applyFill="1" applyBorder="1" applyAlignment="1">
      <alignment horizontal="center" vertical="center"/>
    </xf>
    <xf numFmtId="0" fontId="33" fillId="16" borderId="583" xfId="0" applyFont="1" applyFill="1" applyBorder="1" applyAlignment="1">
      <alignment vertical="center" shrinkToFit="1"/>
    </xf>
    <xf numFmtId="180" fontId="103" fillId="0" borderId="634" xfId="0" applyNumberFormat="1" applyFont="1" applyBorder="1" applyAlignment="1">
      <alignment horizontal="right" vertical="center"/>
    </xf>
    <xf numFmtId="180" fontId="103" fillId="0" borderId="624" xfId="0" applyNumberFormat="1" applyFont="1" applyBorder="1" applyAlignment="1">
      <alignment horizontal="right" vertical="center"/>
    </xf>
    <xf numFmtId="180" fontId="103" fillId="0" borderId="429" xfId="0" applyNumberFormat="1" applyFont="1" applyBorder="1" applyAlignment="1">
      <alignment horizontal="right" vertical="center"/>
    </xf>
    <xf numFmtId="0" fontId="33" fillId="0" borderId="583" xfId="0" quotePrefix="1" applyFont="1" applyFill="1" applyBorder="1">
      <alignment vertical="center"/>
    </xf>
    <xf numFmtId="0" fontId="33" fillId="0" borderId="633" xfId="0" applyFont="1" applyFill="1" applyBorder="1">
      <alignment vertical="center"/>
    </xf>
    <xf numFmtId="0" fontId="33" fillId="0" borderId="510" xfId="0" applyFont="1" applyFill="1" applyBorder="1" applyAlignment="1">
      <alignment horizontal="left" vertical="center"/>
    </xf>
    <xf numFmtId="180" fontId="33" fillId="0" borderId="510" xfId="0" applyNumberFormat="1" applyFont="1" applyFill="1" applyBorder="1" applyAlignment="1">
      <alignment horizontal="right" vertical="center"/>
    </xf>
    <xf numFmtId="0" fontId="107" fillId="0" borderId="645" xfId="0" applyFont="1" applyBorder="1">
      <alignment vertical="center"/>
    </xf>
    <xf numFmtId="0" fontId="107" fillId="0" borderId="645" xfId="0" applyFont="1" applyBorder="1" applyAlignment="1">
      <alignment horizontal="center" vertical="center"/>
    </xf>
    <xf numFmtId="183" fontId="107" fillId="0" borderId="645" xfId="3" applyNumberFormat="1" applyFont="1" applyBorder="1">
      <alignment vertical="center"/>
    </xf>
    <xf numFmtId="41" fontId="23" fillId="0" borderId="0" xfId="2" applyFont="1" applyFill="1" applyBorder="1" applyAlignment="1">
      <alignment horizontal="center" vertical="center"/>
    </xf>
    <xf numFmtId="41" fontId="23" fillId="8" borderId="0" xfId="2" applyFont="1" applyFill="1" applyBorder="1" applyAlignment="1">
      <alignment horizontal="center" vertical="center"/>
    </xf>
    <xf numFmtId="177" fontId="5" fillId="6" borderId="597" xfId="0" applyNumberFormat="1" applyFont="1" applyFill="1" applyBorder="1" applyAlignment="1">
      <alignment horizontal="center" vertical="center"/>
    </xf>
    <xf numFmtId="179" fontId="5" fillId="6" borderId="365" xfId="0" applyNumberFormat="1" applyFont="1" applyFill="1" applyBorder="1" applyAlignment="1">
      <alignment horizontal="center" vertical="center"/>
    </xf>
    <xf numFmtId="177" fontId="8" fillId="6" borderId="365" xfId="0" applyNumberFormat="1" applyFont="1" applyFill="1" applyBorder="1" applyAlignment="1">
      <alignment horizontal="center" vertical="center"/>
    </xf>
    <xf numFmtId="177" fontId="8" fillId="6" borderId="593" xfId="0" applyNumberFormat="1" applyFont="1" applyFill="1" applyBorder="1" applyAlignment="1">
      <alignment horizontal="center" vertical="center"/>
    </xf>
    <xf numFmtId="0" fontId="5" fillId="0" borderId="646" xfId="0" applyFont="1" applyBorder="1" applyAlignment="1">
      <alignment horizontal="center" vertical="center"/>
    </xf>
    <xf numFmtId="179" fontId="5" fillId="6" borderId="194" xfId="0" applyNumberFormat="1" applyFont="1" applyFill="1" applyBorder="1" applyAlignment="1">
      <alignment horizontal="center" vertical="center"/>
    </xf>
    <xf numFmtId="177" fontId="5" fillId="6" borderId="647" xfId="0" applyNumberFormat="1" applyFont="1" applyFill="1" applyBorder="1" applyAlignment="1">
      <alignment horizontal="center" vertical="center"/>
    </xf>
    <xf numFmtId="179" fontId="5" fillId="6" borderId="508" xfId="0" applyNumberFormat="1" applyFont="1" applyFill="1" applyBorder="1" applyAlignment="1">
      <alignment horizontal="center" vertical="center"/>
    </xf>
    <xf numFmtId="177" fontId="5" fillId="6" borderId="648" xfId="0" applyNumberFormat="1" applyFont="1" applyFill="1" applyBorder="1" applyAlignment="1">
      <alignment horizontal="center" vertical="center"/>
    </xf>
    <xf numFmtId="179" fontId="5" fillId="6" borderId="369" xfId="0" applyNumberFormat="1" applyFont="1" applyFill="1" applyBorder="1" applyAlignment="1">
      <alignment horizontal="center" vertical="center"/>
    </xf>
    <xf numFmtId="177" fontId="5" fillId="6" borderId="101" xfId="0" applyNumberFormat="1" applyFont="1" applyFill="1" applyBorder="1" applyAlignment="1">
      <alignment horizontal="center" vertical="center"/>
    </xf>
    <xf numFmtId="177" fontId="8" fillId="6" borderId="369" xfId="0" applyNumberFormat="1" applyFont="1" applyFill="1" applyBorder="1" applyAlignment="1">
      <alignment horizontal="center" vertical="center"/>
    </xf>
    <xf numFmtId="177" fontId="8" fillId="6" borderId="596" xfId="0" applyNumberFormat="1" applyFont="1" applyFill="1" applyBorder="1" applyAlignment="1">
      <alignment horizontal="center" vertical="center"/>
    </xf>
    <xf numFmtId="9" fontId="23" fillId="8" borderId="0" xfId="3" applyFont="1" applyFill="1" applyBorder="1" applyAlignment="1">
      <alignment horizontal="center" vertical="center"/>
    </xf>
    <xf numFmtId="177" fontId="8" fillId="0" borderId="369" xfId="0" applyNumberFormat="1" applyFont="1" applyFill="1" applyBorder="1" applyAlignment="1">
      <alignment horizontal="center" vertical="center"/>
    </xf>
    <xf numFmtId="177" fontId="8" fillId="0" borderId="596" xfId="0" applyNumberFormat="1" applyFont="1" applyFill="1" applyBorder="1" applyAlignment="1">
      <alignment horizontal="center" vertical="center"/>
    </xf>
    <xf numFmtId="177" fontId="8" fillId="0" borderId="281" xfId="0" applyNumberFormat="1" applyFont="1" applyFill="1" applyBorder="1" applyAlignment="1">
      <alignment horizontal="center" vertical="center"/>
    </xf>
    <xf numFmtId="177" fontId="8" fillId="0" borderId="584" xfId="0" applyNumberFormat="1" applyFont="1" applyFill="1" applyBorder="1" applyAlignment="1">
      <alignment horizontal="center" vertical="center"/>
    </xf>
    <xf numFmtId="177" fontId="8" fillId="0" borderId="591" xfId="0" applyNumberFormat="1" applyFont="1" applyFill="1" applyBorder="1" applyAlignment="1">
      <alignment horizontal="center" vertical="center"/>
    </xf>
    <xf numFmtId="179" fontId="5" fillId="0" borderId="12" xfId="0" applyNumberFormat="1" applyFont="1" applyFill="1" applyBorder="1" applyAlignment="1">
      <alignment horizontal="center" vertical="center"/>
    </xf>
    <xf numFmtId="179" fontId="5" fillId="0" borderId="13" xfId="0" applyNumberFormat="1" applyFont="1" applyFill="1" applyBorder="1" applyAlignment="1">
      <alignment horizontal="center" vertical="center"/>
    </xf>
    <xf numFmtId="179" fontId="5" fillId="0" borderId="413" xfId="0" applyNumberFormat="1" applyFont="1" applyFill="1" applyBorder="1" applyAlignment="1">
      <alignment horizontal="center" vertical="center"/>
    </xf>
    <xf numFmtId="179" fontId="5" fillId="0" borderId="448" xfId="0" applyNumberFormat="1" applyFont="1" applyFill="1" applyBorder="1" applyAlignment="1">
      <alignment horizontal="center" vertical="center"/>
    </xf>
    <xf numFmtId="179" fontId="5" fillId="0" borderId="360" xfId="0" applyNumberFormat="1" applyFont="1" applyFill="1" applyBorder="1" applyAlignment="1">
      <alignment horizontal="center" vertical="center"/>
    </xf>
    <xf numFmtId="179" fontId="5" fillId="0" borderId="361" xfId="0" applyNumberFormat="1" applyFont="1" applyFill="1" applyBorder="1" applyAlignment="1">
      <alignment horizontal="center" vertical="center"/>
    </xf>
    <xf numFmtId="179" fontId="8" fillId="0" borderId="360" xfId="0" applyNumberFormat="1" applyFont="1" applyFill="1" applyBorder="1" applyAlignment="1">
      <alignment horizontal="center" vertical="center"/>
    </xf>
    <xf numFmtId="179" fontId="5" fillId="0" borderId="584" xfId="0" applyNumberFormat="1" applyFont="1" applyFill="1" applyBorder="1" applyAlignment="1">
      <alignment horizontal="center" vertical="center"/>
    </xf>
    <xf numFmtId="187" fontId="5" fillId="7" borderId="12" xfId="0" applyNumberFormat="1" applyFont="1" applyFill="1" applyBorder="1" applyAlignment="1">
      <alignment horizontal="center" vertical="center"/>
    </xf>
    <xf numFmtId="187" fontId="5" fillId="7" borderId="13" xfId="0" applyNumberFormat="1" applyFont="1" applyFill="1" applyBorder="1" applyAlignment="1">
      <alignment horizontal="center" vertical="center"/>
    </xf>
    <xf numFmtId="0" fontId="5" fillId="0" borderId="163" xfId="0" applyFont="1" applyBorder="1" applyAlignment="1">
      <alignment horizontal="center" vertical="center"/>
    </xf>
    <xf numFmtId="177" fontId="8" fillId="0" borderId="76" xfId="0" applyNumberFormat="1" applyFont="1" applyFill="1" applyBorder="1" applyAlignment="1">
      <alignment horizontal="center" vertical="center"/>
    </xf>
    <xf numFmtId="177" fontId="5" fillId="0" borderId="80" xfId="0" applyNumberFormat="1" applyFont="1" applyFill="1" applyBorder="1" applyAlignment="1">
      <alignment horizontal="center" vertical="center"/>
    </xf>
    <xf numFmtId="177" fontId="5" fillId="0" borderId="84" xfId="0" applyNumberFormat="1" applyFont="1" applyFill="1" applyBorder="1" applyAlignment="1">
      <alignment horizontal="center" vertical="center"/>
    </xf>
    <xf numFmtId="181" fontId="8" fillId="0" borderId="80" xfId="0" applyNumberFormat="1" applyFont="1" applyFill="1" applyBorder="1" applyAlignment="1">
      <alignment horizontal="center" vertical="center"/>
    </xf>
    <xf numFmtId="181" fontId="8" fillId="0" borderId="84" xfId="0" applyNumberFormat="1" applyFont="1" applyFill="1" applyBorder="1" applyAlignment="1">
      <alignment horizontal="center" vertical="center"/>
    </xf>
    <xf numFmtId="180" fontId="9" fillId="0" borderId="80" xfId="0" applyNumberFormat="1" applyFont="1" applyFill="1" applyBorder="1" applyAlignment="1">
      <alignment horizontal="center" vertical="center"/>
    </xf>
    <xf numFmtId="180" fontId="9" fillId="0" borderId="354" xfId="0" applyNumberFormat="1" applyFont="1" applyFill="1" applyBorder="1" applyAlignment="1">
      <alignment horizontal="center" vertical="center"/>
    </xf>
    <xf numFmtId="180" fontId="9" fillId="0" borderId="61" xfId="0" applyNumberFormat="1" applyFont="1" applyFill="1" applyBorder="1" applyAlignment="1">
      <alignment horizontal="center" vertical="center"/>
    </xf>
    <xf numFmtId="180" fontId="9" fillId="0" borderId="356" xfId="0" applyNumberFormat="1" applyFont="1" applyFill="1" applyBorder="1" applyAlignment="1">
      <alignment horizontal="center" vertical="center"/>
    </xf>
    <xf numFmtId="177" fontId="3" fillId="17" borderId="76" xfId="0" applyNumberFormat="1" applyFont="1" applyFill="1" applyBorder="1" applyAlignment="1">
      <alignment horizontal="center" vertical="center"/>
    </xf>
    <xf numFmtId="177" fontId="3" fillId="17" borderId="85" xfId="0" applyNumberFormat="1" applyFont="1" applyFill="1" applyBorder="1" applyAlignment="1">
      <alignment horizontal="center" vertical="center"/>
    </xf>
    <xf numFmtId="177" fontId="3" fillId="17" borderId="571" xfId="0" applyNumberFormat="1" applyFont="1" applyFill="1" applyBorder="1" applyAlignment="1">
      <alignment horizontal="center" vertical="center"/>
    </xf>
    <xf numFmtId="177" fontId="8" fillId="0" borderId="102" xfId="0" applyNumberFormat="1" applyFont="1" applyFill="1" applyBorder="1" applyAlignment="1">
      <alignment horizontal="center" vertical="center"/>
    </xf>
    <xf numFmtId="177" fontId="8" fillId="0" borderId="220" xfId="0" applyNumberFormat="1" applyFont="1" applyFill="1" applyBorder="1" applyAlignment="1">
      <alignment horizontal="center" vertical="center"/>
    </xf>
    <xf numFmtId="177" fontId="8" fillId="0" borderId="101" xfId="0" applyNumberFormat="1" applyFont="1" applyFill="1" applyBorder="1" applyAlignment="1">
      <alignment horizontal="center" vertical="center"/>
    </xf>
    <xf numFmtId="177" fontId="8" fillId="0" borderId="103" xfId="0" applyNumberFormat="1" applyFont="1" applyFill="1" applyBorder="1" applyAlignment="1">
      <alignment horizontal="center" vertical="center"/>
    </xf>
    <xf numFmtId="177" fontId="5" fillId="6" borderId="650" xfId="0" applyNumberFormat="1" applyFont="1" applyFill="1" applyBorder="1" applyAlignment="1">
      <alignment horizontal="center" vertical="center"/>
    </xf>
    <xf numFmtId="0" fontId="62" fillId="2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180" fontId="0" fillId="11" borderId="0" xfId="0" applyNumberFormat="1" applyFill="1">
      <alignment vertical="center"/>
    </xf>
    <xf numFmtId="179" fontId="0" fillId="11" borderId="0" xfId="0" applyNumberFormat="1" applyFill="1">
      <alignment vertical="center"/>
    </xf>
    <xf numFmtId="0" fontId="0" fillId="11" borderId="0" xfId="0" applyFill="1" applyAlignment="1">
      <alignment horizontal="center" vertical="center" shrinkToFit="1"/>
    </xf>
    <xf numFmtId="180" fontId="0" fillId="11" borderId="0" xfId="0" applyNumberFormat="1" applyFill="1" applyBorder="1">
      <alignment vertical="center"/>
    </xf>
    <xf numFmtId="0" fontId="0" fillId="11" borderId="326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180" fontId="20" fillId="0" borderId="0" xfId="2" applyNumberFormat="1" applyFont="1" applyAlignment="1">
      <alignment horizontal="center" vertical="center"/>
    </xf>
    <xf numFmtId="9" fontId="75" fillId="0" borderId="0" xfId="3" applyFont="1" applyBorder="1" applyAlignment="1">
      <alignment horizontal="center" vertical="center"/>
    </xf>
    <xf numFmtId="41" fontId="20" fillId="0" borderId="0" xfId="2" applyFont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0" fillId="30" borderId="0" xfId="0" applyFill="1" applyAlignment="1">
      <alignment horizontal="center" vertical="center" shrinkToFit="1"/>
    </xf>
    <xf numFmtId="0" fontId="0" fillId="30" borderId="326" xfId="0" applyFill="1" applyBorder="1" applyAlignment="1">
      <alignment horizontal="center" vertical="center"/>
    </xf>
    <xf numFmtId="0" fontId="0" fillId="30" borderId="0" xfId="0" applyFill="1" applyBorder="1" applyAlignment="1">
      <alignment horizontal="center" vertical="center"/>
    </xf>
    <xf numFmtId="180" fontId="0" fillId="30" borderId="0" xfId="0" applyNumberFormat="1" applyFill="1">
      <alignment vertical="center"/>
    </xf>
    <xf numFmtId="180" fontId="0" fillId="30" borderId="0" xfId="0" applyNumberFormat="1" applyFill="1" applyBorder="1">
      <alignment vertical="center"/>
    </xf>
    <xf numFmtId="177" fontId="8" fillId="0" borderId="60" xfId="0" applyNumberFormat="1" applyFont="1" applyFill="1" applyBorder="1" applyAlignment="1">
      <alignment horizontal="center" vertical="center"/>
    </xf>
    <xf numFmtId="9" fontId="8" fillId="3" borderId="172" xfId="0" applyNumberFormat="1" applyFont="1" applyFill="1" applyBorder="1" applyAlignment="1">
      <alignment horizontal="center" vertical="center"/>
    </xf>
    <xf numFmtId="9" fontId="8" fillId="3" borderId="185" xfId="0" applyNumberFormat="1" applyFont="1" applyFill="1" applyBorder="1" applyAlignment="1">
      <alignment horizontal="center" vertical="center"/>
    </xf>
    <xf numFmtId="9" fontId="8" fillId="3" borderId="351" xfId="0" applyNumberFormat="1" applyFont="1" applyFill="1" applyBorder="1" applyAlignment="1">
      <alignment horizontal="center" vertical="center"/>
    </xf>
    <xf numFmtId="9" fontId="8" fillId="0" borderId="57" xfId="3" applyFont="1" applyFill="1" applyBorder="1" applyAlignment="1">
      <alignment horizontal="center" vertical="center"/>
    </xf>
    <xf numFmtId="9" fontId="8" fillId="0" borderId="76" xfId="3" applyFont="1" applyFill="1" applyBorder="1" applyAlignment="1">
      <alignment horizontal="center" vertical="center"/>
    </xf>
    <xf numFmtId="180" fontId="5" fillId="6" borderId="84" xfId="0" applyNumberFormat="1" applyFont="1" applyFill="1" applyBorder="1" applyAlignment="1">
      <alignment horizontal="center" vertical="center"/>
    </xf>
    <xf numFmtId="180" fontId="5" fillId="6" borderId="251" xfId="0" applyNumberFormat="1" applyFont="1" applyFill="1" applyBorder="1" applyAlignment="1">
      <alignment horizontal="center" vertical="center"/>
    </xf>
    <xf numFmtId="180" fontId="5" fillId="6" borderId="16" xfId="0" applyNumberFormat="1" applyFont="1" applyFill="1" applyBorder="1" applyAlignment="1">
      <alignment horizontal="center" vertical="center"/>
    </xf>
    <xf numFmtId="180" fontId="5" fillId="6" borderId="482" xfId="0" applyNumberFormat="1" applyFont="1" applyFill="1" applyBorder="1" applyAlignment="1">
      <alignment horizontal="center" vertical="center"/>
    </xf>
    <xf numFmtId="180" fontId="5" fillId="6" borderId="483" xfId="0" applyNumberFormat="1" applyFont="1" applyFill="1" applyBorder="1" applyAlignment="1">
      <alignment horizontal="center" vertical="center"/>
    </xf>
    <xf numFmtId="9" fontId="5" fillId="6" borderId="84" xfId="3" applyFont="1" applyFill="1" applyBorder="1" applyAlignment="1">
      <alignment horizontal="center" vertical="center"/>
    </xf>
    <xf numFmtId="177" fontId="3" fillId="17" borderId="187" xfId="0" applyNumberFormat="1" applyFont="1" applyFill="1" applyBorder="1" applyAlignment="1">
      <alignment horizontal="center" vertical="center"/>
    </xf>
    <xf numFmtId="177" fontId="3" fillId="17" borderId="188" xfId="0" applyNumberFormat="1" applyFont="1" applyFill="1" applyBorder="1" applyAlignment="1">
      <alignment horizontal="center" vertical="center"/>
    </xf>
    <xf numFmtId="177" fontId="3" fillId="17" borderId="189" xfId="0" applyNumberFormat="1" applyFont="1" applyFill="1" applyBorder="1" applyAlignment="1">
      <alignment horizontal="center" vertical="center"/>
    </xf>
    <xf numFmtId="177" fontId="3" fillId="17" borderId="190" xfId="0" applyNumberFormat="1" applyFont="1" applyFill="1" applyBorder="1" applyAlignment="1">
      <alignment horizontal="center" vertical="center"/>
    </xf>
    <xf numFmtId="177" fontId="3" fillId="17" borderId="332" xfId="0" applyNumberFormat="1" applyFont="1" applyFill="1" applyBorder="1" applyAlignment="1">
      <alignment horizontal="center" vertical="center"/>
    </xf>
    <xf numFmtId="177" fontId="3" fillId="17" borderId="328" xfId="0" applyNumberFormat="1" applyFont="1" applyFill="1" applyBorder="1" applyAlignment="1">
      <alignment horizontal="center" vertical="center"/>
    </xf>
    <xf numFmtId="177" fontId="3" fillId="17" borderId="210" xfId="0" applyNumberFormat="1" applyFont="1" applyFill="1" applyBorder="1" applyAlignment="1">
      <alignment horizontal="center" vertical="center"/>
    </xf>
    <xf numFmtId="177" fontId="3" fillId="17" borderId="331" xfId="0" applyNumberFormat="1" applyFont="1" applyFill="1" applyBorder="1" applyAlignment="1">
      <alignment horizontal="center" vertical="center"/>
    </xf>
    <xf numFmtId="9" fontId="44" fillId="0" borderId="0" xfId="3" applyFont="1" applyFill="1" applyAlignment="1">
      <alignment horizontal="center" vertical="center"/>
    </xf>
    <xf numFmtId="179" fontId="9" fillId="3" borderId="590" xfId="0" applyNumberFormat="1" applyFont="1" applyFill="1" applyBorder="1" applyAlignment="1">
      <alignment horizontal="center" vertical="center"/>
    </xf>
    <xf numFmtId="179" fontId="9" fillId="3" borderId="185" xfId="0" applyNumberFormat="1" applyFont="1" applyFill="1" applyBorder="1" applyAlignment="1">
      <alignment horizontal="center" vertical="center"/>
    </xf>
    <xf numFmtId="177" fontId="3" fillId="17" borderId="235" xfId="0" applyNumberFormat="1" applyFont="1" applyFill="1" applyBorder="1" applyAlignment="1">
      <alignment horizontal="center" vertical="center"/>
    </xf>
    <xf numFmtId="177" fontId="3" fillId="17" borderId="48" xfId="0" applyNumberFormat="1" applyFont="1" applyFill="1" applyBorder="1" applyAlignment="1">
      <alignment horizontal="center" vertical="center"/>
    </xf>
    <xf numFmtId="177" fontId="3" fillId="17" borderId="49" xfId="0" applyNumberFormat="1" applyFont="1" applyFill="1" applyBorder="1" applyAlignment="1">
      <alignment horizontal="center" vertical="center"/>
    </xf>
    <xf numFmtId="177" fontId="3" fillId="17" borderId="70" xfId="0" applyNumberFormat="1" applyFont="1" applyFill="1" applyBorder="1" applyAlignment="1">
      <alignment horizontal="center" vertical="center"/>
    </xf>
    <xf numFmtId="177" fontId="20" fillId="0" borderId="0" xfId="0" applyNumberFormat="1" applyFont="1" applyFill="1">
      <alignment vertical="center"/>
    </xf>
    <xf numFmtId="0" fontId="20" fillId="0" borderId="0" xfId="0" applyFont="1">
      <alignment vertical="center"/>
    </xf>
    <xf numFmtId="41" fontId="8" fillId="0" borderId="71" xfId="0" applyNumberFormat="1" applyFont="1" applyFill="1" applyBorder="1">
      <alignment vertical="center"/>
    </xf>
    <xf numFmtId="186" fontId="8" fillId="0" borderId="53" xfId="0" applyNumberFormat="1" applyFont="1" applyFill="1" applyBorder="1" applyAlignment="1">
      <alignment horizontal="center" vertical="center"/>
    </xf>
    <xf numFmtId="186" fontId="8" fillId="0" borderId="288" xfId="0" applyNumberFormat="1" applyFont="1" applyFill="1" applyBorder="1" applyAlignment="1">
      <alignment horizontal="center" vertical="center"/>
    </xf>
    <xf numFmtId="182" fontId="8" fillId="3" borderId="252" xfId="2" applyNumberFormat="1" applyFont="1" applyFill="1" applyBorder="1">
      <alignment vertical="center"/>
    </xf>
    <xf numFmtId="182" fontId="8" fillId="3" borderId="292" xfId="2" applyNumberFormat="1" applyFont="1" applyFill="1" applyBorder="1">
      <alignment vertical="center"/>
    </xf>
    <xf numFmtId="177" fontId="3" fillId="17" borderId="94" xfId="0" applyNumberFormat="1" applyFont="1" applyFill="1" applyBorder="1" applyAlignment="1">
      <alignment horizontal="center" vertical="center"/>
    </xf>
    <xf numFmtId="41" fontId="8" fillId="0" borderId="51" xfId="0" applyNumberFormat="1" applyFont="1" applyFill="1" applyBorder="1">
      <alignment vertical="center"/>
    </xf>
    <xf numFmtId="180" fontId="111" fillId="0" borderId="0" xfId="0" applyNumberFormat="1" applyFont="1">
      <alignment vertical="center"/>
    </xf>
    <xf numFmtId="180" fontId="8" fillId="0" borderId="61" xfId="2" applyNumberFormat="1" applyFont="1" applyFill="1" applyBorder="1" applyAlignment="1">
      <alignment horizontal="right" vertical="center"/>
    </xf>
    <xf numFmtId="180" fontId="91" fillId="0" borderId="514" xfId="0" applyNumberFormat="1" applyFont="1" applyBorder="1" applyAlignment="1">
      <alignment horizontal="center" vertical="center" shrinkToFit="1"/>
    </xf>
    <xf numFmtId="180" fontId="91" fillId="0" borderId="0" xfId="0" applyNumberFormat="1" applyFont="1" applyBorder="1" applyAlignment="1">
      <alignment horizontal="center" vertical="center" shrinkToFit="1"/>
    </xf>
    <xf numFmtId="182" fontId="20" fillId="26" borderId="0" xfId="2" applyNumberFormat="1" applyFont="1" applyFill="1" applyBorder="1" applyAlignment="1">
      <alignment horizontal="center" vertical="center" shrinkToFit="1"/>
    </xf>
    <xf numFmtId="182" fontId="20" fillId="26" borderId="395" xfId="2" applyNumberFormat="1" applyFont="1" applyFill="1" applyBorder="1" applyAlignment="1">
      <alignment horizontal="center" vertical="center" shrinkToFit="1"/>
    </xf>
    <xf numFmtId="182" fontId="20" fillId="18" borderId="621" xfId="2" applyNumberFormat="1" applyFont="1" applyFill="1" applyBorder="1" applyAlignment="1">
      <alignment horizontal="center" vertical="center" shrinkToFit="1"/>
    </xf>
    <xf numFmtId="177" fontId="3" fillId="17" borderId="651" xfId="0" applyNumberFormat="1" applyFont="1" applyFill="1" applyBorder="1" applyAlignment="1">
      <alignment horizontal="center" vertical="center"/>
    </xf>
    <xf numFmtId="177" fontId="3" fillId="17" borderId="198" xfId="0" applyNumberFormat="1" applyFont="1" applyFill="1" applyBorder="1" applyAlignment="1">
      <alignment horizontal="center" vertical="center"/>
    </xf>
    <xf numFmtId="177" fontId="3" fillId="17" borderId="399" xfId="0" applyNumberFormat="1" applyFont="1" applyFill="1" applyBorder="1" applyAlignment="1">
      <alignment horizontal="center" vertical="center" shrinkToFit="1"/>
    </xf>
    <xf numFmtId="177" fontId="3" fillId="17" borderId="391" xfId="0" applyNumberFormat="1" applyFont="1" applyFill="1" applyBorder="1" applyAlignment="1">
      <alignment horizontal="center" vertical="center"/>
    </xf>
    <xf numFmtId="177" fontId="3" fillId="17" borderId="392" xfId="0" applyNumberFormat="1" applyFont="1" applyFill="1" applyBorder="1" applyAlignment="1">
      <alignment horizontal="center" vertical="center"/>
    </xf>
    <xf numFmtId="177" fontId="3" fillId="17" borderId="393" xfId="0" applyNumberFormat="1" applyFont="1" applyFill="1" applyBorder="1" applyAlignment="1">
      <alignment horizontal="center" vertical="center"/>
    </xf>
    <xf numFmtId="177" fontId="3" fillId="17" borderId="78" xfId="0" applyNumberFormat="1" applyFont="1" applyFill="1" applyBorder="1" applyAlignment="1">
      <alignment horizontal="center" vertical="center"/>
    </xf>
    <xf numFmtId="177" fontId="3" fillId="17" borderId="75" xfId="0" applyNumberFormat="1" applyFont="1" applyFill="1" applyBorder="1" applyAlignment="1">
      <alignment horizontal="center" vertical="center"/>
    </xf>
    <xf numFmtId="41" fontId="8" fillId="6" borderId="84" xfId="2" applyNumberFormat="1" applyFont="1" applyFill="1" applyBorder="1" applyAlignment="1">
      <alignment horizontal="center" vertical="center"/>
    </xf>
    <xf numFmtId="41" fontId="8" fillId="6" borderId="652" xfId="2" applyFont="1" applyFill="1" applyBorder="1" applyAlignment="1">
      <alignment horizontal="center" vertical="center"/>
    </xf>
    <xf numFmtId="197" fontId="8" fillId="6" borderId="79" xfId="2" applyNumberFormat="1" applyFont="1" applyFill="1" applyBorder="1" applyAlignment="1">
      <alignment horizontal="center" vertical="center"/>
    </xf>
    <xf numFmtId="197" fontId="8" fillId="6" borderId="81" xfId="2" applyNumberFormat="1" applyFont="1" applyFill="1" applyBorder="1" applyAlignment="1">
      <alignment horizontal="center" vertical="center"/>
    </xf>
    <xf numFmtId="41" fontId="8" fillId="0" borderId="0" xfId="2" applyFont="1">
      <alignment vertical="center"/>
    </xf>
    <xf numFmtId="177" fontId="3" fillId="17" borderId="653" xfId="0" applyNumberFormat="1" applyFont="1" applyFill="1" applyBorder="1" applyAlignment="1">
      <alignment horizontal="center" vertical="center"/>
    </xf>
    <xf numFmtId="177" fontId="3" fillId="17" borderId="654" xfId="0" applyNumberFormat="1" applyFont="1" applyFill="1" applyBorder="1" applyAlignment="1">
      <alignment horizontal="center" vertical="center"/>
    </xf>
    <xf numFmtId="177" fontId="11" fillId="3" borderId="653" xfId="0" applyNumberFormat="1" applyFont="1" applyFill="1" applyBorder="1" applyAlignment="1">
      <alignment horizontal="center" vertical="center"/>
    </xf>
    <xf numFmtId="177" fontId="11" fillId="4" borderId="655" xfId="0" applyNumberFormat="1" applyFont="1" applyFill="1" applyBorder="1" applyAlignment="1">
      <alignment horizontal="center" vertical="center"/>
    </xf>
    <xf numFmtId="177" fontId="11" fillId="0" borderId="449" xfId="0" applyNumberFormat="1" applyFont="1" applyBorder="1" applyAlignment="1">
      <alignment horizontal="center" vertical="center"/>
    </xf>
    <xf numFmtId="177" fontId="5" fillId="4" borderId="655" xfId="0" applyNumberFormat="1" applyFont="1" applyFill="1" applyBorder="1" applyAlignment="1">
      <alignment horizontal="center" vertical="center"/>
    </xf>
    <xf numFmtId="177" fontId="11" fillId="4" borderId="656" xfId="0" applyNumberFormat="1" applyFont="1" applyFill="1" applyBorder="1" applyAlignment="1">
      <alignment horizontal="center" vertical="center"/>
    </xf>
    <xf numFmtId="177" fontId="5" fillId="4" borderId="657" xfId="0" applyNumberFormat="1" applyFont="1" applyFill="1" applyBorder="1" applyAlignment="1">
      <alignment horizontal="center" vertical="center"/>
    </xf>
    <xf numFmtId="177" fontId="5" fillId="4" borderId="658" xfId="0" applyNumberFormat="1" applyFont="1" applyFill="1" applyBorder="1" applyAlignment="1">
      <alignment horizontal="center" vertical="center"/>
    </xf>
    <xf numFmtId="177" fontId="11" fillId="3" borderId="661" xfId="0" applyNumberFormat="1" applyFont="1" applyFill="1" applyBorder="1" applyAlignment="1">
      <alignment horizontal="center" vertical="center"/>
    </xf>
    <xf numFmtId="0" fontId="31" fillId="16" borderId="305" xfId="0" applyFont="1" applyFill="1" applyBorder="1" applyAlignment="1">
      <alignment horizontal="center" vertical="center" shrinkToFit="1"/>
    </xf>
    <xf numFmtId="0" fontId="31" fillId="14" borderId="305" xfId="0" applyFont="1" applyFill="1" applyBorder="1" applyAlignment="1">
      <alignment horizontal="center" vertical="center" shrinkToFit="1"/>
    </xf>
    <xf numFmtId="0" fontId="31" fillId="12" borderId="314" xfId="0" applyFont="1" applyFill="1" applyBorder="1" applyAlignment="1">
      <alignment horizontal="center" vertical="center" shrinkToFit="1"/>
    </xf>
    <xf numFmtId="0" fontId="31" fillId="12" borderId="305" xfId="0" applyFont="1" applyFill="1" applyBorder="1" applyAlignment="1">
      <alignment horizontal="center" vertical="center" shrinkToFit="1"/>
    </xf>
    <xf numFmtId="177" fontId="11" fillId="0" borderId="0" xfId="0" applyNumberFormat="1" applyFont="1" applyFill="1" applyBorder="1" applyAlignment="1">
      <alignment horizontal="center" vertical="center"/>
    </xf>
    <xf numFmtId="187" fontId="5" fillId="0" borderId="0" xfId="0" applyNumberFormat="1" applyFont="1" applyFill="1" applyBorder="1" applyAlignment="1">
      <alignment horizontal="center" vertical="center"/>
    </xf>
    <xf numFmtId="41" fontId="8" fillId="0" borderId="0" xfId="2" applyFont="1" applyFill="1" applyAlignment="1">
      <alignment horizontal="center" vertical="center"/>
    </xf>
    <xf numFmtId="180" fontId="8" fillId="0" borderId="0" xfId="2" applyNumberFormat="1" applyFont="1" applyFill="1" applyAlignment="1">
      <alignment horizontal="center" vertical="center"/>
    </xf>
    <xf numFmtId="183" fontId="75" fillId="0" borderId="0" xfId="3" applyNumberFormat="1" applyFont="1" applyFill="1" applyAlignment="1">
      <alignment horizontal="center" vertical="center"/>
    </xf>
    <xf numFmtId="180" fontId="75" fillId="0" borderId="0" xfId="2" applyNumberFormat="1" applyFont="1" applyFill="1" applyAlignment="1">
      <alignment horizontal="center" vertical="center"/>
    </xf>
    <xf numFmtId="9" fontId="48" fillId="0" borderId="0" xfId="3" applyFont="1" applyFill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83" fontId="8" fillId="0" borderId="0" xfId="3" applyNumberFormat="1" applyFont="1" applyFill="1" applyBorder="1" applyAlignment="1">
      <alignment horizontal="center" vertical="center"/>
    </xf>
    <xf numFmtId="9" fontId="8" fillId="0" borderId="0" xfId="3" applyFont="1" applyFill="1" applyBorder="1" applyAlignment="1">
      <alignment horizontal="center" vertical="center"/>
    </xf>
    <xf numFmtId="177" fontId="8" fillId="0" borderId="0" xfId="0" applyNumberFormat="1" applyFont="1" applyFill="1" applyAlignment="1">
      <alignment horizontal="center" vertical="center"/>
    </xf>
    <xf numFmtId="183" fontId="8" fillId="0" borderId="0" xfId="3" applyNumberFormat="1" applyFont="1" applyFill="1" applyAlignment="1">
      <alignment horizontal="center" vertical="center"/>
    </xf>
    <xf numFmtId="9" fontId="113" fillId="0" borderId="0" xfId="3" applyFont="1" applyFill="1" applyBorder="1" applyAlignment="1">
      <alignment horizontal="center" vertical="center"/>
    </xf>
    <xf numFmtId="182" fontId="37" fillId="0" borderId="403" xfId="0" applyNumberFormat="1" applyFont="1" applyFill="1" applyBorder="1" applyAlignment="1">
      <alignment horizontal="center" vertical="center"/>
    </xf>
    <xf numFmtId="182" fontId="40" fillId="0" borderId="403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177" fontId="5" fillId="0" borderId="0" xfId="0" applyNumberFormat="1" applyFont="1">
      <alignment vertical="center"/>
    </xf>
    <xf numFmtId="0" fontId="114" fillId="0" borderId="0" xfId="0" applyFont="1">
      <alignment vertical="center"/>
    </xf>
    <xf numFmtId="9" fontId="5" fillId="0" borderId="0" xfId="3" applyFont="1">
      <alignment vertical="center"/>
    </xf>
    <xf numFmtId="182" fontId="37" fillId="15" borderId="510" xfId="0" applyNumberFormat="1" applyFont="1" applyFill="1" applyBorder="1" applyAlignment="1">
      <alignment horizontal="center" vertical="center"/>
    </xf>
    <xf numFmtId="182" fontId="15" fillId="26" borderId="0" xfId="0" applyNumberFormat="1" applyFont="1" applyFill="1">
      <alignment vertical="center"/>
    </xf>
    <xf numFmtId="177" fontId="3" fillId="0" borderId="514" xfId="0" applyNumberFormat="1" applyFont="1" applyFill="1" applyBorder="1" applyAlignment="1">
      <alignment horizontal="center" vertical="center"/>
    </xf>
    <xf numFmtId="0" fontId="5" fillId="0" borderId="0" xfId="0" applyFont="1" applyFill="1">
      <alignment vertical="center"/>
    </xf>
    <xf numFmtId="193" fontId="7" fillId="0" borderId="0" xfId="0" applyNumberFormat="1" applyFont="1">
      <alignment vertical="center"/>
    </xf>
    <xf numFmtId="41" fontId="5" fillId="0" borderId="0" xfId="2" applyFont="1">
      <alignment vertical="center"/>
    </xf>
    <xf numFmtId="180" fontId="53" fillId="0" borderId="0" xfId="2" applyNumberFormat="1" applyFont="1" applyFill="1" applyBorder="1" applyAlignment="1">
      <alignment horizontal="center" vertical="center"/>
    </xf>
    <xf numFmtId="180" fontId="53" fillId="0" borderId="0" xfId="3" applyNumberFormat="1" applyFont="1" applyFill="1" applyAlignment="1">
      <alignment horizontal="center" vertical="center"/>
    </xf>
    <xf numFmtId="0" fontId="93" fillId="0" borderId="0" xfId="0" applyFont="1">
      <alignment vertical="center"/>
    </xf>
    <xf numFmtId="182" fontId="19" fillId="0" borderId="0" xfId="0" applyNumberFormat="1" applyFont="1">
      <alignment vertical="center"/>
    </xf>
    <xf numFmtId="0" fontId="101" fillId="0" borderId="0" xfId="0" applyFont="1" applyAlignment="1">
      <alignment horizontal="center" vertical="center"/>
    </xf>
    <xf numFmtId="177" fontId="100" fillId="17" borderId="24" xfId="0" applyNumberFormat="1" applyFont="1" applyFill="1" applyBorder="1" applyAlignment="1">
      <alignment horizontal="center" vertical="center"/>
    </xf>
    <xf numFmtId="177" fontId="100" fillId="17" borderId="664" xfId="0" applyNumberFormat="1" applyFont="1" applyFill="1" applyBorder="1" applyAlignment="1">
      <alignment horizontal="center" vertical="center"/>
    </xf>
    <xf numFmtId="205" fontId="101" fillId="0" borderId="665" xfId="0" applyNumberFormat="1" applyFont="1" applyBorder="1" applyAlignment="1">
      <alignment horizontal="center" vertical="center"/>
    </xf>
    <xf numFmtId="205" fontId="101" fillId="0" borderId="666" xfId="0" applyNumberFormat="1" applyFont="1" applyBorder="1" applyAlignment="1">
      <alignment horizontal="center" vertical="center"/>
    </xf>
    <xf numFmtId="182" fontId="36" fillId="0" borderId="0" xfId="0" applyNumberFormat="1" applyFont="1">
      <alignment vertical="center"/>
    </xf>
    <xf numFmtId="205" fontId="101" fillId="7" borderId="665" xfId="0" applyNumberFormat="1" applyFont="1" applyFill="1" applyBorder="1" applyAlignment="1">
      <alignment horizontal="center" vertical="center"/>
    </xf>
    <xf numFmtId="205" fontId="101" fillId="7" borderId="666" xfId="0" applyNumberFormat="1" applyFont="1" applyFill="1" applyBorder="1" applyAlignment="1">
      <alignment horizontal="center" vertical="center"/>
    </xf>
    <xf numFmtId="41" fontId="115" fillId="0" borderId="0" xfId="2" applyFont="1">
      <alignment vertical="center"/>
    </xf>
    <xf numFmtId="183" fontId="33" fillId="0" borderId="0" xfId="3" applyNumberFormat="1" applyFont="1" applyAlignment="1">
      <alignment horizontal="center" vertical="center"/>
    </xf>
    <xf numFmtId="205" fontId="101" fillId="11" borderId="665" xfId="0" applyNumberFormat="1" applyFont="1" applyFill="1" applyBorder="1" applyAlignment="1">
      <alignment horizontal="center" vertical="center"/>
    </xf>
    <xf numFmtId="205" fontId="101" fillId="11" borderId="666" xfId="0" applyNumberFormat="1" applyFont="1" applyFill="1" applyBorder="1" applyAlignment="1">
      <alignment horizontal="center" vertical="center"/>
    </xf>
    <xf numFmtId="183" fontId="116" fillId="0" borderId="0" xfId="3" applyNumberFormat="1" applyFont="1" applyAlignment="1">
      <alignment horizontal="center" vertical="center"/>
    </xf>
    <xf numFmtId="0" fontId="117" fillId="0" borderId="0" xfId="0" applyFont="1" applyAlignment="1">
      <alignment horizontal="center" vertical="center"/>
    </xf>
    <xf numFmtId="0" fontId="118" fillId="0" borderId="0" xfId="0" applyFont="1" applyAlignment="1">
      <alignment horizontal="center" vertical="center"/>
    </xf>
    <xf numFmtId="9" fontId="117" fillId="0" borderId="0" xfId="3" applyFont="1" applyAlignment="1">
      <alignment horizontal="center" vertical="center"/>
    </xf>
    <xf numFmtId="9" fontId="118" fillId="0" borderId="0" xfId="3" applyFont="1" applyAlignment="1">
      <alignment horizontal="center" vertical="center"/>
    </xf>
    <xf numFmtId="0" fontId="119" fillId="0" borderId="0" xfId="0" applyFont="1">
      <alignment vertical="center"/>
    </xf>
    <xf numFmtId="0" fontId="120" fillId="0" borderId="0" xfId="0" applyFont="1" applyAlignment="1">
      <alignment horizontal="center" vertical="center"/>
    </xf>
    <xf numFmtId="0" fontId="70" fillId="0" borderId="0" xfId="0" applyFont="1">
      <alignment vertical="center"/>
    </xf>
    <xf numFmtId="205" fontId="120" fillId="0" borderId="0" xfId="3" applyNumberFormat="1" applyFont="1" applyAlignment="1">
      <alignment horizontal="center" vertical="center"/>
    </xf>
    <xf numFmtId="0" fontId="121" fillId="0" borderId="0" xfId="0" applyFont="1">
      <alignment vertical="center"/>
    </xf>
    <xf numFmtId="9" fontId="33" fillId="0" borderId="0" xfId="3" applyFont="1">
      <alignment vertical="center"/>
    </xf>
    <xf numFmtId="0" fontId="36" fillId="0" borderId="0" xfId="0" applyFont="1" applyAlignment="1">
      <alignment horizontal="right"/>
    </xf>
    <xf numFmtId="0" fontId="100" fillId="17" borderId="668" xfId="0" applyFont="1" applyFill="1" applyBorder="1" applyAlignment="1">
      <alignment horizontal="center" vertical="center" shrinkToFit="1"/>
    </xf>
    <xf numFmtId="0" fontId="100" fillId="17" borderId="669" xfId="0" applyFont="1" applyFill="1" applyBorder="1" applyAlignment="1">
      <alignment horizontal="center" vertical="center" shrinkToFit="1"/>
    </xf>
    <xf numFmtId="206" fontId="33" fillId="0" borderId="674" xfId="2" applyNumberFormat="1" applyFont="1" applyFill="1" applyBorder="1" applyAlignment="1">
      <alignment horizontal="center" vertical="center"/>
    </xf>
    <xf numFmtId="183" fontId="33" fillId="0" borderId="674" xfId="3" applyNumberFormat="1" applyFont="1" applyFill="1" applyBorder="1" applyAlignment="1">
      <alignment horizontal="center" vertical="center"/>
    </xf>
    <xf numFmtId="183" fontId="33" fillId="0" borderId="677" xfId="3" applyNumberFormat="1" applyFont="1" applyFill="1" applyBorder="1" applyAlignment="1">
      <alignment horizontal="center" vertical="center"/>
    </xf>
    <xf numFmtId="207" fontId="101" fillId="7" borderId="531" xfId="0" applyNumberFormat="1" applyFont="1" applyFill="1" applyBorder="1" applyAlignment="1">
      <alignment horizontal="center" vertical="center" shrinkToFit="1"/>
    </xf>
    <xf numFmtId="183" fontId="101" fillId="7" borderId="531" xfId="3" applyNumberFormat="1" applyFont="1" applyFill="1" applyBorder="1" applyAlignment="1">
      <alignment horizontal="center" vertical="center"/>
    </xf>
    <xf numFmtId="207" fontId="101" fillId="7" borderId="510" xfId="0" applyNumberFormat="1" applyFont="1" applyFill="1" applyBorder="1" applyAlignment="1">
      <alignment horizontal="center" vertical="center" shrinkToFit="1"/>
    </xf>
    <xf numFmtId="183" fontId="101" fillId="7" borderId="510" xfId="3" applyNumberFormat="1" applyFont="1" applyFill="1" applyBorder="1" applyAlignment="1">
      <alignment horizontal="center" vertical="center"/>
    </xf>
    <xf numFmtId="183" fontId="33" fillId="0" borderId="510" xfId="3" applyNumberFormat="1" applyFont="1" applyFill="1" applyBorder="1" applyAlignment="1">
      <alignment horizontal="center" vertical="center"/>
    </xf>
    <xf numFmtId="207" fontId="33" fillId="0" borderId="0" xfId="0" applyNumberFormat="1" applyFont="1">
      <alignment vertical="center"/>
    </xf>
    <xf numFmtId="207" fontId="33" fillId="3" borderId="510" xfId="0" applyNumberFormat="1" applyFont="1" applyFill="1" applyBorder="1" applyAlignment="1">
      <alignment horizontal="center" vertical="center" shrinkToFit="1"/>
    </xf>
    <xf numFmtId="183" fontId="33" fillId="3" borderId="510" xfId="3" applyNumberFormat="1" applyFont="1" applyFill="1" applyBorder="1" applyAlignment="1">
      <alignment horizontal="center" vertical="center"/>
    </xf>
    <xf numFmtId="185" fontId="32" fillId="0" borderId="0" xfId="0" applyNumberFormat="1" applyFont="1">
      <alignment vertical="center"/>
    </xf>
    <xf numFmtId="0" fontId="68" fillId="0" borderId="0" xfId="0" applyFont="1" applyAlignment="1">
      <alignment horizontal="center" vertical="center"/>
    </xf>
    <xf numFmtId="0" fontId="33" fillId="0" borderId="681" xfId="0" applyFont="1" applyBorder="1">
      <alignment vertical="center"/>
    </xf>
    <xf numFmtId="211" fontId="33" fillId="0" borderId="510" xfId="0" applyNumberFormat="1" applyFont="1" applyBorder="1" applyAlignment="1">
      <alignment horizontal="center" vertical="center"/>
    </xf>
    <xf numFmtId="212" fontId="33" fillId="0" borderId="510" xfId="0" applyNumberFormat="1" applyFont="1" applyBorder="1" applyAlignment="1">
      <alignment horizontal="center" vertical="center"/>
    </xf>
    <xf numFmtId="205" fontId="33" fillId="3" borderId="639" xfId="0" applyNumberFormat="1" applyFont="1" applyFill="1" applyBorder="1" applyAlignment="1">
      <alignment horizontal="center" vertical="center"/>
    </xf>
    <xf numFmtId="183" fontId="33" fillId="3" borderId="586" xfId="3" applyNumberFormat="1" applyFont="1" applyFill="1" applyBorder="1" applyAlignment="1">
      <alignment horizontal="center" vertical="center"/>
    </xf>
    <xf numFmtId="205" fontId="33" fillId="3" borderId="512" xfId="0" applyNumberFormat="1" applyFont="1" applyFill="1" applyBorder="1" applyAlignment="1">
      <alignment horizontal="center" vertical="center"/>
    </xf>
    <xf numFmtId="0" fontId="33" fillId="0" borderId="577" xfId="0" applyFont="1" applyBorder="1">
      <alignment vertical="center"/>
    </xf>
    <xf numFmtId="0" fontId="33" fillId="0" borderId="35" xfId="0" applyFont="1" applyBorder="1">
      <alignment vertical="center"/>
    </xf>
    <xf numFmtId="0" fontId="33" fillId="0" borderId="536" xfId="0" applyFont="1" applyBorder="1">
      <alignment vertical="center"/>
    </xf>
    <xf numFmtId="41" fontId="124" fillId="0" borderId="0" xfId="2" applyFont="1">
      <alignment vertical="center"/>
    </xf>
    <xf numFmtId="41" fontId="33" fillId="0" borderId="0" xfId="2" applyFont="1">
      <alignment vertical="center"/>
    </xf>
    <xf numFmtId="0" fontId="33" fillId="3" borderId="513" xfId="0" applyFont="1" applyFill="1" applyBorder="1" applyAlignment="1">
      <alignment horizontal="center" vertical="center" shrinkToFit="1"/>
    </xf>
    <xf numFmtId="213" fontId="33" fillId="3" borderId="510" xfId="0" applyNumberFormat="1" applyFont="1" applyFill="1" applyBorder="1" applyAlignment="1">
      <alignment horizontal="center" vertical="center"/>
    </xf>
    <xf numFmtId="0" fontId="33" fillId="3" borderId="36" xfId="0" applyFont="1" applyFill="1" applyBorder="1" applyAlignment="1">
      <alignment horizontal="center" vertical="center" shrinkToFit="1"/>
    </xf>
    <xf numFmtId="213" fontId="33" fillId="3" borderId="521" xfId="0" applyNumberFormat="1" applyFont="1" applyFill="1" applyBorder="1" applyAlignment="1">
      <alignment horizontal="center" vertical="center"/>
    </xf>
    <xf numFmtId="183" fontId="33" fillId="3" borderId="521" xfId="3" applyNumberFormat="1" applyFont="1" applyFill="1" applyBorder="1" applyAlignment="1">
      <alignment horizontal="center" vertical="center"/>
    </xf>
    <xf numFmtId="0" fontId="33" fillId="3" borderId="683" xfId="0" applyFont="1" applyFill="1" applyBorder="1" applyAlignment="1">
      <alignment horizontal="center" vertical="center" shrinkToFit="1"/>
    </xf>
    <xf numFmtId="213" fontId="33" fillId="3" borderId="642" xfId="0" applyNumberFormat="1" applyFont="1" applyFill="1" applyBorder="1" applyAlignment="1">
      <alignment horizontal="center" vertical="center"/>
    </xf>
    <xf numFmtId="183" fontId="33" fillId="3" borderId="642" xfId="3" applyNumberFormat="1" applyFont="1" applyFill="1" applyBorder="1" applyAlignment="1">
      <alignment horizontal="center" vertical="center"/>
    </xf>
    <xf numFmtId="0" fontId="33" fillId="3" borderId="685" xfId="0" applyFont="1" applyFill="1" applyBorder="1" applyAlignment="1">
      <alignment horizontal="center" vertical="center" shrinkToFit="1"/>
    </xf>
    <xf numFmtId="213" fontId="33" fillId="3" borderId="641" xfId="0" applyNumberFormat="1" applyFont="1" applyFill="1" applyBorder="1" applyAlignment="1">
      <alignment horizontal="center" vertical="center"/>
    </xf>
    <xf numFmtId="183" fontId="33" fillId="3" borderId="641" xfId="3" applyNumberFormat="1" applyFont="1" applyFill="1" applyBorder="1" applyAlignment="1">
      <alignment horizontal="center" vertical="center"/>
    </xf>
    <xf numFmtId="9" fontId="32" fillId="0" borderId="0" xfId="3" applyFont="1">
      <alignment vertical="center"/>
    </xf>
    <xf numFmtId="0" fontId="33" fillId="3" borderId="30" xfId="0" applyFont="1" applyFill="1" applyBorder="1" applyAlignment="1">
      <alignment horizontal="center" vertical="center" shrinkToFit="1"/>
    </xf>
    <xf numFmtId="213" fontId="33" fillId="3" borderId="531" xfId="0" applyNumberFormat="1" applyFont="1" applyFill="1" applyBorder="1" applyAlignment="1">
      <alignment horizontal="center" vertical="center"/>
    </xf>
    <xf numFmtId="183" fontId="33" fillId="3" borderId="531" xfId="3" applyNumberFormat="1" applyFont="1" applyFill="1" applyBorder="1" applyAlignment="1">
      <alignment horizontal="center" vertical="center"/>
    </xf>
    <xf numFmtId="0" fontId="33" fillId="3" borderId="31" xfId="0" applyFont="1" applyFill="1" applyBorder="1" applyAlignment="1">
      <alignment horizontal="center" vertical="center" shrinkToFit="1"/>
    </xf>
    <xf numFmtId="0" fontId="126" fillId="0" borderId="0" xfId="0" applyFont="1">
      <alignment vertical="center"/>
    </xf>
    <xf numFmtId="0" fontId="127" fillId="0" borderId="0" xfId="0" applyFont="1">
      <alignment vertical="center"/>
    </xf>
    <xf numFmtId="9" fontId="128" fillId="0" borderId="0" xfId="3" applyFont="1" applyFill="1" applyAlignment="1">
      <alignment horizontal="center" vertical="center"/>
    </xf>
    <xf numFmtId="177" fontId="129" fillId="17" borderId="24" xfId="0" applyNumberFormat="1" applyFont="1" applyFill="1" applyBorder="1" applyAlignment="1">
      <alignment horizontal="center" vertical="center"/>
    </xf>
    <xf numFmtId="177" fontId="129" fillId="17" borderId="664" xfId="0" applyNumberFormat="1" applyFont="1" applyFill="1" applyBorder="1" applyAlignment="1">
      <alignment horizontal="center" vertical="center"/>
    </xf>
    <xf numFmtId="177" fontId="129" fillId="0" borderId="0" xfId="0" applyNumberFormat="1" applyFont="1" applyAlignment="1">
      <alignment horizontal="center" vertical="center"/>
    </xf>
    <xf numFmtId="0" fontId="125" fillId="3" borderId="42" xfId="0" applyFont="1" applyFill="1" applyBorder="1" applyAlignment="1">
      <alignment horizontal="left" vertical="center" indent="1"/>
    </xf>
    <xf numFmtId="0" fontId="125" fillId="3" borderId="42" xfId="0" applyFont="1" applyFill="1" applyBorder="1">
      <alignment vertical="center"/>
    </xf>
    <xf numFmtId="182" fontId="125" fillId="3" borderId="665" xfId="0" applyNumberFormat="1" applyFont="1" applyFill="1" applyBorder="1" applyAlignment="1">
      <alignment horizontal="center" vertical="center"/>
    </xf>
    <xf numFmtId="182" fontId="125" fillId="3" borderId="666" xfId="0" applyNumberFormat="1" applyFont="1" applyFill="1" applyBorder="1" applyAlignment="1">
      <alignment horizontal="center" vertical="center"/>
    </xf>
    <xf numFmtId="182" fontId="130" fillId="0" borderId="0" xfId="0" applyNumberFormat="1" applyFont="1" applyAlignment="1">
      <alignment horizontal="center" vertical="center"/>
    </xf>
    <xf numFmtId="0" fontId="125" fillId="7" borderId="42" xfId="0" applyFont="1" applyFill="1" applyBorder="1" applyAlignment="1">
      <alignment horizontal="left" vertical="center" indent="1"/>
    </xf>
    <xf numFmtId="0" fontId="125" fillId="7" borderId="42" xfId="0" applyFont="1" applyFill="1" applyBorder="1">
      <alignment vertical="center"/>
    </xf>
    <xf numFmtId="182" fontId="125" fillId="7" borderId="665" xfId="0" applyNumberFormat="1" applyFont="1" applyFill="1" applyBorder="1" applyAlignment="1">
      <alignment horizontal="center" vertical="center"/>
    </xf>
    <xf numFmtId="182" fontId="125" fillId="7" borderId="666" xfId="0" applyNumberFormat="1" applyFont="1" applyFill="1" applyBorder="1" applyAlignment="1">
      <alignment horizontal="center" vertical="center"/>
    </xf>
    <xf numFmtId="0" fontId="125" fillId="0" borderId="35" xfId="0" applyFont="1" applyBorder="1" applyAlignment="1">
      <alignment horizontal="left" vertical="center" indent="2"/>
    </xf>
    <xf numFmtId="0" fontId="125" fillId="0" borderId="35" xfId="0" applyFont="1" applyBorder="1" applyAlignment="1">
      <alignment horizontal="left" vertical="center" indent="1"/>
    </xf>
    <xf numFmtId="182" fontId="125" fillId="0" borderId="687" xfId="0" applyNumberFormat="1" applyFont="1" applyBorder="1" applyAlignment="1">
      <alignment horizontal="center" vertical="center"/>
    </xf>
    <xf numFmtId="182" fontId="125" fillId="0" borderId="688" xfId="0" applyNumberFormat="1" applyFont="1" applyBorder="1" applyAlignment="1">
      <alignment horizontal="center" vertical="center"/>
    </xf>
    <xf numFmtId="0" fontId="125" fillId="0" borderId="0" xfId="0" applyFont="1" applyAlignment="1">
      <alignment horizontal="left" vertical="center" indent="2"/>
    </xf>
    <xf numFmtId="0" fontId="125" fillId="0" borderId="0" xfId="0" applyFont="1" applyAlignment="1">
      <alignment horizontal="left" vertical="center" indent="1"/>
    </xf>
    <xf numFmtId="182" fontId="127" fillId="0" borderId="689" xfId="0" applyNumberFormat="1" applyFont="1" applyBorder="1" applyAlignment="1">
      <alignment horizontal="center" vertical="center"/>
    </xf>
    <xf numFmtId="182" fontId="127" fillId="0" borderId="690" xfId="0" applyNumberFormat="1" applyFont="1" applyBorder="1" applyAlignment="1">
      <alignment horizontal="center" vertical="center"/>
    </xf>
    <xf numFmtId="182" fontId="131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left" vertical="center" indent="3"/>
    </xf>
    <xf numFmtId="0" fontId="127" fillId="0" borderId="0" xfId="0" applyFont="1" applyAlignment="1">
      <alignment horizontal="left" vertical="center" indent="2"/>
    </xf>
    <xf numFmtId="0" fontId="127" fillId="0" borderId="43" xfId="0" applyFont="1" applyBorder="1" applyAlignment="1">
      <alignment horizontal="left" vertical="center" indent="3"/>
    </xf>
    <xf numFmtId="0" fontId="127" fillId="0" borderId="43" xfId="0" applyFont="1" applyBorder="1" applyAlignment="1">
      <alignment horizontal="left" vertical="center" indent="2"/>
    </xf>
    <xf numFmtId="182" fontId="127" fillId="0" borderId="691" xfId="0" applyNumberFormat="1" applyFont="1" applyBorder="1" applyAlignment="1">
      <alignment horizontal="center" vertical="center"/>
    </xf>
    <xf numFmtId="182" fontId="127" fillId="0" borderId="692" xfId="0" applyNumberFormat="1" applyFont="1" applyBorder="1" applyAlignment="1">
      <alignment horizontal="center" vertical="center"/>
    </xf>
    <xf numFmtId="183" fontId="128" fillId="0" borderId="0" xfId="3" applyNumberFormat="1" applyFont="1" applyAlignment="1">
      <alignment horizontal="left" vertical="center"/>
    </xf>
    <xf numFmtId="183" fontId="132" fillId="0" borderId="0" xfId="3" applyNumberFormat="1" applyFont="1" applyAlignment="1">
      <alignment horizontal="left" vertical="center"/>
    </xf>
    <xf numFmtId="0" fontId="125" fillId="0" borderId="0" xfId="0" applyFont="1" applyAlignment="1">
      <alignment horizontal="center" vertical="center" wrapText="1"/>
    </xf>
    <xf numFmtId="183" fontId="5" fillId="0" borderId="0" xfId="3" applyNumberFormat="1" applyFont="1">
      <alignment vertical="center"/>
    </xf>
    <xf numFmtId="41" fontId="5" fillId="0" borderId="0" xfId="0" applyNumberFormat="1" applyFont="1">
      <alignment vertical="center"/>
    </xf>
    <xf numFmtId="9" fontId="5" fillId="0" borderId="0" xfId="3" applyFont="1" applyFill="1" applyAlignment="1">
      <alignment horizontal="center" vertical="center"/>
    </xf>
    <xf numFmtId="177" fontId="7" fillId="0" borderId="0" xfId="0" applyNumberFormat="1" applyFont="1">
      <alignment vertical="center"/>
    </xf>
    <xf numFmtId="0" fontId="133" fillId="0" borderId="0" xfId="0" applyFont="1">
      <alignment vertical="center"/>
    </xf>
    <xf numFmtId="214" fontId="33" fillId="0" borderId="674" xfId="2" applyNumberFormat="1" applyFont="1" applyFill="1" applyBorder="1" applyAlignment="1">
      <alignment horizontal="center" vertical="center"/>
    </xf>
    <xf numFmtId="215" fontId="33" fillId="0" borderId="674" xfId="2" applyNumberFormat="1" applyFont="1" applyFill="1" applyBorder="1" applyAlignment="1">
      <alignment horizontal="center" vertical="center"/>
    </xf>
    <xf numFmtId="215" fontId="33" fillId="0" borderId="677" xfId="2" applyNumberFormat="1" applyFont="1" applyFill="1" applyBorder="1" applyAlignment="1">
      <alignment horizontal="center" vertical="center"/>
    </xf>
    <xf numFmtId="215" fontId="33" fillId="0" borderId="695" xfId="2" applyNumberFormat="1" applyFont="1" applyFill="1" applyBorder="1" applyAlignment="1">
      <alignment horizontal="center" vertical="center"/>
    </xf>
    <xf numFmtId="183" fontId="33" fillId="0" borderId="695" xfId="3" applyNumberFormat="1" applyFont="1" applyFill="1" applyBorder="1" applyAlignment="1">
      <alignment horizontal="center" vertical="center"/>
    </xf>
    <xf numFmtId="216" fontId="101" fillId="7" borderId="510" xfId="0" applyNumberFormat="1" applyFont="1" applyFill="1" applyBorder="1" applyAlignment="1">
      <alignment horizontal="center" vertical="center" shrinkToFit="1"/>
    </xf>
    <xf numFmtId="216" fontId="33" fillId="3" borderId="510" xfId="0" applyNumberFormat="1" applyFont="1" applyFill="1" applyBorder="1" applyAlignment="1">
      <alignment horizontal="center" vertical="center" shrinkToFit="1"/>
    </xf>
    <xf numFmtId="183" fontId="33" fillId="0" borderId="701" xfId="3" applyNumberFormat="1" applyFont="1" applyFill="1" applyBorder="1" applyAlignment="1">
      <alignment horizontal="center" vertical="center"/>
    </xf>
    <xf numFmtId="183" fontId="33" fillId="0" borderId="702" xfId="3" applyNumberFormat="1" applyFont="1" applyFill="1" applyBorder="1" applyAlignment="1">
      <alignment horizontal="center" vertical="center"/>
    </xf>
    <xf numFmtId="183" fontId="101" fillId="7" borderId="633" xfId="3" applyNumberFormat="1" applyFont="1" applyFill="1" applyBorder="1" applyAlignment="1">
      <alignment horizontal="center" vertical="center"/>
    </xf>
    <xf numFmtId="183" fontId="33" fillId="3" borderId="622" xfId="3" applyNumberFormat="1" applyFont="1" applyFill="1" applyBorder="1" applyAlignment="1">
      <alignment horizontal="center" vertical="center"/>
    </xf>
    <xf numFmtId="183" fontId="33" fillId="0" borderId="625" xfId="3" applyNumberFormat="1" applyFont="1" applyFill="1" applyBorder="1" applyAlignment="1">
      <alignment horizontal="center" vertical="center"/>
    </xf>
    <xf numFmtId="183" fontId="33" fillId="0" borderId="633" xfId="3" applyNumberFormat="1" applyFont="1" applyFill="1" applyBorder="1" applyAlignment="1">
      <alignment horizontal="center" vertical="center"/>
    </xf>
    <xf numFmtId="183" fontId="33" fillId="3" borderId="639" xfId="3" applyNumberFormat="1" applyFont="1" applyFill="1" applyBorder="1" applyAlignment="1">
      <alignment horizontal="center" vertical="center"/>
    </xf>
    <xf numFmtId="183" fontId="33" fillId="3" borderId="512" xfId="3" applyNumberFormat="1" applyFont="1" applyFill="1" applyBorder="1" applyAlignment="1">
      <alignment horizontal="center" vertical="center"/>
    </xf>
    <xf numFmtId="183" fontId="33" fillId="3" borderId="703" xfId="3" applyNumberFormat="1" applyFont="1" applyFill="1" applyBorder="1" applyAlignment="1">
      <alignment horizontal="center" vertical="center"/>
    </xf>
    <xf numFmtId="183" fontId="33" fillId="3" borderId="633" xfId="3" applyNumberFormat="1" applyFont="1" applyFill="1" applyBorder="1" applyAlignment="1">
      <alignment horizontal="center" vertical="center"/>
    </xf>
    <xf numFmtId="0" fontId="100" fillId="17" borderId="668" xfId="0" applyFont="1" applyFill="1" applyBorder="1" applyAlignment="1">
      <alignment horizontal="center" vertical="center" wrapText="1" shrinkToFit="1"/>
    </xf>
    <xf numFmtId="193" fontId="92" fillId="0" borderId="0" xfId="0" applyNumberFormat="1" applyFont="1">
      <alignment vertical="center"/>
    </xf>
    <xf numFmtId="9" fontId="33" fillId="0" borderId="700" xfId="3" applyNumberFormat="1" applyFont="1" applyFill="1" applyBorder="1" applyAlignment="1">
      <alignment horizontal="center" vertical="center"/>
    </xf>
    <xf numFmtId="206" fontId="33" fillId="0" borderId="698" xfId="2" applyNumberFormat="1" applyFont="1" applyFill="1" applyBorder="1" applyAlignment="1">
      <alignment horizontal="center" vertical="center"/>
    </xf>
    <xf numFmtId="183" fontId="33" fillId="0" borderId="698" xfId="3" applyNumberFormat="1" applyFont="1" applyFill="1" applyBorder="1" applyAlignment="1">
      <alignment horizontal="center" vertical="center"/>
    </xf>
    <xf numFmtId="183" fontId="33" fillId="0" borderId="699" xfId="3" applyNumberFormat="1" applyFont="1" applyFill="1" applyBorder="1" applyAlignment="1">
      <alignment horizontal="center" vertical="center"/>
    </xf>
    <xf numFmtId="207" fontId="33" fillId="0" borderId="510" xfId="0" applyNumberFormat="1" applyFont="1" applyFill="1" applyBorder="1" applyAlignment="1">
      <alignment horizontal="center" vertical="center" shrinkToFit="1"/>
    </xf>
    <xf numFmtId="208" fontId="33" fillId="0" borderId="510" xfId="0" applyNumberFormat="1" applyFont="1" applyFill="1" applyBorder="1" applyAlignment="1">
      <alignment horizontal="center" vertical="center" shrinkToFit="1"/>
    </xf>
    <xf numFmtId="183" fontId="33" fillId="0" borderId="512" xfId="3" applyNumberFormat="1" applyFont="1" applyFill="1" applyBorder="1" applyAlignment="1">
      <alignment horizontal="center" vertical="center"/>
    </xf>
    <xf numFmtId="0" fontId="33" fillId="0" borderId="459" xfId="0" applyFont="1" applyFill="1" applyBorder="1">
      <alignment vertical="center"/>
    </xf>
    <xf numFmtId="0" fontId="33" fillId="0" borderId="671" xfId="0" applyFont="1" applyFill="1" applyBorder="1">
      <alignment vertical="center"/>
    </xf>
    <xf numFmtId="216" fontId="33" fillId="0" borderId="510" xfId="0" applyNumberFormat="1" applyFont="1" applyFill="1" applyBorder="1" applyAlignment="1">
      <alignment horizontal="center" vertical="center" shrinkToFit="1"/>
    </xf>
    <xf numFmtId="183" fontId="33" fillId="0" borderId="622" xfId="3" applyNumberFormat="1" applyFont="1" applyFill="1" applyBorder="1" applyAlignment="1">
      <alignment horizontal="center" vertical="center"/>
    </xf>
    <xf numFmtId="209" fontId="33" fillId="0" borderId="510" xfId="0" applyNumberFormat="1" applyFont="1" applyFill="1" applyBorder="1" applyAlignment="1">
      <alignment horizontal="center" vertical="center"/>
    </xf>
    <xf numFmtId="205" fontId="33" fillId="0" borderId="510" xfId="0" applyNumberFormat="1" applyFont="1" applyFill="1" applyBorder="1" applyAlignment="1">
      <alignment horizontal="center" vertical="center" shrinkToFit="1"/>
    </xf>
    <xf numFmtId="210" fontId="33" fillId="0" borderId="510" xfId="0" applyNumberFormat="1" applyFont="1" applyFill="1" applyBorder="1" applyAlignment="1">
      <alignment horizontal="center" vertical="center" shrinkToFit="1"/>
    </xf>
    <xf numFmtId="0" fontId="33" fillId="0" borderId="459" xfId="0" applyFont="1" applyFill="1" applyBorder="1" applyAlignment="1">
      <alignment vertical="center" wrapText="1"/>
    </xf>
    <xf numFmtId="0" fontId="33" fillId="0" borderId="682" xfId="0" applyFont="1" applyFill="1" applyBorder="1" applyAlignment="1">
      <alignment vertical="center" wrapText="1"/>
    </xf>
    <xf numFmtId="41" fontId="5" fillId="0" borderId="42" xfId="2" applyFont="1" applyBorder="1" applyAlignment="1">
      <alignment horizontal="left" vertical="center" indent="1"/>
    </xf>
    <xf numFmtId="9" fontId="33" fillId="3" borderId="510" xfId="3" applyNumberFormat="1" applyFont="1" applyFill="1" applyBorder="1" applyAlignment="1">
      <alignment horizontal="center" vertical="center"/>
    </xf>
    <xf numFmtId="9" fontId="33" fillId="0" borderId="510" xfId="3" applyNumberFormat="1" applyFont="1" applyFill="1" applyBorder="1" applyAlignment="1">
      <alignment horizontal="center" vertical="center"/>
    </xf>
    <xf numFmtId="9" fontId="33" fillId="3" borderId="512" xfId="3" applyNumberFormat="1" applyFont="1" applyFill="1" applyBorder="1" applyAlignment="1">
      <alignment horizontal="center" vertical="center"/>
    </xf>
    <xf numFmtId="9" fontId="33" fillId="3" borderId="622" xfId="3" applyNumberFormat="1" applyFont="1" applyFill="1" applyBorder="1" applyAlignment="1">
      <alignment horizontal="center" vertical="center"/>
    </xf>
    <xf numFmtId="180" fontId="81" fillId="0" borderId="0" xfId="0" applyNumberFormat="1" applyFont="1" applyAlignment="1">
      <alignment horizontal="center" vertical="center"/>
    </xf>
    <xf numFmtId="183" fontId="120" fillId="0" borderId="0" xfId="3" applyNumberFormat="1" applyFont="1" applyAlignment="1">
      <alignment horizontal="center" vertical="center"/>
    </xf>
    <xf numFmtId="177" fontId="5" fillId="6" borderId="704" xfId="0" applyNumberFormat="1" applyFont="1" applyFill="1" applyBorder="1" applyAlignment="1">
      <alignment horizontal="center" vertical="center"/>
    </xf>
    <xf numFmtId="177" fontId="5" fillId="6" borderId="705" xfId="0" applyNumberFormat="1" applyFont="1" applyFill="1" applyBorder="1" applyAlignment="1">
      <alignment horizontal="center" vertical="center"/>
    </xf>
    <xf numFmtId="177" fontId="5" fillId="6" borderId="706" xfId="0" applyNumberFormat="1" applyFont="1" applyFill="1" applyBorder="1" applyAlignment="1">
      <alignment horizontal="center" vertical="center"/>
    </xf>
    <xf numFmtId="177" fontId="5" fillId="22" borderId="103" xfId="0" applyNumberFormat="1" applyFont="1" applyFill="1" applyBorder="1" applyAlignment="1">
      <alignment horizontal="center" vertical="center"/>
    </xf>
    <xf numFmtId="177" fontId="11" fillId="0" borderId="514" xfId="0" applyNumberFormat="1" applyFont="1" applyFill="1" applyBorder="1" applyAlignment="1">
      <alignment horizontal="center" vertical="center"/>
    </xf>
    <xf numFmtId="43" fontId="5" fillId="0" borderId="0" xfId="0" applyNumberFormat="1" applyFont="1">
      <alignment vertical="center"/>
    </xf>
    <xf numFmtId="41" fontId="75" fillId="0" borderId="0" xfId="2" applyFont="1" applyBorder="1" applyAlignment="1">
      <alignment horizontal="center" vertical="center"/>
    </xf>
    <xf numFmtId="183" fontId="5" fillId="0" borderId="0" xfId="0" applyNumberFormat="1" applyFont="1">
      <alignment vertical="center"/>
    </xf>
    <xf numFmtId="177" fontId="92" fillId="0" borderId="0" xfId="0" applyNumberFormat="1" applyFont="1">
      <alignment vertical="center"/>
    </xf>
    <xf numFmtId="41" fontId="7" fillId="0" borderId="0" xfId="2" applyFont="1" applyAlignment="1">
      <alignment vertical="center"/>
    </xf>
    <xf numFmtId="0" fontId="5" fillId="0" borderId="120" xfId="0" applyFont="1" applyFill="1" applyBorder="1" applyAlignment="1">
      <alignment horizontal="center" vertical="center" shrinkToFit="1"/>
    </xf>
    <xf numFmtId="177" fontId="5" fillId="22" borderId="376" xfId="0" applyNumberFormat="1" applyFont="1" applyFill="1" applyBorder="1" applyAlignment="1">
      <alignment horizontal="center" vertical="center"/>
    </xf>
    <xf numFmtId="177" fontId="5" fillId="0" borderId="376" xfId="0" applyNumberFormat="1" applyFont="1" applyFill="1" applyBorder="1" applyAlignment="1">
      <alignment horizontal="center" vertical="center"/>
    </xf>
    <xf numFmtId="177" fontId="8" fillId="0" borderId="178" xfId="0" applyNumberFormat="1" applyFont="1" applyFill="1" applyBorder="1" applyAlignment="1">
      <alignment horizontal="center" vertical="center"/>
    </xf>
    <xf numFmtId="9" fontId="75" fillId="0" borderId="0" xfId="3" applyFont="1" applyAlignment="1">
      <alignment horizontal="center" vertical="center"/>
    </xf>
    <xf numFmtId="183" fontId="74" fillId="0" borderId="360" xfId="3" applyNumberFormat="1" applyFont="1" applyFill="1" applyBorder="1" applyAlignment="1">
      <alignment horizontal="center" vertical="center"/>
    </xf>
    <xf numFmtId="183" fontId="74" fillId="0" borderId="584" xfId="3" applyNumberFormat="1" applyFont="1" applyFill="1" applyBorder="1" applyAlignment="1">
      <alignment horizontal="center" vertical="center"/>
    </xf>
    <xf numFmtId="9" fontId="49" fillId="0" borderId="0" xfId="3" applyNumberFormat="1" applyFont="1" applyFill="1">
      <alignment vertical="center"/>
    </xf>
    <xf numFmtId="0" fontId="49" fillId="0" borderId="0" xfId="0" applyFont="1" applyFill="1">
      <alignment vertical="center"/>
    </xf>
    <xf numFmtId="177" fontId="49" fillId="0" borderId="0" xfId="0" applyNumberFormat="1" applyFont="1" applyFill="1">
      <alignment vertical="center"/>
    </xf>
    <xf numFmtId="9" fontId="49" fillId="0" borderId="0" xfId="0" applyNumberFormat="1" applyFont="1" applyFill="1">
      <alignment vertical="center"/>
    </xf>
    <xf numFmtId="41" fontId="0" fillId="0" borderId="0" xfId="3" applyNumberFormat="1" applyFont="1">
      <alignment vertical="center"/>
    </xf>
    <xf numFmtId="0" fontId="135" fillId="0" borderId="0" xfId="0" applyFont="1">
      <alignment vertical="center"/>
    </xf>
    <xf numFmtId="9" fontId="49" fillId="0" borderId="0" xfId="3" applyNumberFormat="1" applyFont="1" applyFill="1" applyAlignment="1">
      <alignment horizontal="center" vertical="center"/>
    </xf>
    <xf numFmtId="196" fontId="49" fillId="0" borderId="0" xfId="0" applyNumberFormat="1" applyFont="1" applyFill="1" applyAlignment="1">
      <alignment horizontal="center" vertical="center"/>
    </xf>
    <xf numFmtId="9" fontId="33" fillId="3" borderId="586" xfId="3" applyNumberFormat="1" applyFont="1" applyFill="1" applyBorder="1" applyAlignment="1">
      <alignment horizontal="center" vertical="center"/>
    </xf>
    <xf numFmtId="182" fontId="39" fillId="27" borderId="512" xfId="0" applyNumberFormat="1" applyFont="1" applyFill="1" applyBorder="1" applyAlignment="1">
      <alignment horizontal="center" vertical="center"/>
    </xf>
    <xf numFmtId="182" fontId="39" fillId="10" borderId="512" xfId="0" applyNumberFormat="1" applyFont="1" applyFill="1" applyBorder="1" applyAlignment="1">
      <alignment horizontal="center" vertical="center"/>
    </xf>
    <xf numFmtId="182" fontId="40" fillId="0" borderId="512" xfId="0" applyNumberFormat="1" applyFont="1" applyFill="1" applyBorder="1" applyAlignment="1">
      <alignment horizontal="center" vertical="center"/>
    </xf>
    <xf numFmtId="182" fontId="37" fillId="0" borderId="512" xfId="2" applyNumberFormat="1" applyFont="1" applyFill="1" applyBorder="1" applyAlignment="1">
      <alignment horizontal="center" vertical="center"/>
    </xf>
    <xf numFmtId="182" fontId="39" fillId="27" borderId="622" xfId="0" applyNumberFormat="1" applyFont="1" applyFill="1" applyBorder="1" applyAlignment="1">
      <alignment horizontal="center" vertical="center"/>
    </xf>
    <xf numFmtId="9" fontId="96" fillId="0" borderId="0" xfId="3" applyFont="1" applyBorder="1" applyAlignment="1">
      <alignment horizontal="center" vertical="center"/>
    </xf>
    <xf numFmtId="182" fontId="37" fillId="0" borderId="0" xfId="0" applyNumberFormat="1" applyFont="1" applyFill="1" applyBorder="1" applyAlignment="1">
      <alignment vertical="center"/>
    </xf>
    <xf numFmtId="185" fontId="37" fillId="0" borderId="0" xfId="3" applyNumberFormat="1" applyFont="1" applyBorder="1" applyAlignment="1">
      <alignment vertical="center"/>
    </xf>
    <xf numFmtId="201" fontId="37" fillId="0" borderId="0" xfId="0" applyNumberFormat="1" applyFont="1" applyBorder="1" applyAlignment="1">
      <alignment vertical="center"/>
    </xf>
    <xf numFmtId="181" fontId="8" fillId="0" borderId="102" xfId="0" applyNumberFormat="1" applyFont="1" applyFill="1" applyBorder="1" applyAlignment="1">
      <alignment horizontal="center" vertical="center"/>
    </xf>
    <xf numFmtId="181" fontId="48" fillId="0" borderId="360" xfId="0" applyNumberFormat="1" applyFont="1" applyFill="1" applyBorder="1" applyAlignment="1">
      <alignment horizontal="center" vertical="center"/>
    </xf>
    <xf numFmtId="181" fontId="8" fillId="0" borderId="220" xfId="0" applyNumberFormat="1" applyFont="1" applyFill="1" applyBorder="1" applyAlignment="1">
      <alignment horizontal="center" vertical="center"/>
    </xf>
    <xf numFmtId="177" fontId="8" fillId="0" borderId="649" xfId="0" applyNumberFormat="1" applyFont="1" applyFill="1" applyBorder="1" applyAlignment="1">
      <alignment horizontal="center" vertical="center"/>
    </xf>
    <xf numFmtId="177" fontId="3" fillId="0" borderId="584" xfId="0" applyNumberFormat="1" applyFont="1" applyFill="1" applyBorder="1" applyAlignment="1">
      <alignment horizontal="center" vertical="center"/>
    </xf>
    <xf numFmtId="177" fontId="3" fillId="0" borderId="591" xfId="0" applyNumberFormat="1" applyFont="1" applyFill="1" applyBorder="1" applyAlignment="1">
      <alignment horizontal="center" vertical="center"/>
    </xf>
    <xf numFmtId="180" fontId="3" fillId="0" borderId="593" xfId="0" applyNumberFormat="1" applyFont="1" applyFill="1" applyBorder="1" applyAlignment="1">
      <alignment horizontal="center" vertical="center"/>
    </xf>
    <xf numFmtId="180" fontId="3" fillId="0" borderId="584" xfId="0" applyNumberFormat="1" applyFont="1" applyFill="1" applyBorder="1" applyAlignment="1">
      <alignment horizontal="center" vertical="center"/>
    </xf>
    <xf numFmtId="180" fontId="3" fillId="0" borderId="591" xfId="0" applyNumberFormat="1" applyFont="1" applyFill="1" applyBorder="1" applyAlignment="1">
      <alignment horizontal="center" vertical="center"/>
    </xf>
    <xf numFmtId="187" fontId="8" fillId="0" borderId="584" xfId="0" applyNumberFormat="1" applyFont="1" applyFill="1" applyBorder="1" applyAlignment="1">
      <alignment horizontal="center" vertical="center"/>
    </xf>
    <xf numFmtId="179" fontId="8" fillId="0" borderId="584" xfId="0" applyNumberFormat="1" applyFont="1" applyFill="1" applyBorder="1" applyAlignment="1">
      <alignment horizontal="center" vertical="center"/>
    </xf>
    <xf numFmtId="187" fontId="8" fillId="0" borderId="591" xfId="0" applyNumberFormat="1" applyFont="1" applyFill="1" applyBorder="1" applyAlignment="1">
      <alignment horizontal="center" vertical="center"/>
    </xf>
    <xf numFmtId="177" fontId="8" fillId="0" borderId="290" xfId="0" applyNumberFormat="1" applyFont="1" applyFill="1" applyBorder="1" applyAlignment="1">
      <alignment horizontal="center" vertical="center"/>
    </xf>
    <xf numFmtId="181" fontId="9" fillId="0" borderId="83" xfId="0" applyNumberFormat="1" applyFont="1" applyFill="1" applyBorder="1" applyAlignment="1">
      <alignment horizontal="center" vertical="center"/>
    </xf>
    <xf numFmtId="180" fontId="9" fillId="0" borderId="223" xfId="0" applyNumberFormat="1" applyFont="1" applyFill="1" applyBorder="1" applyAlignment="1">
      <alignment horizontal="center" vertical="center"/>
    </xf>
    <xf numFmtId="180" fontId="9" fillId="0" borderId="572" xfId="0" applyNumberFormat="1" applyFont="1" applyFill="1" applyBorder="1" applyAlignment="1">
      <alignment horizontal="center" vertical="center"/>
    </xf>
    <xf numFmtId="179" fontId="5" fillId="0" borderId="38" xfId="0" applyNumberFormat="1" applyFont="1" applyFill="1" applyBorder="1" applyAlignment="1">
      <alignment horizontal="center" vertical="center"/>
    </xf>
    <xf numFmtId="179" fontId="5" fillId="0" borderId="40" xfId="0" applyNumberFormat="1" applyFont="1" applyFill="1" applyBorder="1" applyAlignment="1">
      <alignment horizontal="center" vertical="center"/>
    </xf>
    <xf numFmtId="179" fontId="5" fillId="0" borderId="11" xfId="0" applyNumberFormat="1" applyFont="1" applyFill="1" applyBorder="1" applyAlignment="1">
      <alignment horizontal="center" vertical="center"/>
    </xf>
    <xf numFmtId="179" fontId="5" fillId="0" borderId="297" xfId="0" applyNumberFormat="1" applyFont="1" applyFill="1" applyBorder="1" applyAlignment="1">
      <alignment horizontal="center" vertical="center"/>
    </xf>
    <xf numFmtId="179" fontId="5" fillId="0" borderId="321" xfId="0" applyNumberFormat="1" applyFont="1" applyFill="1" applyBorder="1" applyAlignment="1">
      <alignment horizontal="center" vertical="center"/>
    </xf>
    <xf numFmtId="182" fontId="9" fillId="0" borderId="87" xfId="2" applyNumberFormat="1" applyFont="1" applyFill="1" applyBorder="1" applyAlignment="1">
      <alignment horizontal="center" vertical="center"/>
    </xf>
    <xf numFmtId="182" fontId="9" fillId="0" borderId="160" xfId="2" applyNumberFormat="1" applyFont="1" applyFill="1" applyBorder="1" applyAlignment="1">
      <alignment horizontal="center" vertical="center"/>
    </xf>
    <xf numFmtId="182" fontId="9" fillId="0" borderId="457" xfId="2" applyNumberFormat="1" applyFont="1" applyFill="1" applyBorder="1" applyAlignment="1">
      <alignment horizontal="center" vertical="center"/>
    </xf>
    <xf numFmtId="177" fontId="9" fillId="0" borderId="158" xfId="0" applyNumberFormat="1" applyFont="1" applyFill="1" applyBorder="1" applyAlignment="1">
      <alignment horizontal="center" vertical="center"/>
    </xf>
    <xf numFmtId="177" fontId="9" fillId="0" borderId="159" xfId="0" applyNumberFormat="1" applyFont="1" applyFill="1" applyBorder="1" applyAlignment="1">
      <alignment horizontal="center" vertical="center"/>
    </xf>
    <xf numFmtId="177" fontId="9" fillId="0" borderId="457" xfId="0" applyNumberFormat="1" applyFont="1" applyFill="1" applyBorder="1" applyAlignment="1">
      <alignment horizontal="center" vertical="center"/>
    </xf>
    <xf numFmtId="182" fontId="9" fillId="0" borderId="89" xfId="2" applyNumberFormat="1" applyFont="1" applyFill="1" applyBorder="1" applyAlignment="1">
      <alignment vertical="center" shrinkToFit="1"/>
    </xf>
    <xf numFmtId="182" fontId="9" fillId="0" borderId="89" xfId="2" applyNumberFormat="1" applyFont="1" applyFill="1" applyBorder="1">
      <alignment vertical="center"/>
    </xf>
    <xf numFmtId="41" fontId="8" fillId="0" borderId="59" xfId="2" applyFont="1" applyFill="1" applyBorder="1" applyAlignment="1">
      <alignment horizontal="center" vertical="center"/>
    </xf>
    <xf numFmtId="41" fontId="9" fillId="0" borderId="347" xfId="2" applyFont="1" applyFill="1" applyBorder="1">
      <alignment vertical="center"/>
    </xf>
    <xf numFmtId="41" fontId="9" fillId="0" borderId="348" xfId="2" applyFont="1" applyFill="1" applyBorder="1">
      <alignment vertical="center"/>
    </xf>
    <xf numFmtId="41" fontId="9" fillId="0" borderId="240" xfId="2" applyFont="1" applyFill="1" applyBorder="1">
      <alignment vertical="center"/>
    </xf>
    <xf numFmtId="177" fontId="9" fillId="0" borderId="76" xfId="2" applyNumberFormat="1" applyFont="1" applyFill="1" applyBorder="1">
      <alignment vertical="center"/>
    </xf>
    <xf numFmtId="177" fontId="9" fillId="0" borderId="80" xfId="2" applyNumberFormat="1" applyFont="1" applyFill="1" applyBorder="1">
      <alignment vertical="center"/>
    </xf>
    <xf numFmtId="177" fontId="9" fillId="0" borderId="84" xfId="2" applyNumberFormat="1" applyFont="1" applyFill="1" applyBorder="1">
      <alignment vertical="center"/>
    </xf>
    <xf numFmtId="9" fontId="9" fillId="0" borderId="83" xfId="3" applyFont="1" applyFill="1" applyBorder="1">
      <alignment vertical="center"/>
    </xf>
    <xf numFmtId="180" fontId="8" fillId="0" borderId="111" xfId="0" applyNumberFormat="1" applyFont="1" applyFill="1" applyBorder="1">
      <alignment vertical="center"/>
    </xf>
    <xf numFmtId="197" fontId="8" fillId="0" borderId="51" xfId="0" applyNumberFormat="1" applyFont="1" applyFill="1" applyBorder="1">
      <alignment vertical="center"/>
    </xf>
    <xf numFmtId="182" fontId="8" fillId="0" borderId="620" xfId="2" applyNumberFormat="1" applyFont="1" applyFill="1" applyBorder="1">
      <alignment vertical="center"/>
    </xf>
    <xf numFmtId="0" fontId="3" fillId="0" borderId="0" xfId="0" applyFont="1" applyAlignment="1">
      <alignment horizontal="center" vertical="center"/>
    </xf>
    <xf numFmtId="183" fontId="3" fillId="0" borderId="0" xfId="3" applyNumberFormat="1" applyFont="1" applyAlignment="1">
      <alignment horizontal="center" vertical="center"/>
    </xf>
    <xf numFmtId="177" fontId="5" fillId="0" borderId="219" xfId="1" applyNumberFormat="1" applyFont="1" applyFill="1" applyBorder="1" applyAlignment="1">
      <alignment horizontal="center" vertical="center"/>
    </xf>
    <xf numFmtId="177" fontId="5" fillId="0" borderId="202" xfId="1" applyNumberFormat="1" applyFont="1" applyFill="1" applyBorder="1" applyAlignment="1">
      <alignment horizontal="center" vertical="center"/>
    </xf>
    <xf numFmtId="177" fontId="5" fillId="0" borderId="590" xfId="1" applyNumberFormat="1" applyFont="1" applyFill="1" applyBorder="1" applyAlignment="1">
      <alignment horizontal="center" vertical="center"/>
    </xf>
    <xf numFmtId="179" fontId="9" fillId="0" borderId="281" xfId="0" applyNumberFormat="1" applyFont="1" applyFill="1" applyBorder="1" applyAlignment="1">
      <alignment horizontal="center" vertical="center"/>
    </xf>
    <xf numFmtId="177" fontId="5" fillId="32" borderId="202" xfId="1" applyNumberFormat="1" applyFont="1" applyFill="1" applyBorder="1" applyAlignment="1">
      <alignment horizontal="center" vertical="center"/>
    </xf>
    <xf numFmtId="177" fontId="5" fillId="32" borderId="590" xfId="1" applyNumberFormat="1" applyFont="1" applyFill="1" applyBorder="1" applyAlignment="1">
      <alignment horizontal="center" vertical="center"/>
    </xf>
    <xf numFmtId="0" fontId="32" fillId="11" borderId="579" xfId="0" applyFont="1" applyFill="1" applyBorder="1" applyAlignment="1">
      <alignment horizontal="center" vertical="center"/>
    </xf>
    <xf numFmtId="41" fontId="8" fillId="3" borderId="61" xfId="2" applyFont="1" applyFill="1" applyBorder="1" applyAlignment="1">
      <alignment horizontal="center" vertical="center"/>
    </xf>
    <xf numFmtId="41" fontId="8" fillId="3" borderId="83" xfId="2" applyFont="1" applyFill="1" applyBorder="1" applyAlignment="1">
      <alignment horizontal="center" vertical="center"/>
    </xf>
    <xf numFmtId="182" fontId="8" fillId="3" borderId="113" xfId="0" applyNumberFormat="1" applyFont="1" applyFill="1" applyBorder="1">
      <alignment vertical="center"/>
    </xf>
    <xf numFmtId="182" fontId="8" fillId="3" borderId="114" xfId="0" applyNumberFormat="1" applyFont="1" applyFill="1" applyBorder="1">
      <alignment vertical="center"/>
    </xf>
    <xf numFmtId="179" fontId="8" fillId="3" borderId="595" xfId="0" applyNumberFormat="1" applyFont="1" applyFill="1" applyBorder="1" applyAlignment="1">
      <alignment horizontal="center" vertical="center"/>
    </xf>
    <xf numFmtId="177" fontId="5" fillId="22" borderId="607" xfId="0" applyNumberFormat="1" applyFont="1" applyFill="1" applyBorder="1" applyAlignment="1">
      <alignment horizontal="center" vertical="center"/>
    </xf>
    <xf numFmtId="182" fontId="5" fillId="22" borderId="555" xfId="0" applyNumberFormat="1" applyFont="1" applyFill="1" applyBorder="1" applyAlignment="1">
      <alignment horizontal="center" vertical="center"/>
    </xf>
    <xf numFmtId="182" fontId="5" fillId="22" borderId="607" xfId="0" applyNumberFormat="1" applyFont="1" applyFill="1" applyBorder="1" applyAlignment="1">
      <alignment horizontal="center" vertical="center"/>
    </xf>
    <xf numFmtId="177" fontId="5" fillId="22" borderId="660" xfId="0" applyNumberFormat="1" applyFont="1" applyFill="1" applyBorder="1" applyAlignment="1">
      <alignment horizontal="center" vertical="center"/>
    </xf>
    <xf numFmtId="177" fontId="5" fillId="22" borderId="587" xfId="0" applyNumberFormat="1" applyFont="1" applyFill="1" applyBorder="1" applyAlignment="1">
      <alignment horizontal="center" vertical="center"/>
    </xf>
    <xf numFmtId="0" fontId="136" fillId="0" borderId="0" xfId="0" quotePrefix="1" applyFont="1" applyAlignment="1">
      <alignment horizontal="center" vertical="center"/>
    </xf>
    <xf numFmtId="218" fontId="37" fillId="0" borderId="0" xfId="0" applyNumberFormat="1" applyFont="1" applyBorder="1" applyAlignment="1">
      <alignment vertical="center"/>
    </xf>
    <xf numFmtId="192" fontId="89" fillId="0" borderId="0" xfId="2" applyNumberFormat="1" applyFont="1" applyBorder="1" applyAlignment="1">
      <alignment horizontal="center" vertical="center"/>
    </xf>
    <xf numFmtId="218" fontId="37" fillId="0" borderId="0" xfId="3" applyNumberFormat="1" applyFont="1" applyBorder="1" applyAlignment="1">
      <alignment vertical="center"/>
    </xf>
    <xf numFmtId="218" fontId="37" fillId="0" borderId="0" xfId="2" applyNumberFormat="1" applyFont="1" applyBorder="1" applyAlignment="1">
      <alignment vertical="center"/>
    </xf>
    <xf numFmtId="218" fontId="39" fillId="10" borderId="446" xfId="0" applyNumberFormat="1" applyFont="1" applyFill="1" applyBorder="1" applyAlignment="1">
      <alignment horizontal="center" vertical="center"/>
    </xf>
    <xf numFmtId="218" fontId="39" fillId="10" borderId="510" xfId="0" applyNumberFormat="1" applyFont="1" applyFill="1" applyBorder="1" applyAlignment="1">
      <alignment horizontal="center" vertical="center"/>
    </xf>
    <xf numFmtId="218" fontId="39" fillId="10" borderId="512" xfId="0" applyNumberFormat="1" applyFont="1" applyFill="1" applyBorder="1" applyAlignment="1">
      <alignment horizontal="center" vertical="center"/>
    </xf>
    <xf numFmtId="218" fontId="37" fillId="11" borderId="510" xfId="0" applyNumberFormat="1" applyFont="1" applyFill="1" applyBorder="1" applyAlignment="1">
      <alignment horizontal="center" vertical="center"/>
    </xf>
    <xf numFmtId="218" fontId="37" fillId="11" borderId="512" xfId="0" applyNumberFormat="1" applyFont="1" applyFill="1" applyBorder="1" applyAlignment="1">
      <alignment horizontal="center" vertical="center"/>
    </xf>
    <xf numFmtId="218" fontId="37" fillId="4" borderId="510" xfId="0" applyNumberFormat="1" applyFont="1" applyFill="1" applyBorder="1" applyAlignment="1">
      <alignment horizontal="center" vertical="center"/>
    </xf>
    <xf numFmtId="218" fontId="37" fillId="10" borderId="510" xfId="0" applyNumberFormat="1" applyFont="1" applyFill="1" applyBorder="1" applyAlignment="1">
      <alignment horizontal="center" vertical="center"/>
    </xf>
    <xf numFmtId="218" fontId="37" fillId="10" borderId="512" xfId="0" applyNumberFormat="1" applyFont="1" applyFill="1" applyBorder="1" applyAlignment="1">
      <alignment horizontal="center" vertical="center"/>
    </xf>
    <xf numFmtId="218" fontId="40" fillId="10" borderId="510" xfId="0" applyNumberFormat="1" applyFont="1" applyFill="1" applyBorder="1" applyAlignment="1">
      <alignment horizontal="center" vertical="center"/>
    </xf>
    <xf numFmtId="218" fontId="40" fillId="10" borderId="512" xfId="0" applyNumberFormat="1" applyFont="1" applyFill="1" applyBorder="1" applyAlignment="1">
      <alignment horizontal="center" vertical="center"/>
    </xf>
    <xf numFmtId="192" fontId="89" fillId="0" borderId="35" xfId="2" applyNumberFormat="1" applyFont="1" applyBorder="1" applyAlignment="1">
      <alignment horizontal="center" vertical="center"/>
    </xf>
    <xf numFmtId="192" fontId="137" fillId="0" borderId="0" xfId="2" applyNumberFormat="1" applyFont="1" applyBorder="1" applyAlignment="1">
      <alignment horizontal="center" vertical="center"/>
    </xf>
    <xf numFmtId="180" fontId="15" fillId="0" borderId="0" xfId="2" applyNumberFormat="1" applyFont="1" applyFill="1" applyBorder="1" applyAlignment="1">
      <alignment horizontal="center" vertical="center"/>
    </xf>
    <xf numFmtId="182" fontId="37" fillId="0" borderId="0" xfId="0" applyNumberFormat="1" applyFont="1" applyFill="1" applyBorder="1" applyAlignment="1">
      <alignment horizontal="center" vertical="center"/>
    </xf>
    <xf numFmtId="182" fontId="37" fillId="0" borderId="0" xfId="2" applyNumberFormat="1" applyFont="1" applyFill="1" applyBorder="1" applyAlignment="1">
      <alignment horizontal="center" vertical="center"/>
    </xf>
    <xf numFmtId="182" fontId="40" fillId="0" borderId="0" xfId="0" applyNumberFormat="1" applyFont="1" applyFill="1" applyBorder="1" applyAlignment="1">
      <alignment horizontal="center" vertical="center"/>
    </xf>
    <xf numFmtId="182" fontId="20" fillId="25" borderId="395" xfId="2" applyNumberFormat="1" applyFont="1" applyFill="1" applyBorder="1" applyAlignment="1">
      <alignment horizontal="center" vertical="center" shrinkToFit="1"/>
    </xf>
    <xf numFmtId="177" fontId="5" fillId="22" borderId="628" xfId="0" applyNumberFormat="1" applyFont="1" applyFill="1" applyBorder="1" applyAlignment="1">
      <alignment horizontal="center" vertical="center"/>
    </xf>
    <xf numFmtId="177" fontId="5" fillId="19" borderId="590" xfId="0" applyNumberFormat="1" applyFont="1" applyFill="1" applyBorder="1" applyAlignment="1">
      <alignment horizontal="center" vertical="center"/>
    </xf>
    <xf numFmtId="177" fontId="5" fillId="19" borderId="584" xfId="0" applyNumberFormat="1" applyFont="1" applyFill="1" applyBorder="1" applyAlignment="1">
      <alignment horizontal="center" vertical="center"/>
    </xf>
    <xf numFmtId="177" fontId="5" fillId="19" borderId="593" xfId="0" applyNumberFormat="1" applyFont="1" applyFill="1" applyBorder="1" applyAlignment="1">
      <alignment horizontal="center" vertical="center"/>
    </xf>
    <xf numFmtId="177" fontId="5" fillId="19" borderId="281" xfId="0" applyNumberFormat="1" applyFont="1" applyFill="1" applyBorder="1" applyAlignment="1">
      <alignment horizontal="center" vertical="center"/>
    </xf>
    <xf numFmtId="177" fontId="5" fillId="19" borderId="591" xfId="0" applyNumberFormat="1" applyFont="1" applyFill="1" applyBorder="1" applyAlignment="1">
      <alignment horizontal="center" vertical="center"/>
    </xf>
    <xf numFmtId="177" fontId="5" fillId="19" borderId="592" xfId="0" applyNumberFormat="1" applyFont="1" applyFill="1" applyBorder="1" applyAlignment="1">
      <alignment horizontal="center" vertical="center"/>
    </xf>
    <xf numFmtId="177" fontId="5" fillId="19" borderId="584" xfId="2" applyNumberFormat="1" applyFont="1" applyFill="1" applyBorder="1" applyAlignment="1">
      <alignment horizontal="center" vertical="center"/>
    </xf>
    <xf numFmtId="177" fontId="5" fillId="19" borderId="594" xfId="0" applyNumberFormat="1" applyFont="1" applyFill="1" applyBorder="1" applyAlignment="1">
      <alignment horizontal="center" vertical="center"/>
    </xf>
    <xf numFmtId="180" fontId="5" fillId="19" borderId="593" xfId="0" applyNumberFormat="1" applyFont="1" applyFill="1" applyBorder="1" applyAlignment="1">
      <alignment horizontal="center" vertical="center"/>
    </xf>
    <xf numFmtId="180" fontId="5" fillId="19" borderId="584" xfId="0" applyNumberFormat="1" applyFont="1" applyFill="1" applyBorder="1" applyAlignment="1">
      <alignment horizontal="center" vertical="center"/>
    </xf>
    <xf numFmtId="180" fontId="5" fillId="19" borderId="591" xfId="0" applyNumberFormat="1" applyFont="1" applyFill="1" applyBorder="1" applyAlignment="1">
      <alignment horizontal="center" vertical="center"/>
    </xf>
    <xf numFmtId="180" fontId="5" fillId="19" borderId="281" xfId="0" applyNumberFormat="1" applyFont="1" applyFill="1" applyBorder="1" applyAlignment="1">
      <alignment horizontal="center" vertical="center"/>
    </xf>
    <xf numFmtId="177" fontId="5" fillId="19" borderId="596" xfId="0" applyNumberFormat="1" applyFont="1" applyFill="1" applyBorder="1" applyAlignment="1">
      <alignment horizontal="center" vertical="center"/>
    </xf>
    <xf numFmtId="177" fontId="8" fillId="4" borderId="589" xfId="0" applyNumberFormat="1" applyFont="1" applyFill="1" applyBorder="1" applyAlignment="1">
      <alignment horizontal="center" vertical="center"/>
    </xf>
    <xf numFmtId="177" fontId="8" fillId="4" borderId="531" xfId="0" applyNumberFormat="1" applyFont="1" applyFill="1" applyBorder="1" applyAlignment="1">
      <alignment horizontal="center" vertical="center"/>
    </xf>
    <xf numFmtId="182" fontId="8" fillId="22" borderId="521" xfId="0" applyNumberFormat="1" applyFont="1" applyFill="1" applyBorder="1" applyAlignment="1">
      <alignment horizontal="center" vertical="center"/>
    </xf>
    <xf numFmtId="182" fontId="8" fillId="22" borderId="589" xfId="0" applyNumberFormat="1" applyFont="1" applyFill="1" applyBorder="1" applyAlignment="1">
      <alignment horizontal="center" vertical="center"/>
    </xf>
    <xf numFmtId="182" fontId="8" fillId="22" borderId="531" xfId="0" applyNumberFormat="1" applyFont="1" applyFill="1" applyBorder="1" applyAlignment="1">
      <alignment horizontal="center" vertical="center"/>
    </xf>
    <xf numFmtId="177" fontId="5" fillId="4" borderId="213" xfId="0" applyNumberFormat="1" applyFont="1" applyFill="1" applyBorder="1" applyAlignment="1">
      <alignment horizontal="center" vertical="center"/>
    </xf>
    <xf numFmtId="179" fontId="32" fillId="0" borderId="0" xfId="0" applyNumberFormat="1" applyFont="1">
      <alignment vertical="center"/>
    </xf>
    <xf numFmtId="41" fontId="32" fillId="0" borderId="0" xfId="2" applyFont="1">
      <alignment vertical="center"/>
    </xf>
    <xf numFmtId="41" fontId="7" fillId="0" borderId="0" xfId="0" applyNumberFormat="1" applyFont="1">
      <alignment vertical="center"/>
    </xf>
    <xf numFmtId="0" fontId="127" fillId="0" borderId="43" xfId="0" applyFont="1" applyFill="1" applyBorder="1" applyAlignment="1">
      <alignment horizontal="left" vertical="center" indent="3"/>
    </xf>
    <xf numFmtId="0" fontId="127" fillId="0" borderId="43" xfId="0" applyFont="1" applyFill="1" applyBorder="1" applyAlignment="1">
      <alignment horizontal="left" vertical="center" indent="2"/>
    </xf>
    <xf numFmtId="182" fontId="127" fillId="0" borderId="691" xfId="0" applyNumberFormat="1" applyFont="1" applyFill="1" applyBorder="1" applyAlignment="1">
      <alignment horizontal="center" vertical="center"/>
    </xf>
    <xf numFmtId="182" fontId="127" fillId="0" borderId="692" xfId="0" applyNumberFormat="1" applyFont="1" applyFill="1" applyBorder="1" applyAlignment="1">
      <alignment horizontal="center" vertical="center"/>
    </xf>
    <xf numFmtId="0" fontId="127" fillId="0" borderId="0" xfId="0" applyFont="1" applyFill="1" applyAlignment="1">
      <alignment horizontal="left" vertical="center" indent="3"/>
    </xf>
    <xf numFmtId="0" fontId="127" fillId="0" borderId="0" xfId="0" applyFont="1" applyFill="1" applyAlignment="1">
      <alignment horizontal="left" vertical="center" indent="2"/>
    </xf>
    <xf numFmtId="182" fontId="127" fillId="0" borderId="689" xfId="0" applyNumberFormat="1" applyFont="1" applyFill="1" applyBorder="1" applyAlignment="1">
      <alignment horizontal="center" vertical="center"/>
    </xf>
    <xf numFmtId="182" fontId="127" fillId="0" borderId="690" xfId="0" applyNumberFormat="1" applyFont="1" applyFill="1" applyBorder="1" applyAlignment="1">
      <alignment horizontal="center" vertical="center"/>
    </xf>
    <xf numFmtId="182" fontId="125" fillId="0" borderId="687" xfId="0" applyNumberFormat="1" applyFont="1" applyFill="1" applyBorder="1" applyAlignment="1">
      <alignment horizontal="center" vertical="center"/>
    </xf>
    <xf numFmtId="0" fontId="33" fillId="0" borderId="622" xfId="0" applyFont="1" applyFill="1" applyBorder="1" applyAlignment="1">
      <alignment horizontal="left" vertical="center" wrapText="1"/>
    </xf>
    <xf numFmtId="211" fontId="33" fillId="0" borderId="510" xfId="0" applyNumberFormat="1" applyFont="1" applyFill="1" applyBorder="1" applyAlignment="1">
      <alignment horizontal="center" vertical="center"/>
    </xf>
    <xf numFmtId="212" fontId="33" fillId="0" borderId="510" xfId="0" applyNumberFormat="1" applyFont="1" applyFill="1" applyBorder="1" applyAlignment="1">
      <alignment horizontal="center" vertical="center"/>
    </xf>
    <xf numFmtId="177" fontId="5" fillId="22" borderId="13" xfId="0" applyNumberFormat="1" applyFont="1" applyFill="1" applyBorder="1" applyAlignment="1">
      <alignment horizontal="center" vertical="center"/>
    </xf>
    <xf numFmtId="177" fontId="5" fillId="22" borderId="321" xfId="0" applyNumberFormat="1" applyFont="1" applyFill="1" applyBorder="1" applyAlignment="1">
      <alignment horizontal="center" vertical="center"/>
    </xf>
    <xf numFmtId="177" fontId="11" fillId="22" borderId="608" xfId="0" applyNumberFormat="1" applyFont="1" applyFill="1" applyBorder="1" applyAlignment="1">
      <alignment horizontal="center" vertical="center"/>
    </xf>
    <xf numFmtId="177" fontId="11" fillId="22" borderId="389" xfId="0" applyNumberFormat="1" applyFont="1" applyFill="1" applyBorder="1" applyAlignment="1">
      <alignment horizontal="center" vertical="center"/>
    </xf>
    <xf numFmtId="177" fontId="11" fillId="22" borderId="556" xfId="0" applyNumberFormat="1" applyFont="1" applyFill="1" applyBorder="1" applyAlignment="1">
      <alignment horizontal="center" vertical="center"/>
    </xf>
    <xf numFmtId="177" fontId="5" fillId="22" borderId="556" xfId="0" applyNumberFormat="1" applyFont="1" applyFill="1" applyBorder="1" applyAlignment="1">
      <alignment horizontal="center" vertical="center"/>
    </xf>
    <xf numFmtId="187" fontId="5" fillId="22" borderId="556" xfId="0" applyNumberFormat="1" applyFont="1" applyFill="1" applyBorder="1" applyAlignment="1">
      <alignment horizontal="center" vertical="center"/>
    </xf>
    <xf numFmtId="183" fontId="0" fillId="0" borderId="0" xfId="3" applyNumberFormat="1" applyFont="1" applyFill="1" applyAlignment="1">
      <alignment horizontal="center" vertical="center"/>
    </xf>
    <xf numFmtId="183" fontId="0" fillId="0" borderId="0" xfId="3" applyNumberFormat="1" applyFont="1" applyFill="1">
      <alignment vertical="center"/>
    </xf>
    <xf numFmtId="177" fontId="11" fillId="0" borderId="449" xfId="0" applyNumberFormat="1" applyFont="1" applyFill="1" applyBorder="1" applyAlignment="1">
      <alignment horizontal="center" vertical="center"/>
    </xf>
    <xf numFmtId="9" fontId="0" fillId="0" borderId="0" xfId="2" applyNumberFormat="1" applyFont="1">
      <alignment vertical="center"/>
    </xf>
    <xf numFmtId="0" fontId="33" fillId="0" borderId="513" xfId="0" applyFont="1" applyBorder="1" applyAlignment="1">
      <alignment horizontal="center" vertical="center"/>
    </xf>
    <xf numFmtId="41" fontId="75" fillId="0" borderId="0" xfId="2" applyFont="1" applyFill="1" applyAlignment="1">
      <alignment horizontal="center" vertical="center"/>
    </xf>
    <xf numFmtId="41" fontId="8" fillId="0" borderId="0" xfId="2" applyFont="1" applyFill="1" applyBorder="1" applyAlignment="1">
      <alignment horizontal="center" vertical="center"/>
    </xf>
    <xf numFmtId="177" fontId="11" fillId="0" borderId="450" xfId="0" applyNumberFormat="1" applyFont="1" applyFill="1" applyBorder="1" applyAlignment="1">
      <alignment horizontal="center" vertical="center"/>
    </xf>
    <xf numFmtId="177" fontId="11" fillId="0" borderId="523" xfId="0" applyNumberFormat="1" applyFont="1" applyFill="1" applyBorder="1" applyAlignment="1">
      <alignment horizontal="center" vertical="center"/>
    </xf>
    <xf numFmtId="177" fontId="5" fillId="0" borderId="450" xfId="0" applyNumberFormat="1" applyFont="1" applyFill="1" applyBorder="1" applyAlignment="1">
      <alignment horizontal="center" vertical="center"/>
    </xf>
    <xf numFmtId="177" fontId="5" fillId="0" borderId="523" xfId="0" applyNumberFormat="1" applyFont="1" applyFill="1" applyBorder="1" applyAlignment="1">
      <alignment horizontal="center" vertical="center"/>
    </xf>
    <xf numFmtId="187" fontId="5" fillId="0" borderId="450" xfId="0" applyNumberFormat="1" applyFont="1" applyFill="1" applyBorder="1" applyAlignment="1">
      <alignment horizontal="center" vertical="center"/>
    </xf>
    <xf numFmtId="187" fontId="5" fillId="0" borderId="523" xfId="0" applyNumberFormat="1" applyFont="1" applyFill="1" applyBorder="1" applyAlignment="1">
      <alignment horizontal="center" vertical="center"/>
    </xf>
    <xf numFmtId="177" fontId="5" fillId="0" borderId="659" xfId="0" applyNumberFormat="1" applyFont="1" applyFill="1" applyBorder="1" applyAlignment="1">
      <alignment horizontal="center" vertical="center"/>
    </xf>
    <xf numFmtId="177" fontId="5" fillId="0" borderId="520" xfId="0" applyNumberFormat="1" applyFont="1" applyFill="1" applyBorder="1" applyAlignment="1">
      <alignment horizontal="center" vertical="center"/>
    </xf>
    <xf numFmtId="177" fontId="5" fillId="0" borderId="522" xfId="0" applyNumberFormat="1" applyFont="1" applyFill="1" applyBorder="1" applyAlignment="1">
      <alignment horizontal="center" vertical="center"/>
    </xf>
    <xf numFmtId="182" fontId="5" fillId="0" borderId="555" xfId="0" applyNumberFormat="1" applyFont="1" applyFill="1" applyBorder="1" applyAlignment="1">
      <alignment horizontal="center" vertical="center"/>
    </xf>
    <xf numFmtId="182" fontId="5" fillId="0" borderId="607" xfId="0" applyNumberFormat="1" applyFont="1" applyFill="1" applyBorder="1" applyAlignment="1">
      <alignment horizontal="center" vertical="center"/>
    </xf>
    <xf numFmtId="177" fontId="5" fillId="0" borderId="587" xfId="0" applyNumberFormat="1" applyFont="1" applyFill="1" applyBorder="1" applyAlignment="1">
      <alignment horizontal="center" vertical="center"/>
    </xf>
    <xf numFmtId="177" fontId="5" fillId="0" borderId="519" xfId="0" applyNumberFormat="1" applyFont="1" applyFill="1" applyBorder="1" applyAlignment="1">
      <alignment horizontal="center" vertical="center"/>
    </xf>
    <xf numFmtId="177" fontId="101" fillId="3" borderId="711" xfId="0" applyNumberFormat="1" applyFont="1" applyFill="1" applyBorder="1" applyAlignment="1">
      <alignment horizontal="center" vertical="center"/>
    </xf>
    <xf numFmtId="177" fontId="101" fillId="3" borderId="712" xfId="0" applyNumberFormat="1" applyFont="1" applyFill="1" applyBorder="1" applyAlignment="1">
      <alignment horizontal="center" vertical="center"/>
    </xf>
    <xf numFmtId="180" fontId="33" fillId="0" borderId="403" xfId="0" applyNumberFormat="1" applyFont="1" applyBorder="1" applyAlignment="1">
      <alignment horizontal="center" vertical="center"/>
    </xf>
    <xf numFmtId="180" fontId="33" fillId="0" borderId="583" xfId="0" applyNumberFormat="1" applyFont="1" applyBorder="1" applyAlignment="1">
      <alignment horizontal="center" vertical="center"/>
    </xf>
    <xf numFmtId="9" fontId="33" fillId="0" borderId="403" xfId="3" applyFont="1" applyBorder="1" applyAlignment="1">
      <alignment horizontal="center" vertical="center"/>
    </xf>
    <xf numFmtId="9" fontId="33" fillId="0" borderId="583" xfId="3" applyFont="1" applyBorder="1" applyAlignment="1">
      <alignment horizontal="center" vertical="center"/>
    </xf>
    <xf numFmtId="179" fontId="140" fillId="0" borderId="0" xfId="0" applyNumberFormat="1" applyFont="1" applyAlignment="1">
      <alignment horizontal="center" vertical="center"/>
    </xf>
    <xf numFmtId="189" fontId="8" fillId="0" borderId="0" xfId="0" applyNumberFormat="1" applyFont="1" applyFill="1" applyBorder="1">
      <alignment vertical="center"/>
    </xf>
    <xf numFmtId="179" fontId="0" fillId="0" borderId="0" xfId="0" applyNumberFormat="1" applyBorder="1">
      <alignment vertical="center"/>
    </xf>
    <xf numFmtId="183" fontId="8" fillId="0" borderId="0" xfId="3" applyNumberFormat="1" applyFont="1" applyFill="1" applyBorder="1">
      <alignment vertical="center"/>
    </xf>
    <xf numFmtId="179" fontId="3" fillId="0" borderId="0" xfId="2" applyNumberFormat="1" applyFont="1" applyFill="1" applyAlignment="1">
      <alignment horizontal="center" vertical="center"/>
    </xf>
    <xf numFmtId="180" fontId="3" fillId="0" borderId="0" xfId="2" applyNumberFormat="1" applyFont="1" applyFill="1" applyAlignment="1">
      <alignment horizontal="center" vertical="center"/>
    </xf>
    <xf numFmtId="9" fontId="11" fillId="0" borderId="514" xfId="3" applyFont="1" applyFill="1" applyBorder="1" applyAlignment="1">
      <alignment horizontal="center" vertical="center"/>
    </xf>
    <xf numFmtId="0" fontId="116" fillId="0" borderId="0" xfId="0" applyFont="1">
      <alignment vertical="center"/>
    </xf>
    <xf numFmtId="0" fontId="84" fillId="0" borderId="0" xfId="0" applyFont="1" applyAlignment="1">
      <alignment horizontal="center" vertical="center"/>
    </xf>
    <xf numFmtId="0" fontId="84" fillId="0" borderId="0" xfId="0" applyFont="1" applyAlignment="1">
      <alignment horizontal="left" vertical="center"/>
    </xf>
    <xf numFmtId="180" fontId="84" fillId="0" borderId="0" xfId="0" applyNumberFormat="1" applyFont="1" applyAlignment="1">
      <alignment horizontal="center" vertical="center"/>
    </xf>
    <xf numFmtId="183" fontId="84" fillId="0" borderId="0" xfId="3" applyNumberFormat="1" applyFont="1" applyAlignment="1">
      <alignment horizontal="center" vertical="center"/>
    </xf>
    <xf numFmtId="183" fontId="141" fillId="0" borderId="0" xfId="3" applyNumberFormat="1" applyFont="1" applyAlignment="1">
      <alignment horizontal="left" vertical="center"/>
    </xf>
    <xf numFmtId="183" fontId="142" fillId="0" borderId="0" xfId="3" applyNumberFormat="1" applyFont="1" applyAlignment="1">
      <alignment horizontal="left" vertical="center"/>
    </xf>
    <xf numFmtId="182" fontId="84" fillId="0" borderId="0" xfId="0" applyNumberFormat="1" applyFont="1">
      <alignment vertical="center"/>
    </xf>
    <xf numFmtId="9" fontId="142" fillId="0" borderId="0" xfId="3" applyFont="1" applyFill="1" applyAlignment="1">
      <alignment horizontal="center" vertical="center"/>
    </xf>
    <xf numFmtId="41" fontId="3" fillId="0" borderId="0" xfId="2" applyFont="1" applyAlignment="1">
      <alignment horizontal="center" vertical="center"/>
    </xf>
    <xf numFmtId="203" fontId="3" fillId="0" borderId="0" xfId="2" applyNumberFormat="1" applyFont="1" applyAlignment="1">
      <alignment horizontal="center" vertical="center"/>
    </xf>
    <xf numFmtId="183" fontId="3" fillId="0" borderId="0" xfId="3" applyNumberFormat="1" applyFont="1" applyFill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7" fontId="3" fillId="0" borderId="0" xfId="0" applyNumberFormat="1" applyFont="1" applyBorder="1" applyAlignment="1">
      <alignment horizontal="center" vertical="center"/>
    </xf>
    <xf numFmtId="0" fontId="81" fillId="0" borderId="0" xfId="0" applyFont="1" applyBorder="1">
      <alignment vertical="center"/>
    </xf>
    <xf numFmtId="180" fontId="3" fillId="0" borderId="0" xfId="0" applyNumberFormat="1" applyFont="1" applyFill="1">
      <alignment vertical="center"/>
    </xf>
    <xf numFmtId="9" fontId="3" fillId="0" borderId="0" xfId="3" applyNumberFormat="1" applyFont="1" applyFill="1" applyBorder="1" applyAlignment="1">
      <alignment horizontal="center" vertical="center"/>
    </xf>
    <xf numFmtId="183" fontId="3" fillId="0" borderId="0" xfId="3" applyNumberFormat="1" applyFont="1" applyFill="1" applyBorder="1" applyAlignment="1">
      <alignment horizontal="center" vertical="center"/>
    </xf>
    <xf numFmtId="180" fontId="3" fillId="0" borderId="0" xfId="0" applyNumberFormat="1" applyFont="1">
      <alignment vertical="center"/>
    </xf>
    <xf numFmtId="177" fontId="143" fillId="0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left" vertical="center" indent="1"/>
    </xf>
    <xf numFmtId="0" fontId="81" fillId="0" borderId="0" xfId="0" applyFont="1" applyFill="1" applyBorder="1">
      <alignment vertical="center"/>
    </xf>
    <xf numFmtId="9" fontId="144" fillId="0" borderId="0" xfId="3" applyFont="1" applyFill="1" applyBorder="1" applyAlignment="1">
      <alignment horizontal="center" vertical="center"/>
    </xf>
    <xf numFmtId="9" fontId="3" fillId="0" borderId="0" xfId="3" applyFont="1" applyFill="1" applyAlignment="1">
      <alignment horizontal="center" vertical="center"/>
    </xf>
    <xf numFmtId="9" fontId="3" fillId="0" borderId="0" xfId="3" applyNumberFormat="1" applyFont="1" applyFill="1" applyAlignment="1">
      <alignment horizontal="center" vertical="center"/>
    </xf>
    <xf numFmtId="0" fontId="145" fillId="0" borderId="0" xfId="0" applyFont="1" applyFill="1">
      <alignment vertical="center"/>
    </xf>
    <xf numFmtId="0" fontId="145" fillId="0" borderId="0" xfId="0" applyFont="1">
      <alignment vertical="center"/>
    </xf>
    <xf numFmtId="41" fontId="3" fillId="0" borderId="0" xfId="3" applyNumberFormat="1" applyFont="1" applyFill="1" applyBorder="1" applyAlignment="1">
      <alignment horizontal="center" vertical="center"/>
    </xf>
    <xf numFmtId="41" fontId="20" fillId="0" borderId="0" xfId="2" applyFont="1">
      <alignment vertical="center"/>
    </xf>
    <xf numFmtId="177" fontId="8" fillId="0" borderId="0" xfId="0" applyNumberFormat="1" applyFont="1">
      <alignment vertical="center"/>
    </xf>
    <xf numFmtId="9" fontId="8" fillId="0" borderId="0" xfId="3" applyFont="1" applyFill="1" applyAlignment="1">
      <alignment horizontal="center" vertical="center"/>
    </xf>
    <xf numFmtId="41" fontId="20" fillId="0" borderId="0" xfId="0" applyNumberFormat="1" applyFont="1">
      <alignment vertical="center"/>
    </xf>
    <xf numFmtId="43" fontId="8" fillId="0" borderId="0" xfId="0" applyNumberFormat="1" applyFont="1">
      <alignment vertical="center"/>
    </xf>
    <xf numFmtId="0" fontId="20" fillId="0" borderId="0" xfId="0" applyFont="1" applyBorder="1">
      <alignment vertical="center"/>
    </xf>
    <xf numFmtId="41" fontId="8" fillId="0" borderId="0" xfId="0" applyNumberFormat="1" applyFont="1">
      <alignment vertical="center"/>
    </xf>
    <xf numFmtId="0" fontId="146" fillId="0" borderId="0" xfId="0" applyFont="1">
      <alignment vertical="center"/>
    </xf>
    <xf numFmtId="9" fontId="11" fillId="0" borderId="0" xfId="3" applyFont="1" applyFill="1" applyBorder="1" applyAlignment="1">
      <alignment horizontal="center" vertical="center"/>
    </xf>
    <xf numFmtId="0" fontId="147" fillId="0" borderId="0" xfId="0" applyFont="1">
      <alignment vertical="center"/>
    </xf>
    <xf numFmtId="0" fontId="148" fillId="0" borderId="0" xfId="0" applyFont="1" applyAlignment="1">
      <alignment horizontal="center" vertical="center"/>
    </xf>
    <xf numFmtId="0" fontId="149" fillId="0" borderId="0" xfId="0" applyFont="1" applyAlignment="1">
      <alignment horizontal="center" vertical="center"/>
    </xf>
    <xf numFmtId="183" fontId="148" fillId="0" borderId="0" xfId="3" applyNumberFormat="1" applyFont="1" applyAlignment="1">
      <alignment horizontal="center" vertical="center"/>
    </xf>
    <xf numFmtId="9" fontId="148" fillId="0" borderId="0" xfId="3" applyNumberFormat="1" applyFont="1" applyAlignment="1">
      <alignment horizontal="center" vertical="center"/>
    </xf>
    <xf numFmtId="183" fontId="147" fillId="0" borderId="0" xfId="3" applyNumberFormat="1" applyFont="1">
      <alignment vertical="center"/>
    </xf>
    <xf numFmtId="0" fontId="31" fillId="14" borderId="314" xfId="0" applyFont="1" applyFill="1" applyBorder="1" applyAlignment="1">
      <alignment horizontal="center" vertical="center" shrinkToFit="1"/>
    </xf>
    <xf numFmtId="182" fontId="9" fillId="22" borderId="89" xfId="2" applyNumberFormat="1" applyFont="1" applyFill="1" applyBorder="1" applyAlignment="1">
      <alignment vertical="center" shrinkToFit="1"/>
    </xf>
    <xf numFmtId="41" fontId="9" fillId="22" borderId="88" xfId="2" applyFont="1" applyFill="1" applyBorder="1" applyAlignment="1">
      <alignment vertical="center" shrinkToFit="1"/>
    </xf>
    <xf numFmtId="41" fontId="9" fillId="22" borderId="0" xfId="2" applyFont="1" applyFill="1" applyBorder="1" applyAlignment="1">
      <alignment vertical="center" shrinkToFit="1"/>
    </xf>
    <xf numFmtId="182" fontId="9" fillId="22" borderId="0" xfId="2" applyNumberFormat="1" applyFont="1" applyFill="1" applyBorder="1" applyAlignment="1">
      <alignment vertical="center" shrinkToFit="1"/>
    </xf>
    <xf numFmtId="182" fontId="9" fillId="22" borderId="0" xfId="2" applyNumberFormat="1" applyFont="1" applyFill="1" applyBorder="1">
      <alignment vertical="center"/>
    </xf>
    <xf numFmtId="182" fontId="85" fillId="22" borderId="0" xfId="2" applyNumberFormat="1" applyFont="1" applyFill="1" applyBorder="1">
      <alignment vertical="center"/>
    </xf>
    <xf numFmtId="41" fontId="8" fillId="22" borderId="84" xfId="2" applyFont="1" applyFill="1" applyBorder="1" applyAlignment="1">
      <alignment horizontal="center" vertical="center"/>
    </xf>
    <xf numFmtId="41" fontId="8" fillId="22" borderId="59" xfId="2" applyFont="1" applyFill="1" applyBorder="1" applyAlignment="1">
      <alignment horizontal="center" vertical="center"/>
    </xf>
    <xf numFmtId="180" fontId="8" fillId="22" borderId="61" xfId="2" applyNumberFormat="1" applyFont="1" applyFill="1" applyBorder="1" applyAlignment="1">
      <alignment horizontal="right" vertical="center"/>
    </xf>
    <xf numFmtId="41" fontId="8" fillId="22" borderId="83" xfId="2" applyFont="1" applyFill="1" applyBorder="1" applyAlignment="1">
      <alignment horizontal="center" vertical="center"/>
    </xf>
    <xf numFmtId="9" fontId="19" fillId="0" borderId="0" xfId="3" applyFont="1" applyAlignment="1">
      <alignment horizontal="center" vertical="center"/>
    </xf>
    <xf numFmtId="180" fontId="19" fillId="0" borderId="0" xfId="0" applyNumberFormat="1" applyFont="1" applyAlignment="1">
      <alignment horizontal="left" vertical="center"/>
    </xf>
    <xf numFmtId="0" fontId="81" fillId="0" borderId="0" xfId="0" applyFont="1" applyAlignment="1">
      <alignment horizontal="center" vertical="center"/>
    </xf>
    <xf numFmtId="182" fontId="3" fillId="0" borderId="0" xfId="0" applyNumberFormat="1" applyFont="1" applyBorder="1" applyAlignment="1">
      <alignment horizontal="center" vertical="center" shrinkToFit="1"/>
    </xf>
    <xf numFmtId="9" fontId="17" fillId="0" borderId="0" xfId="3" applyFont="1" applyAlignment="1">
      <alignment horizontal="center" vertical="center"/>
    </xf>
    <xf numFmtId="41" fontId="8" fillId="6" borderId="81" xfId="2" applyFont="1" applyFill="1" applyBorder="1">
      <alignment vertical="center"/>
    </xf>
    <xf numFmtId="182" fontId="9" fillId="6" borderId="81" xfId="2" applyNumberFormat="1" applyFont="1" applyFill="1" applyBorder="1">
      <alignment vertical="center"/>
    </xf>
    <xf numFmtId="182" fontId="9" fillId="6" borderId="83" xfId="2" applyNumberFormat="1" applyFont="1" applyFill="1" applyBorder="1">
      <alignment vertical="center"/>
    </xf>
    <xf numFmtId="177" fontId="9" fillId="6" borderId="84" xfId="2" applyNumberFormat="1" applyFont="1" applyFill="1" applyBorder="1">
      <alignment vertical="center"/>
    </xf>
    <xf numFmtId="9" fontId="9" fillId="6" borderId="60" xfId="3" applyFont="1" applyFill="1" applyBorder="1">
      <alignment vertical="center"/>
    </xf>
    <xf numFmtId="9" fontId="9" fillId="6" borderId="61" xfId="3" applyFont="1" applyFill="1" applyBorder="1">
      <alignment vertical="center"/>
    </xf>
    <xf numFmtId="9" fontId="9" fillId="6" borderId="83" xfId="3" applyFont="1" applyFill="1" applyBorder="1">
      <alignment vertical="center"/>
    </xf>
    <xf numFmtId="0" fontId="8" fillId="0" borderId="21" xfId="0" applyFont="1" applyFill="1" applyBorder="1" applyAlignment="1">
      <alignment horizontal="center" vertical="center"/>
    </xf>
    <xf numFmtId="182" fontId="3" fillId="8" borderId="0" xfId="2" applyNumberFormat="1" applyFont="1" applyFill="1" applyBorder="1" applyAlignment="1">
      <alignment horizontal="center" vertical="center"/>
    </xf>
    <xf numFmtId="180" fontId="150" fillId="0" borderId="0" xfId="0" applyNumberFormat="1" applyFont="1">
      <alignment vertical="center"/>
    </xf>
    <xf numFmtId="180" fontId="150" fillId="0" borderId="0" xfId="3" applyNumberFormat="1" applyFont="1" applyFill="1">
      <alignment vertical="center"/>
    </xf>
    <xf numFmtId="0" fontId="69" fillId="0" borderId="0" xfId="0" applyFont="1" applyBorder="1">
      <alignment vertical="center"/>
    </xf>
    <xf numFmtId="182" fontId="81" fillId="0" borderId="0" xfId="0" applyNumberFormat="1" applyFont="1" applyBorder="1">
      <alignment vertical="center"/>
    </xf>
    <xf numFmtId="190" fontId="81" fillId="0" borderId="0" xfId="0" applyNumberFormat="1" applyFont="1" applyBorder="1">
      <alignment vertical="center"/>
    </xf>
    <xf numFmtId="182" fontId="81" fillId="0" borderId="0" xfId="3" applyNumberFormat="1" applyFont="1" applyBorder="1">
      <alignment vertical="center"/>
    </xf>
    <xf numFmtId="182" fontId="92" fillId="0" borderId="0" xfId="0" applyNumberFormat="1" applyFont="1" applyBorder="1">
      <alignment vertical="center"/>
    </xf>
    <xf numFmtId="182" fontId="3" fillId="8" borderId="0" xfId="0" applyNumberFormat="1" applyFont="1" applyFill="1" applyBorder="1" applyAlignment="1">
      <alignment horizontal="center" vertical="center" shrinkToFit="1"/>
    </xf>
    <xf numFmtId="182" fontId="3" fillId="8" borderId="0" xfId="0" applyNumberFormat="1" applyFont="1" applyFill="1" applyBorder="1" applyAlignment="1">
      <alignment horizontal="center" vertical="center"/>
    </xf>
    <xf numFmtId="180" fontId="3" fillId="8" borderId="0" xfId="0" applyNumberFormat="1" applyFont="1" applyFill="1" applyBorder="1">
      <alignment vertical="center"/>
    </xf>
    <xf numFmtId="0" fontId="69" fillId="0" borderId="0" xfId="0" applyFont="1" applyFill="1" applyBorder="1">
      <alignment vertical="center"/>
    </xf>
    <xf numFmtId="182" fontId="81" fillId="0" borderId="0" xfId="0" applyNumberFormat="1" applyFont="1" applyFill="1" applyBorder="1">
      <alignment vertical="center"/>
    </xf>
    <xf numFmtId="190" fontId="81" fillId="0" borderId="0" xfId="0" applyNumberFormat="1" applyFont="1" applyFill="1" applyBorder="1">
      <alignment vertical="center"/>
    </xf>
    <xf numFmtId="182" fontId="81" fillId="0" borderId="0" xfId="3" applyNumberFormat="1" applyFont="1" applyFill="1" applyBorder="1">
      <alignment vertical="center"/>
    </xf>
    <xf numFmtId="0" fontId="20" fillId="0" borderId="0" xfId="0" applyFont="1" applyFill="1" applyBorder="1">
      <alignment vertical="center"/>
    </xf>
    <xf numFmtId="9" fontId="17" fillId="8" borderId="0" xfId="3" applyFont="1" applyFill="1" applyBorder="1" applyAlignment="1">
      <alignment horizontal="center" vertical="center"/>
    </xf>
    <xf numFmtId="0" fontId="81" fillId="0" borderId="0" xfId="0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182" fontId="3" fillId="0" borderId="0" xfId="0" applyNumberFormat="1" applyFont="1" applyFill="1" applyBorder="1">
      <alignment vertical="center"/>
    </xf>
    <xf numFmtId="182" fontId="3" fillId="0" borderId="0" xfId="0" applyNumberFormat="1" applyFont="1" applyFill="1" applyBorder="1" applyAlignment="1">
      <alignment horizontal="center" vertical="center"/>
    </xf>
    <xf numFmtId="9" fontId="3" fillId="0" borderId="0" xfId="3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81" fillId="8" borderId="0" xfId="0" applyFont="1" applyFill="1" applyBorder="1">
      <alignment vertical="center"/>
    </xf>
    <xf numFmtId="182" fontId="81" fillId="8" borderId="0" xfId="0" applyNumberFormat="1" applyFont="1" applyFill="1" applyBorder="1">
      <alignment vertical="center"/>
    </xf>
    <xf numFmtId="9" fontId="3" fillId="8" borderId="0" xfId="3" applyFont="1" applyFill="1" applyBorder="1" applyAlignment="1">
      <alignment horizontal="center" vertical="center"/>
    </xf>
    <xf numFmtId="0" fontId="3" fillId="8" borderId="0" xfId="0" applyFont="1" applyFill="1" applyBorder="1">
      <alignment vertical="center"/>
    </xf>
    <xf numFmtId="41" fontId="81" fillId="8" borderId="0" xfId="2" applyFont="1" applyFill="1" applyBorder="1" applyAlignment="1">
      <alignment vertical="center" shrinkToFit="1"/>
    </xf>
    <xf numFmtId="41" fontId="81" fillId="8" borderId="0" xfId="2" applyFont="1" applyFill="1" applyBorder="1" applyAlignment="1">
      <alignment horizontal="center" vertical="center" shrinkToFit="1"/>
    </xf>
    <xf numFmtId="41" fontId="9" fillId="22" borderId="355" xfId="2" applyFont="1" applyFill="1" applyBorder="1">
      <alignment vertical="center"/>
    </xf>
    <xf numFmtId="41" fontId="9" fillId="22" borderId="354" xfId="2" applyFont="1" applyFill="1" applyBorder="1">
      <alignment vertical="center"/>
    </xf>
    <xf numFmtId="41" fontId="9" fillId="22" borderId="59" xfId="2" applyFont="1" applyFill="1" applyBorder="1">
      <alignment vertical="center"/>
    </xf>
    <xf numFmtId="41" fontId="9" fillId="22" borderId="84" xfId="2" applyFont="1" applyFill="1" applyBorder="1">
      <alignment vertical="center"/>
    </xf>
    <xf numFmtId="41" fontId="9" fillId="22" borderId="57" xfId="2" applyFont="1" applyFill="1" applyBorder="1">
      <alignment vertical="center"/>
    </xf>
    <xf numFmtId="41" fontId="9" fillId="22" borderId="58" xfId="2" applyFont="1" applyFill="1" applyBorder="1">
      <alignment vertical="center"/>
    </xf>
    <xf numFmtId="41" fontId="9" fillId="22" borderId="76" xfId="2" applyFont="1" applyFill="1" applyBorder="1">
      <alignment vertical="center"/>
    </xf>
    <xf numFmtId="41" fontId="9" fillId="22" borderId="80" xfId="2" applyFont="1" applyFill="1" applyBorder="1">
      <alignment vertical="center"/>
    </xf>
    <xf numFmtId="41" fontId="8" fillId="22" borderId="119" xfId="0" applyNumberFormat="1" applyFont="1" applyFill="1" applyBorder="1">
      <alignment vertical="center"/>
    </xf>
    <xf numFmtId="41" fontId="8" fillId="22" borderId="618" xfId="0" applyNumberFormat="1" applyFont="1" applyFill="1" applyBorder="1">
      <alignment vertical="center"/>
    </xf>
    <xf numFmtId="41" fontId="8" fillId="22" borderId="51" xfId="0" applyNumberFormat="1" applyFont="1" applyFill="1" applyBorder="1">
      <alignment vertical="center"/>
    </xf>
    <xf numFmtId="41" fontId="8" fillId="22" borderId="51" xfId="2" applyFont="1" applyFill="1" applyBorder="1">
      <alignment vertical="center"/>
    </xf>
    <xf numFmtId="41" fontId="8" fillId="22" borderId="50" xfId="2" applyFont="1" applyFill="1" applyBorder="1">
      <alignment vertical="center"/>
    </xf>
    <xf numFmtId="41" fontId="8" fillId="22" borderId="71" xfId="0" applyNumberFormat="1" applyFont="1" applyFill="1" applyBorder="1">
      <alignment vertical="center"/>
    </xf>
    <xf numFmtId="180" fontId="8" fillId="22" borderId="71" xfId="0" applyNumberFormat="1" applyFont="1" applyFill="1" applyBorder="1">
      <alignment vertical="center"/>
    </xf>
    <xf numFmtId="180" fontId="8" fillId="22" borderId="51" xfId="0" applyNumberFormat="1" applyFont="1" applyFill="1" applyBorder="1">
      <alignment vertical="center"/>
    </xf>
    <xf numFmtId="178" fontId="8" fillId="22" borderId="105" xfId="0" applyNumberFormat="1" applyFont="1" applyFill="1" applyBorder="1">
      <alignment vertical="center"/>
    </xf>
    <xf numFmtId="178" fontId="8" fillId="22" borderId="106" xfId="0" applyNumberFormat="1" applyFont="1" applyFill="1" applyBorder="1">
      <alignment vertical="center"/>
    </xf>
    <xf numFmtId="189" fontId="8" fillId="22" borderId="50" xfId="0" applyNumberFormat="1" applyFont="1" applyFill="1" applyBorder="1">
      <alignment vertical="center"/>
    </xf>
    <xf numFmtId="189" fontId="8" fillId="22" borderId="51" xfId="0" applyNumberFormat="1" applyFont="1" applyFill="1" applyBorder="1">
      <alignment vertical="center"/>
    </xf>
    <xf numFmtId="180" fontId="8" fillId="22" borderId="111" xfId="0" applyNumberFormat="1" applyFont="1" applyFill="1" applyBorder="1">
      <alignment vertical="center"/>
    </xf>
    <xf numFmtId="182" fontId="8" fillId="22" borderId="113" xfId="0" applyNumberFormat="1" applyFont="1" applyFill="1" applyBorder="1">
      <alignment vertical="center"/>
    </xf>
    <xf numFmtId="182" fontId="8" fillId="22" borderId="114" xfId="0" applyNumberFormat="1" applyFont="1" applyFill="1" applyBorder="1">
      <alignment vertical="center"/>
    </xf>
    <xf numFmtId="182" fontId="8" fillId="22" borderId="252" xfId="2" applyNumberFormat="1" applyFont="1" applyFill="1" applyBorder="1">
      <alignment vertical="center"/>
    </xf>
    <xf numFmtId="182" fontId="8" fillId="22" borderId="292" xfId="2" applyNumberFormat="1" applyFont="1" applyFill="1" applyBorder="1">
      <alignment vertical="center"/>
    </xf>
    <xf numFmtId="197" fontId="8" fillId="22" borderId="51" xfId="0" applyNumberFormat="1" applyFont="1" applyFill="1" applyBorder="1">
      <alignment vertical="center"/>
    </xf>
    <xf numFmtId="41" fontId="8" fillId="22" borderId="72" xfId="0" applyNumberFormat="1" applyFont="1" applyFill="1" applyBorder="1">
      <alignment vertical="center"/>
    </xf>
    <xf numFmtId="182" fontId="8" fillId="22" borderId="51" xfId="0" applyNumberFormat="1" applyFont="1" applyFill="1" applyBorder="1">
      <alignment vertical="center"/>
    </xf>
    <xf numFmtId="182" fontId="8" fillId="22" borderId="108" xfId="2" applyNumberFormat="1" applyFont="1" applyFill="1" applyBorder="1">
      <alignment vertical="center"/>
    </xf>
    <xf numFmtId="182" fontId="8" fillId="22" borderId="620" xfId="2" applyNumberFormat="1" applyFont="1" applyFill="1" applyBorder="1">
      <alignment vertical="center"/>
    </xf>
    <xf numFmtId="0" fontId="8" fillId="0" borderId="387" xfId="0" applyFont="1" applyFill="1" applyBorder="1" applyAlignment="1">
      <alignment horizontal="center" vertical="center"/>
    </xf>
    <xf numFmtId="0" fontId="8" fillId="0" borderId="133" xfId="0" applyFont="1" applyFill="1" applyBorder="1" applyAlignment="1">
      <alignment horizontal="center" vertical="center"/>
    </xf>
    <xf numFmtId="176" fontId="8" fillId="0" borderId="136" xfId="1" applyNumberFormat="1" applyFont="1" applyFill="1" applyBorder="1" applyAlignment="1">
      <alignment horizontal="center" vertical="center"/>
    </xf>
    <xf numFmtId="180" fontId="8" fillId="0" borderId="54" xfId="0" applyNumberFormat="1" applyFont="1" applyFill="1" applyBorder="1">
      <alignment vertical="center"/>
    </xf>
    <xf numFmtId="180" fontId="8" fillId="0" borderId="71" xfId="0" applyNumberFormat="1" applyFont="1" applyFill="1" applyBorder="1">
      <alignment vertical="center"/>
    </xf>
    <xf numFmtId="41" fontId="8" fillId="0" borderId="72" xfId="0" applyNumberFormat="1" applyFont="1" applyFill="1" applyBorder="1">
      <alignment vertical="center"/>
    </xf>
    <xf numFmtId="189" fontId="3" fillId="0" borderId="0" xfId="0" applyNumberFormat="1" applyFont="1" applyFill="1" applyAlignment="1">
      <alignment horizontal="center" vertical="center"/>
    </xf>
    <xf numFmtId="188" fontId="3" fillId="0" borderId="0" xfId="0" applyNumberFormat="1" applyFont="1" applyFill="1" applyAlignment="1">
      <alignment horizontal="center" vertical="center"/>
    </xf>
    <xf numFmtId="199" fontId="3" fillId="0" borderId="113" xfId="3" applyNumberFormat="1" applyFont="1" applyFill="1" applyBorder="1">
      <alignment vertical="center"/>
    </xf>
    <xf numFmtId="199" fontId="3" fillId="0" borderId="113" xfId="0" applyNumberFormat="1" applyFont="1" applyFill="1" applyBorder="1">
      <alignment vertical="center"/>
    </xf>
    <xf numFmtId="199" fontId="3" fillId="0" borderId="515" xfId="0" applyNumberFormat="1" applyFont="1" applyFill="1" applyBorder="1">
      <alignment vertical="center"/>
    </xf>
    <xf numFmtId="180" fontId="81" fillId="0" borderId="0" xfId="0" applyNumberFormat="1" applyFont="1" applyFill="1">
      <alignment vertical="center"/>
    </xf>
    <xf numFmtId="189" fontId="17" fillId="0" borderId="0" xfId="0" applyNumberFormat="1" applyFont="1" applyFill="1" applyBorder="1" applyAlignment="1">
      <alignment horizontal="center" vertical="center"/>
    </xf>
    <xf numFmtId="189" fontId="17" fillId="0" borderId="358" xfId="0" applyNumberFormat="1" applyFont="1" applyFill="1" applyBorder="1" applyAlignment="1">
      <alignment horizontal="center" vertical="center"/>
    </xf>
    <xf numFmtId="180" fontId="62" fillId="0" borderId="0" xfId="0" applyNumberFormat="1" applyFont="1" applyFill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88" fontId="151" fillId="0" borderId="0" xfId="0" applyNumberFormat="1" applyFont="1" applyFill="1" applyAlignment="1">
      <alignment horizontal="center" vertical="center"/>
    </xf>
    <xf numFmtId="189" fontId="3" fillId="0" borderId="145" xfId="0" applyNumberFormat="1" applyFont="1" applyFill="1" applyBorder="1" applyAlignment="1">
      <alignment vertical="center"/>
    </xf>
    <xf numFmtId="41" fontId="81" fillId="0" borderId="0" xfId="0" applyNumberFormat="1" applyFont="1" applyFill="1" applyAlignment="1">
      <alignment vertical="center" shrinkToFit="1"/>
    </xf>
    <xf numFmtId="0" fontId="140" fillId="0" borderId="0" xfId="0" applyFont="1" applyFill="1">
      <alignment vertical="center"/>
    </xf>
    <xf numFmtId="180" fontId="140" fillId="0" borderId="0" xfId="0" applyNumberFormat="1" applyFont="1" applyFill="1">
      <alignment vertical="center"/>
    </xf>
    <xf numFmtId="180" fontId="140" fillId="0" borderId="0" xfId="0" applyNumberFormat="1" applyFont="1" applyFill="1" applyBorder="1">
      <alignment vertical="center"/>
    </xf>
    <xf numFmtId="180" fontId="84" fillId="0" borderId="0" xfId="0" applyNumberFormat="1" applyFont="1" applyFill="1" applyAlignment="1">
      <alignment horizontal="center" vertical="center" shrinkToFit="1"/>
    </xf>
    <xf numFmtId="180" fontId="84" fillId="0" borderId="0" xfId="0" applyNumberFormat="1" applyFont="1" applyFill="1">
      <alignment vertical="center"/>
    </xf>
    <xf numFmtId="180" fontId="84" fillId="0" borderId="358" xfId="0" applyNumberFormat="1" applyFont="1" applyFill="1" applyBorder="1">
      <alignment vertical="center"/>
    </xf>
    <xf numFmtId="0" fontId="19" fillId="0" borderId="0" xfId="0" applyFont="1" applyFill="1">
      <alignment vertical="center"/>
    </xf>
    <xf numFmtId="178" fontId="84" fillId="0" borderId="0" xfId="0" applyNumberFormat="1" applyFont="1" applyFill="1">
      <alignment vertical="center"/>
    </xf>
    <xf numFmtId="178" fontId="84" fillId="0" borderId="358" xfId="0" applyNumberFormat="1" applyFont="1" applyFill="1" applyBorder="1">
      <alignment vertical="center"/>
    </xf>
    <xf numFmtId="9" fontId="84" fillId="0" borderId="0" xfId="3" applyFont="1" applyFill="1" applyBorder="1">
      <alignment vertical="center"/>
    </xf>
    <xf numFmtId="9" fontId="84" fillId="0" borderId="358" xfId="3" applyFont="1" applyFill="1" applyBorder="1">
      <alignment vertical="center"/>
    </xf>
    <xf numFmtId="41" fontId="84" fillId="0" borderId="0" xfId="2" applyFont="1" applyFill="1" applyBorder="1">
      <alignment vertical="center"/>
    </xf>
    <xf numFmtId="41" fontId="84" fillId="0" borderId="358" xfId="2" applyFont="1" applyFill="1" applyBorder="1">
      <alignment vertical="center"/>
    </xf>
    <xf numFmtId="9" fontId="81" fillId="0" borderId="0" xfId="0" applyNumberFormat="1" applyFont="1" applyFill="1">
      <alignment vertical="center"/>
    </xf>
    <xf numFmtId="9" fontId="81" fillId="0" borderId="0" xfId="3" applyFont="1" applyFill="1">
      <alignment vertical="center"/>
    </xf>
    <xf numFmtId="183" fontId="152" fillId="0" borderId="0" xfId="3" applyNumberFormat="1" applyFont="1" applyFill="1" applyAlignment="1">
      <alignment horizontal="center" vertical="center"/>
    </xf>
    <xf numFmtId="183" fontId="152" fillId="0" borderId="0" xfId="0" applyNumberFormat="1" applyFont="1" applyFill="1" applyAlignment="1">
      <alignment horizontal="center" vertical="center"/>
    </xf>
    <xf numFmtId="9" fontId="3" fillId="0" borderId="0" xfId="3" applyFont="1" applyFill="1">
      <alignment vertical="center"/>
    </xf>
    <xf numFmtId="183" fontId="153" fillId="0" borderId="0" xfId="3" applyNumberFormat="1" applyFont="1" applyFill="1" applyAlignment="1">
      <alignment horizontal="center" vertical="center"/>
    </xf>
    <xf numFmtId="183" fontId="154" fillId="0" borderId="0" xfId="0" applyNumberFormat="1" applyFont="1" applyFill="1" applyAlignment="1">
      <alignment horizontal="center" vertical="center"/>
    </xf>
    <xf numFmtId="177" fontId="81" fillId="0" borderId="0" xfId="0" applyNumberFormat="1" applyFont="1" applyFill="1">
      <alignment vertical="center"/>
    </xf>
    <xf numFmtId="41" fontId="81" fillId="0" borderId="0" xfId="2" applyFont="1" applyFill="1">
      <alignment vertical="center"/>
    </xf>
    <xf numFmtId="177" fontId="81" fillId="0" borderId="0" xfId="0" applyNumberFormat="1" applyFont="1">
      <alignment vertical="center"/>
    </xf>
    <xf numFmtId="177" fontId="8" fillId="22" borderId="360" xfId="0" applyNumberFormat="1" applyFont="1" applyFill="1" applyBorder="1" applyAlignment="1">
      <alignment horizontal="center" vertical="center"/>
    </xf>
    <xf numFmtId="179" fontId="8" fillId="22" borderId="584" xfId="0" applyNumberFormat="1" applyFont="1" applyFill="1" applyBorder="1" applyAlignment="1">
      <alignment horizontal="center" vertical="center"/>
    </xf>
    <xf numFmtId="177" fontId="8" fillId="22" borderId="584" xfId="0" applyNumberFormat="1" applyFont="1" applyFill="1" applyBorder="1" applyAlignment="1">
      <alignment horizontal="center" vertical="center"/>
    </xf>
    <xf numFmtId="177" fontId="8" fillId="22" borderId="203" xfId="0" applyNumberFormat="1" applyFont="1" applyFill="1" applyBorder="1" applyAlignment="1">
      <alignment horizontal="center" vertical="center"/>
    </xf>
    <xf numFmtId="177" fontId="8" fillId="22" borderId="591" xfId="0" applyNumberFormat="1" applyFont="1" applyFill="1" applyBorder="1" applyAlignment="1">
      <alignment horizontal="center" vertical="center"/>
    </xf>
    <xf numFmtId="179" fontId="5" fillId="22" borderId="365" xfId="0" applyNumberFormat="1" applyFont="1" applyFill="1" applyBorder="1" applyAlignment="1">
      <alignment horizontal="center" vertical="center"/>
    </xf>
    <xf numFmtId="177" fontId="8" fillId="22" borderId="365" xfId="0" applyNumberFormat="1" applyFont="1" applyFill="1" applyBorder="1" applyAlignment="1">
      <alignment horizontal="center" vertical="center"/>
    </xf>
    <xf numFmtId="177" fontId="8" fillId="22" borderId="593" xfId="0" applyNumberFormat="1" applyFont="1" applyFill="1" applyBorder="1" applyAlignment="1">
      <alignment horizontal="center" vertical="center"/>
    </xf>
    <xf numFmtId="177" fontId="5" fillId="22" borderId="101" xfId="0" applyNumberFormat="1" applyFont="1" applyFill="1" applyBorder="1" applyAlignment="1">
      <alignment horizontal="center" vertical="center"/>
    </xf>
    <xf numFmtId="177" fontId="5" fillId="22" borderId="369" xfId="0" applyNumberFormat="1" applyFont="1" applyFill="1" applyBorder="1" applyAlignment="1">
      <alignment horizontal="center" vertical="center"/>
    </xf>
    <xf numFmtId="179" fontId="5" fillId="22" borderId="369" xfId="0" applyNumberFormat="1" applyFont="1" applyFill="1" applyBorder="1" applyAlignment="1">
      <alignment horizontal="center" vertical="center"/>
    </xf>
    <xf numFmtId="177" fontId="8" fillId="22" borderId="369" xfId="0" applyNumberFormat="1" applyFont="1" applyFill="1" applyBorder="1" applyAlignment="1">
      <alignment horizontal="center" vertical="center"/>
    </xf>
    <xf numFmtId="177" fontId="8" fillId="22" borderId="596" xfId="0" applyNumberFormat="1" applyFont="1" applyFill="1" applyBorder="1" applyAlignment="1">
      <alignment horizontal="center" vertical="center"/>
    </xf>
    <xf numFmtId="177" fontId="5" fillId="22" borderId="221" xfId="0" applyNumberFormat="1" applyFont="1" applyFill="1" applyBorder="1" applyAlignment="1">
      <alignment horizontal="center" vertical="center"/>
    </xf>
    <xf numFmtId="179" fontId="5" fillId="22" borderId="221" xfId="0" applyNumberFormat="1" applyFont="1" applyFill="1" applyBorder="1" applyAlignment="1">
      <alignment horizontal="center" vertical="center"/>
    </xf>
    <xf numFmtId="177" fontId="8" fillId="22" borderId="221" xfId="0" applyNumberFormat="1" applyFont="1" applyFill="1" applyBorder="1" applyAlignment="1">
      <alignment horizontal="center" vertical="center"/>
    </xf>
    <xf numFmtId="177" fontId="8" fillId="22" borderId="281" xfId="0" applyNumberFormat="1" applyFont="1" applyFill="1" applyBorder="1" applyAlignment="1">
      <alignment horizontal="center" vertical="center"/>
    </xf>
    <xf numFmtId="177" fontId="5" fillId="22" borderId="281" xfId="0" applyNumberFormat="1" applyFont="1" applyFill="1" applyBorder="1" applyAlignment="1">
      <alignment horizontal="center" vertical="center"/>
    </xf>
    <xf numFmtId="177" fontId="8" fillId="22" borderId="178" xfId="0" applyNumberFormat="1" applyFont="1" applyFill="1" applyBorder="1" applyAlignment="1">
      <alignment horizontal="center" vertical="center"/>
    </xf>
    <xf numFmtId="177" fontId="8" fillId="22" borderId="376" xfId="0" applyNumberFormat="1" applyFont="1" applyFill="1" applyBorder="1" applyAlignment="1">
      <alignment horizontal="center" vertical="center"/>
    </xf>
    <xf numFmtId="177" fontId="8" fillId="22" borderId="290" xfId="0" applyNumberFormat="1" applyFont="1" applyFill="1" applyBorder="1" applyAlignment="1">
      <alignment horizontal="center" vertical="center"/>
    </xf>
    <xf numFmtId="9" fontId="8" fillId="22" borderId="57" xfId="3" applyFont="1" applyFill="1" applyBorder="1" applyAlignment="1">
      <alignment horizontal="center" vertical="center"/>
    </xf>
    <xf numFmtId="9" fontId="8" fillId="22" borderId="58" xfId="3" applyFont="1" applyFill="1" applyBorder="1" applyAlignment="1">
      <alignment horizontal="center" vertical="center"/>
    </xf>
    <xf numFmtId="9" fontId="8" fillId="22" borderId="59" xfId="3" applyFont="1" applyFill="1" applyBorder="1" applyAlignment="1">
      <alignment horizontal="center" vertical="center"/>
    </xf>
    <xf numFmtId="9" fontId="8" fillId="22" borderId="76" xfId="3" applyFont="1" applyFill="1" applyBorder="1" applyAlignment="1">
      <alignment horizontal="center" vertical="center"/>
    </xf>
    <xf numFmtId="9" fontId="8" fillId="22" borderId="80" xfId="3" applyFont="1" applyFill="1" applyBorder="1" applyAlignment="1">
      <alignment horizontal="center" vertical="center"/>
    </xf>
    <xf numFmtId="9" fontId="8" fillId="22" borderId="84" xfId="3" applyFont="1" applyFill="1" applyBorder="1" applyAlignment="1">
      <alignment horizontal="center" vertical="center"/>
    </xf>
    <xf numFmtId="9" fontId="8" fillId="22" borderId="178" xfId="3" applyFont="1" applyFill="1" applyBorder="1" applyAlignment="1">
      <alignment horizontal="center" vertical="center"/>
    </xf>
    <xf numFmtId="9" fontId="8" fillId="22" borderId="290" xfId="3" applyFont="1" applyFill="1" applyBorder="1" applyAlignment="1">
      <alignment horizontal="center" vertical="center"/>
    </xf>
    <xf numFmtId="0" fontId="8" fillId="0" borderId="56" xfId="0" applyFont="1" applyFill="1" applyBorder="1" applyAlignment="1">
      <alignment horizontal="center" vertical="center"/>
    </xf>
    <xf numFmtId="0" fontId="8" fillId="0" borderId="22" xfId="0" applyFont="1" applyFill="1" applyBorder="1" applyAlignment="1">
      <alignment horizontal="center" vertical="center"/>
    </xf>
    <xf numFmtId="177" fontId="8" fillId="3" borderId="590" xfId="0" applyNumberFormat="1" applyFont="1" applyFill="1" applyBorder="1" applyAlignment="1">
      <alignment horizontal="center" vertical="center"/>
    </xf>
    <xf numFmtId="183" fontId="156" fillId="0" borderId="0" xfId="0" applyNumberFormat="1" applyFont="1" applyAlignment="1">
      <alignment horizontal="center" vertical="center" shrinkToFit="1"/>
    </xf>
    <xf numFmtId="9" fontId="81" fillId="0" borderId="0" xfId="3" applyFont="1">
      <alignment vertical="center"/>
    </xf>
    <xf numFmtId="217" fontId="156" fillId="0" borderId="0" xfId="0" applyNumberFormat="1" applyFont="1" applyAlignment="1">
      <alignment horizontal="center" vertical="center" shrinkToFit="1"/>
    </xf>
    <xf numFmtId="177" fontId="8" fillId="0" borderId="360" xfId="0" applyNumberFormat="1" applyFont="1" applyFill="1" applyBorder="1" applyAlignment="1">
      <alignment horizontal="left" vertical="center"/>
    </xf>
    <xf numFmtId="177" fontId="8" fillId="0" borderId="229" xfId="0" applyNumberFormat="1" applyFont="1" applyFill="1" applyBorder="1" applyAlignment="1">
      <alignment horizontal="center" vertical="center"/>
    </xf>
    <xf numFmtId="177" fontId="8" fillId="0" borderId="365" xfId="0" applyNumberFormat="1" applyFont="1" applyFill="1" applyBorder="1" applyAlignment="1">
      <alignment horizontal="center" vertical="center"/>
    </xf>
    <xf numFmtId="177" fontId="8" fillId="0" borderId="593" xfId="0" applyNumberFormat="1" applyFont="1" applyFill="1" applyBorder="1" applyAlignment="1">
      <alignment horizontal="center" vertical="center"/>
    </xf>
    <xf numFmtId="181" fontId="48" fillId="0" borderId="102" xfId="0" applyNumberFormat="1" applyFont="1" applyFill="1" applyBorder="1" applyAlignment="1">
      <alignment horizontal="center" vertical="center"/>
    </xf>
    <xf numFmtId="177" fontId="48" fillId="0" borderId="593" xfId="0" applyNumberFormat="1" applyFont="1" applyFill="1" applyBorder="1" applyAlignment="1">
      <alignment horizontal="center" vertical="center"/>
    </xf>
    <xf numFmtId="177" fontId="5" fillId="0" borderId="215" xfId="0" applyNumberFormat="1" applyFont="1" applyFill="1" applyBorder="1" applyAlignment="1">
      <alignment horizontal="center" vertical="center"/>
    </xf>
    <xf numFmtId="177" fontId="5" fillId="0" borderId="218" xfId="0" applyNumberFormat="1" applyFont="1" applyFill="1" applyBorder="1" applyAlignment="1">
      <alignment horizontal="center" vertical="center"/>
    </xf>
    <xf numFmtId="177" fontId="5" fillId="0" borderId="595" xfId="0" applyNumberFormat="1" applyFont="1" applyFill="1" applyBorder="1" applyAlignment="1">
      <alignment horizontal="center" vertical="center"/>
    </xf>
    <xf numFmtId="183" fontId="0" fillId="30" borderId="0" xfId="3" applyNumberFormat="1" applyFont="1" applyFill="1">
      <alignment vertical="center"/>
    </xf>
    <xf numFmtId="180" fontId="0" fillId="30" borderId="326" xfId="0" applyNumberFormat="1" applyFill="1" applyBorder="1">
      <alignment vertical="center"/>
    </xf>
    <xf numFmtId="179" fontId="0" fillId="30" borderId="0" xfId="0" applyNumberFormat="1" applyFill="1">
      <alignment vertical="center"/>
    </xf>
    <xf numFmtId="183" fontId="0" fillId="11" borderId="0" xfId="3" applyNumberFormat="1" applyFont="1" applyFill="1">
      <alignment vertical="center"/>
    </xf>
    <xf numFmtId="180" fontId="0" fillId="11" borderId="326" xfId="0" applyNumberFormat="1" applyFill="1" applyBorder="1">
      <alignment vertical="center"/>
    </xf>
    <xf numFmtId="181" fontId="9" fillId="0" borderId="60" xfId="0" applyNumberFormat="1" applyFont="1" applyFill="1" applyBorder="1" applyAlignment="1">
      <alignment horizontal="center" vertical="center"/>
    </xf>
    <xf numFmtId="181" fontId="8" fillId="0" borderId="83" xfId="0" applyNumberFormat="1" applyFont="1" applyFill="1" applyBorder="1" applyAlignment="1">
      <alignment horizontal="center" vertical="center"/>
    </xf>
    <xf numFmtId="181" fontId="8" fillId="0" borderId="81" xfId="0" applyNumberFormat="1" applyFont="1" applyFill="1" applyBorder="1" applyAlignment="1">
      <alignment horizontal="center" vertical="center"/>
    </xf>
    <xf numFmtId="177" fontId="8" fillId="0" borderId="376" xfId="0" applyNumberFormat="1" applyFont="1" applyFill="1" applyBorder="1" applyAlignment="1">
      <alignment horizontal="center" vertical="center"/>
    </xf>
    <xf numFmtId="180" fontId="157" fillId="3" borderId="591" xfId="0" applyNumberFormat="1" applyFont="1" applyFill="1" applyBorder="1" applyAlignment="1">
      <alignment horizontal="center" vertical="center"/>
    </xf>
    <xf numFmtId="183" fontId="81" fillId="0" borderId="0" xfId="3" applyNumberFormat="1" applyFont="1" applyAlignment="1">
      <alignment horizontal="center" vertical="center"/>
    </xf>
    <xf numFmtId="9" fontId="81" fillId="0" borderId="0" xfId="3" applyFont="1" applyAlignment="1">
      <alignment horizontal="center" vertical="center"/>
    </xf>
    <xf numFmtId="9" fontId="81" fillId="0" borderId="0" xfId="3" applyNumberFormat="1" applyFont="1" applyAlignment="1">
      <alignment horizontal="center" vertical="center"/>
    </xf>
    <xf numFmtId="182" fontId="37" fillId="0" borderId="0" xfId="0" applyNumberFormat="1" applyFont="1" applyFill="1" applyAlignment="1">
      <alignment vertical="center"/>
    </xf>
    <xf numFmtId="177" fontId="158" fillId="6" borderId="713" xfId="0" applyNumberFormat="1" applyFont="1" applyFill="1" applyBorder="1" applyAlignment="1">
      <alignment horizontal="center" vertical="center"/>
    </xf>
    <xf numFmtId="177" fontId="158" fillId="6" borderId="714" xfId="0" applyNumberFormat="1" applyFont="1" applyFill="1" applyBorder="1" applyAlignment="1">
      <alignment horizontal="center" vertical="center"/>
    </xf>
    <xf numFmtId="177" fontId="158" fillId="6" borderId="360" xfId="0" applyNumberFormat="1" applyFont="1" applyFill="1" applyBorder="1" applyAlignment="1">
      <alignment horizontal="center" vertical="center"/>
    </xf>
    <xf numFmtId="177" fontId="158" fillId="6" borderId="361" xfId="0" applyNumberFormat="1" applyFont="1" applyFill="1" applyBorder="1" applyAlignment="1">
      <alignment horizontal="center" vertical="center"/>
    </xf>
    <xf numFmtId="177" fontId="158" fillId="6" borderId="360" xfId="0" applyNumberFormat="1" applyFont="1" applyFill="1" applyBorder="1" applyAlignment="1">
      <alignment horizontal="left" vertical="center"/>
    </xf>
    <xf numFmtId="177" fontId="158" fillId="6" borderId="203" xfId="0" applyNumberFormat="1" applyFont="1" applyFill="1" applyBorder="1" applyAlignment="1">
      <alignment horizontal="center" vertical="center"/>
    </xf>
    <xf numFmtId="177" fontId="158" fillId="6" borderId="238" xfId="0" applyNumberFormat="1" applyFont="1" applyFill="1" applyBorder="1" applyAlignment="1">
      <alignment horizontal="center" vertical="center"/>
    </xf>
    <xf numFmtId="177" fontId="158" fillId="6" borderId="365" xfId="0" applyNumberFormat="1" applyFont="1" applyFill="1" applyBorder="1" applyAlignment="1">
      <alignment horizontal="center" vertical="center"/>
    </xf>
    <xf numFmtId="177" fontId="158" fillId="6" borderId="364" xfId="0" applyNumberFormat="1" applyFont="1" applyFill="1" applyBorder="1" applyAlignment="1">
      <alignment horizontal="center" vertical="center"/>
    </xf>
    <xf numFmtId="177" fontId="158" fillId="6" borderId="369" xfId="0" applyNumberFormat="1" applyFont="1" applyFill="1" applyBorder="1" applyAlignment="1">
      <alignment horizontal="center" vertical="center"/>
    </xf>
    <xf numFmtId="177" fontId="158" fillId="6" borderId="370" xfId="0" applyNumberFormat="1" applyFont="1" applyFill="1" applyBorder="1" applyAlignment="1">
      <alignment horizontal="center" vertical="center"/>
    </xf>
    <xf numFmtId="177" fontId="158" fillId="6" borderId="715" xfId="0" applyNumberFormat="1" applyFont="1" applyFill="1" applyBorder="1" applyAlignment="1">
      <alignment horizontal="center" vertical="center"/>
    </xf>
    <xf numFmtId="177" fontId="158" fillId="6" borderId="716" xfId="0" applyNumberFormat="1" applyFont="1" applyFill="1" applyBorder="1" applyAlignment="1">
      <alignment horizontal="center" vertical="center"/>
    </xf>
    <xf numFmtId="180" fontId="3" fillId="0" borderId="229" xfId="0" applyNumberFormat="1" applyFont="1" applyFill="1" applyBorder="1" applyAlignment="1">
      <alignment horizontal="center" vertical="center"/>
    </xf>
    <xf numFmtId="180" fontId="3" fillId="0" borderId="365" xfId="0" applyNumberFormat="1" applyFont="1" applyFill="1" applyBorder="1" applyAlignment="1">
      <alignment horizontal="center" vertical="center"/>
    </xf>
    <xf numFmtId="180" fontId="3" fillId="0" borderId="102" xfId="0" applyNumberFormat="1" applyFont="1" applyFill="1" applyBorder="1" applyAlignment="1">
      <alignment horizontal="center" vertical="center"/>
    </xf>
    <xf numFmtId="180" fontId="3" fillId="0" borderId="360" xfId="0" applyNumberFormat="1" applyFont="1" applyFill="1" applyBorder="1" applyAlignment="1">
      <alignment horizontal="center" vertical="center"/>
    </xf>
    <xf numFmtId="180" fontId="8" fillId="0" borderId="584" xfId="0" applyNumberFormat="1" applyFont="1" applyFill="1" applyBorder="1" applyAlignment="1">
      <alignment horizontal="center" vertical="center"/>
    </xf>
    <xf numFmtId="177" fontId="3" fillId="0" borderId="360" xfId="0" applyNumberFormat="1" applyFont="1" applyFill="1" applyBorder="1" applyAlignment="1">
      <alignment horizontal="center" vertical="center"/>
    </xf>
    <xf numFmtId="180" fontId="3" fillId="0" borderId="220" xfId="0" applyNumberFormat="1" applyFont="1" applyFill="1" applyBorder="1" applyAlignment="1">
      <alignment horizontal="center" vertical="center"/>
    </xf>
    <xf numFmtId="180" fontId="3" fillId="0" borderId="203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17" fillId="0" borderId="0" xfId="0" applyFont="1" applyAlignment="1">
      <alignment horizontal="center" vertical="center"/>
    </xf>
    <xf numFmtId="0" fontId="120" fillId="0" borderId="0" xfId="0" applyFont="1" applyAlignment="1">
      <alignment horizontal="center" vertical="center" shrinkToFit="1"/>
    </xf>
    <xf numFmtId="0" fontId="120" fillId="0" borderId="0" xfId="0" applyFont="1" applyAlignment="1">
      <alignment horizontal="center" vertical="center"/>
    </xf>
    <xf numFmtId="0" fontId="117" fillId="0" borderId="0" xfId="0" applyFont="1" applyAlignment="1">
      <alignment horizontal="center" vertical="center" shrinkToFit="1"/>
    </xf>
    <xf numFmtId="176" fontId="100" fillId="17" borderId="662" xfId="1" applyNumberFormat="1" applyFont="1" applyFill="1" applyBorder="1" applyAlignment="1">
      <alignment horizontal="center" vertical="center"/>
    </xf>
    <xf numFmtId="176" fontId="100" fillId="17" borderId="663" xfId="1" applyNumberFormat="1" applyFont="1" applyFill="1" applyBorder="1" applyAlignment="1">
      <alignment horizontal="center" vertical="center"/>
    </xf>
    <xf numFmtId="0" fontId="101" fillId="0" borderId="42" xfId="0" applyFont="1" applyBorder="1" applyAlignment="1">
      <alignment horizontal="center" vertical="center"/>
    </xf>
    <xf numFmtId="0" fontId="101" fillId="0" borderId="45" xfId="0" applyFont="1" applyBorder="1" applyAlignment="1">
      <alignment horizontal="center" vertical="center"/>
    </xf>
    <xf numFmtId="0" fontId="101" fillId="7" borderId="42" xfId="0" applyFont="1" applyFill="1" applyBorder="1" applyAlignment="1">
      <alignment horizontal="center" vertical="center"/>
    </xf>
    <xf numFmtId="0" fontId="101" fillId="7" borderId="45" xfId="0" applyFont="1" applyFill="1" applyBorder="1" applyAlignment="1">
      <alignment horizontal="center" vertical="center"/>
    </xf>
    <xf numFmtId="0" fontId="101" fillId="11" borderId="42" xfId="0" applyFont="1" applyFill="1" applyBorder="1" applyAlignment="1">
      <alignment horizontal="center" vertical="center"/>
    </xf>
    <xf numFmtId="0" fontId="101" fillId="11" borderId="45" xfId="0" applyFont="1" applyFill="1" applyBorder="1" applyAlignment="1">
      <alignment horizontal="center" vertical="center"/>
    </xf>
    <xf numFmtId="0" fontId="33" fillId="3" borderId="624" xfId="0" applyFont="1" applyFill="1" applyBorder="1" applyAlignment="1">
      <alignment horizontal="center" vertical="center" wrapText="1" shrinkToFit="1"/>
    </xf>
    <xf numFmtId="0" fontId="33" fillId="3" borderId="541" xfId="0" applyFont="1" applyFill="1" applyBorder="1" applyAlignment="1">
      <alignment horizontal="center" vertical="center" shrinkToFit="1"/>
    </xf>
    <xf numFmtId="0" fontId="33" fillId="3" borderId="686" xfId="0" applyFont="1" applyFill="1" applyBorder="1" applyAlignment="1">
      <alignment horizontal="center" vertical="center" shrinkToFit="1"/>
    </xf>
    <xf numFmtId="0" fontId="33" fillId="0" borderId="681" xfId="0" applyFont="1" applyFill="1" applyBorder="1" applyAlignment="1">
      <alignment horizontal="left" vertical="center" wrapText="1"/>
    </xf>
    <xf numFmtId="0" fontId="33" fillId="0" borderId="684" xfId="0" applyFont="1" applyFill="1" applyBorder="1" applyAlignment="1">
      <alignment horizontal="left" vertical="center"/>
    </xf>
    <xf numFmtId="0" fontId="33" fillId="0" borderId="681" xfId="0" applyFont="1" applyFill="1" applyBorder="1" applyAlignment="1">
      <alignment horizontal="left" vertical="center"/>
    </xf>
    <xf numFmtId="0" fontId="33" fillId="0" borderId="632" xfId="0" applyFont="1" applyFill="1" applyBorder="1" applyAlignment="1">
      <alignment horizontal="center" vertical="center"/>
    </xf>
    <xf numFmtId="0" fontId="33" fillId="0" borderId="513" xfId="0" applyFont="1" applyFill="1" applyBorder="1" applyAlignment="1">
      <alignment horizontal="center" vertical="center"/>
    </xf>
    <xf numFmtId="0" fontId="33" fillId="3" borderId="632" xfId="0" applyFont="1" applyFill="1" applyBorder="1" applyAlignment="1">
      <alignment horizontal="center" vertical="center"/>
    </xf>
    <xf numFmtId="0" fontId="33" fillId="3" borderId="513" xfId="0" applyFont="1" applyFill="1" applyBorder="1" applyAlignment="1">
      <alignment horizontal="center" vertical="center"/>
    </xf>
    <xf numFmtId="0" fontId="33" fillId="0" borderId="671" xfId="0" applyFont="1" applyFill="1" applyBorder="1" applyAlignment="1">
      <alignment horizontal="left" vertical="center" wrapText="1"/>
    </xf>
    <xf numFmtId="0" fontId="33" fillId="0" borderId="680" xfId="0" applyFont="1" applyFill="1" applyBorder="1" applyAlignment="1">
      <alignment horizontal="left" vertical="center" wrapText="1"/>
    </xf>
    <xf numFmtId="0" fontId="33" fillId="0" borderId="632" xfId="0" applyFont="1" applyBorder="1" applyAlignment="1">
      <alignment horizontal="center" vertical="center"/>
    </xf>
    <xf numFmtId="0" fontId="33" fillId="0" borderId="513" xfId="0" applyFont="1" applyBorder="1" applyAlignment="1">
      <alignment horizontal="center" vertical="center"/>
    </xf>
    <xf numFmtId="0" fontId="33" fillId="0" borderId="632" xfId="0" applyFont="1" applyBorder="1" applyAlignment="1">
      <alignment horizontal="center" vertical="center" shrinkToFit="1"/>
    </xf>
    <xf numFmtId="0" fontId="33" fillId="0" borderId="513" xfId="0" applyFont="1" applyBorder="1" applyAlignment="1">
      <alignment horizontal="center" vertical="center" shrinkToFit="1"/>
    </xf>
    <xf numFmtId="0" fontId="33" fillId="0" borderId="632" xfId="0" applyFont="1" applyFill="1" applyBorder="1" applyAlignment="1">
      <alignment horizontal="center" vertical="center" shrinkToFit="1"/>
    </xf>
    <xf numFmtId="0" fontId="33" fillId="0" borderId="513" xfId="0" applyFont="1" applyFill="1" applyBorder="1" applyAlignment="1">
      <alignment horizontal="center" vertical="center" shrinkToFit="1"/>
    </xf>
    <xf numFmtId="0" fontId="33" fillId="0" borderId="672" xfId="0" applyFont="1" applyBorder="1" applyAlignment="1">
      <alignment horizontal="center" vertical="center" shrinkToFit="1"/>
    </xf>
    <xf numFmtId="0" fontId="33" fillId="0" borderId="673" xfId="0" applyFont="1" applyBorder="1" applyAlignment="1">
      <alignment horizontal="center" vertical="center" shrinkToFit="1"/>
    </xf>
    <xf numFmtId="0" fontId="33" fillId="0" borderId="675" xfId="0" applyFont="1" applyBorder="1" applyAlignment="1">
      <alignment horizontal="center" vertical="center" shrinkToFit="1"/>
    </xf>
    <xf numFmtId="0" fontId="33" fillId="0" borderId="676" xfId="0" applyFont="1" applyBorder="1" applyAlignment="1">
      <alignment horizontal="center" vertical="center" shrinkToFit="1"/>
    </xf>
    <xf numFmtId="0" fontId="101" fillId="7" borderId="678" xfId="0" applyFont="1" applyFill="1" applyBorder="1" applyAlignment="1">
      <alignment horizontal="center" vertical="center"/>
    </xf>
    <xf numFmtId="0" fontId="101" fillId="7" borderId="679" xfId="0" applyFont="1" applyFill="1" applyBorder="1" applyAlignment="1">
      <alignment horizontal="center" vertical="center"/>
    </xf>
    <xf numFmtId="0" fontId="101" fillId="7" borderId="632" xfId="0" applyFont="1" applyFill="1" applyBorder="1" applyAlignment="1">
      <alignment horizontal="center" vertical="center"/>
    </xf>
    <xf numFmtId="0" fontId="101" fillId="7" borderId="513" xfId="0" applyFont="1" applyFill="1" applyBorder="1" applyAlignment="1">
      <alignment horizontal="center" vertical="center"/>
    </xf>
    <xf numFmtId="0" fontId="33" fillId="0" borderId="671" xfId="0" applyFont="1" applyBorder="1" applyAlignment="1">
      <alignment horizontal="left" vertical="center" wrapText="1"/>
    </xf>
    <xf numFmtId="0" fontId="33" fillId="0" borderId="684" xfId="0" applyFont="1" applyBorder="1" applyAlignment="1">
      <alignment horizontal="left" vertical="center" wrapText="1"/>
    </xf>
    <xf numFmtId="0" fontId="100" fillId="17" borderId="667" xfId="0" applyFont="1" applyFill="1" applyBorder="1" applyAlignment="1">
      <alignment horizontal="center" vertical="center" shrinkToFit="1"/>
    </xf>
    <xf numFmtId="0" fontId="100" fillId="17" borderId="668" xfId="0" applyFont="1" applyFill="1" applyBorder="1" applyAlignment="1">
      <alignment horizontal="center" vertical="center" shrinkToFit="1"/>
    </xf>
    <xf numFmtId="0" fontId="33" fillId="0" borderId="696" xfId="0" applyFont="1" applyFill="1" applyBorder="1" applyAlignment="1">
      <alignment horizontal="center" vertical="center"/>
    </xf>
    <xf numFmtId="0" fontId="33" fillId="0" borderId="697" xfId="0" applyFont="1" applyFill="1" applyBorder="1" applyAlignment="1">
      <alignment horizontal="center" vertical="center"/>
    </xf>
    <xf numFmtId="0" fontId="33" fillId="0" borderId="696" xfId="0" applyFont="1" applyFill="1" applyBorder="1" applyAlignment="1">
      <alignment horizontal="center" vertical="center" shrinkToFit="1"/>
    </xf>
    <xf numFmtId="0" fontId="33" fillId="0" borderId="697" xfId="0" applyFont="1" applyFill="1" applyBorder="1" applyAlignment="1">
      <alignment horizontal="center" vertical="center" shrinkToFit="1"/>
    </xf>
    <xf numFmtId="0" fontId="33" fillId="0" borderId="693" xfId="0" applyFont="1" applyBorder="1" applyAlignment="1">
      <alignment horizontal="center" vertical="center" shrinkToFit="1"/>
    </xf>
    <xf numFmtId="0" fontId="33" fillId="0" borderId="694" xfId="0" applyFont="1" applyBorder="1" applyAlignment="1">
      <alignment horizontal="center" vertical="center" shrinkToFit="1"/>
    </xf>
    <xf numFmtId="0" fontId="33" fillId="0" borderId="670" xfId="0" applyFont="1" applyFill="1" applyBorder="1" applyAlignment="1">
      <alignment horizontal="left" vertical="center" wrapText="1"/>
    </xf>
    <xf numFmtId="0" fontId="33" fillId="0" borderId="684" xfId="0" applyFont="1" applyFill="1" applyBorder="1" applyAlignment="1">
      <alignment horizontal="left" vertical="center" wrapText="1"/>
    </xf>
    <xf numFmtId="176" fontId="129" fillId="17" borderId="662" xfId="1" applyNumberFormat="1" applyFont="1" applyFill="1" applyBorder="1" applyAlignment="1">
      <alignment horizontal="center" vertical="center"/>
    </xf>
    <xf numFmtId="176" fontId="129" fillId="17" borderId="663" xfId="1" applyNumberFormat="1" applyFont="1" applyFill="1" applyBorder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7" fontId="3" fillId="17" borderId="433" xfId="0" applyNumberFormat="1" applyFont="1" applyFill="1" applyBorder="1" applyAlignment="1">
      <alignment horizontal="center" vertical="center"/>
    </xf>
    <xf numFmtId="177" fontId="3" fillId="17" borderId="434" xfId="0" applyNumberFormat="1" applyFont="1" applyFill="1" applyBorder="1" applyAlignment="1">
      <alignment horizontal="center" vertical="center"/>
    </xf>
    <xf numFmtId="177" fontId="3" fillId="17" borderId="517" xfId="0" applyNumberFormat="1" applyFont="1" applyFill="1" applyBorder="1" applyAlignment="1">
      <alignment horizontal="center" vertical="center"/>
    </xf>
    <xf numFmtId="177" fontId="3" fillId="17" borderId="1" xfId="0" applyNumberFormat="1" applyFont="1" applyFill="1" applyBorder="1" applyAlignment="1">
      <alignment horizontal="center" vertical="center"/>
    </xf>
    <xf numFmtId="177" fontId="3" fillId="17" borderId="2" xfId="0" applyNumberFormat="1" applyFont="1" applyFill="1" applyBorder="1" applyAlignment="1">
      <alignment horizontal="center" vertical="center"/>
    </xf>
    <xf numFmtId="0" fontId="11" fillId="3" borderId="42" xfId="0" applyFont="1" applyFill="1" applyBorder="1" applyAlignment="1">
      <alignment horizontal="center" vertical="center"/>
    </xf>
    <xf numFmtId="0" fontId="53" fillId="0" borderId="35" xfId="0" applyFont="1" applyBorder="1" applyAlignment="1">
      <alignment horizontal="center" vertical="center"/>
    </xf>
    <xf numFmtId="176" fontId="3" fillId="17" borderId="1" xfId="1" applyNumberFormat="1" applyFont="1" applyFill="1" applyBorder="1" applyAlignment="1">
      <alignment horizontal="center" vertical="center"/>
    </xf>
    <xf numFmtId="176" fontId="3" fillId="17" borderId="2" xfId="1" applyNumberFormat="1" applyFont="1" applyFill="1" applyBorder="1" applyAlignment="1">
      <alignment horizontal="center" vertical="center"/>
    </xf>
    <xf numFmtId="176" fontId="3" fillId="17" borderId="3" xfId="1" applyNumberFormat="1" applyFont="1" applyFill="1" applyBorder="1" applyAlignment="1">
      <alignment horizontal="center" vertical="center"/>
    </xf>
    <xf numFmtId="176" fontId="3" fillId="17" borderId="441" xfId="1" applyNumberFormat="1" applyFont="1" applyFill="1" applyBorder="1" applyAlignment="1">
      <alignment horizontal="center" vertical="center"/>
    </xf>
    <xf numFmtId="176" fontId="3" fillId="17" borderId="43" xfId="1" applyNumberFormat="1" applyFont="1" applyFill="1" applyBorder="1" applyAlignment="1">
      <alignment horizontal="center" vertical="center"/>
    </xf>
    <xf numFmtId="176" fontId="3" fillId="17" borderId="6" xfId="1" applyNumberFormat="1" applyFont="1" applyFill="1" applyBorder="1" applyAlignment="1">
      <alignment horizontal="center" vertical="center"/>
    </xf>
    <xf numFmtId="177" fontId="3" fillId="17" borderId="431" xfId="0" applyNumberFormat="1" applyFont="1" applyFill="1" applyBorder="1" applyAlignment="1">
      <alignment horizontal="center" vertical="center"/>
    </xf>
    <xf numFmtId="177" fontId="3" fillId="17" borderId="348" xfId="0" applyNumberFormat="1" applyFont="1" applyFill="1" applyBorder="1" applyAlignment="1">
      <alignment horizontal="center" vertical="center"/>
    </xf>
    <xf numFmtId="177" fontId="3" fillId="17" borderId="432" xfId="0" applyNumberFormat="1" applyFont="1" applyFill="1" applyBorder="1" applyAlignment="1">
      <alignment horizontal="center" vertical="center"/>
    </xf>
    <xf numFmtId="0" fontId="53" fillId="0" borderId="0" xfId="0" applyFont="1" applyBorder="1" applyAlignment="1">
      <alignment horizontal="center" vertical="center"/>
    </xf>
    <xf numFmtId="177" fontId="3" fillId="17" borderId="435" xfId="0" applyNumberFormat="1" applyFont="1" applyFill="1" applyBorder="1" applyAlignment="1">
      <alignment horizontal="center" vertical="center"/>
    </xf>
    <xf numFmtId="177" fontId="3" fillId="17" borderId="349" xfId="0" applyNumberFormat="1" applyFont="1" applyFill="1" applyBorder="1" applyAlignment="1">
      <alignment horizontal="center" vertical="center"/>
    </xf>
    <xf numFmtId="0" fontId="58" fillId="0" borderId="42" xfId="0" applyFont="1" applyFill="1" applyBorder="1" applyAlignment="1">
      <alignment horizontal="center" vertical="center"/>
    </xf>
    <xf numFmtId="182" fontId="39" fillId="10" borderId="512" xfId="0" applyNumberFormat="1" applyFont="1" applyFill="1" applyBorder="1" applyAlignment="1">
      <alignment horizontal="center" vertical="center"/>
    </xf>
    <xf numFmtId="182" fontId="39" fillId="10" borderId="42" xfId="0" applyNumberFormat="1" applyFont="1" applyFill="1" applyBorder="1" applyAlignment="1">
      <alignment horizontal="center" vertical="center"/>
    </xf>
    <xf numFmtId="182" fontId="39" fillId="27" borderId="512" xfId="0" applyNumberFormat="1" applyFont="1" applyFill="1" applyBorder="1" applyAlignment="1">
      <alignment horizontal="center" vertical="center"/>
    </xf>
    <xf numFmtId="182" fontId="39" fillId="27" borderId="42" xfId="0" applyNumberFormat="1" applyFont="1" applyFill="1" applyBorder="1" applyAlignment="1">
      <alignment horizontal="center" vertical="center"/>
    </xf>
    <xf numFmtId="0" fontId="31" fillId="11" borderId="516" xfId="0" applyFont="1" applyFill="1" applyBorder="1" applyAlignment="1">
      <alignment horizontal="center" vertical="center"/>
    </xf>
    <xf numFmtId="0" fontId="31" fillId="11" borderId="512" xfId="0" applyFont="1" applyFill="1" applyBorder="1" applyAlignment="1">
      <alignment horizontal="center" vertical="center"/>
    </xf>
    <xf numFmtId="0" fontId="32" fillId="11" borderId="579" xfId="0" applyFont="1" applyFill="1" applyBorder="1" applyAlignment="1">
      <alignment horizontal="center" vertical="center"/>
    </xf>
    <xf numFmtId="177" fontId="34" fillId="10" borderId="577" xfId="0" applyNumberFormat="1" applyFont="1" applyFill="1" applyBorder="1" applyAlignment="1">
      <alignment horizontal="center" vertical="center"/>
    </xf>
    <xf numFmtId="177" fontId="34" fillId="10" borderId="35" xfId="0" applyNumberFormat="1" applyFont="1" applyFill="1" applyBorder="1" applyAlignment="1">
      <alignment horizontal="center" vertical="center"/>
    </xf>
    <xf numFmtId="177" fontId="34" fillId="10" borderId="578" xfId="0" applyNumberFormat="1" applyFont="1" applyFill="1" applyBorder="1" applyAlignment="1">
      <alignment horizontal="center" vertical="center"/>
    </xf>
    <xf numFmtId="177" fontId="34" fillId="10" borderId="43" xfId="0" applyNumberFormat="1" applyFont="1" applyFill="1" applyBorder="1" applyAlignment="1">
      <alignment horizontal="center" vertical="center"/>
    </xf>
    <xf numFmtId="180" fontId="91" fillId="0" borderId="514" xfId="0" applyNumberFormat="1" applyFont="1" applyBorder="1" applyAlignment="1">
      <alignment horizontal="center" vertical="center" shrinkToFit="1"/>
    </xf>
    <xf numFmtId="180" fontId="91" fillId="0" borderId="0" xfId="0" applyNumberFormat="1" applyFont="1" applyBorder="1" applyAlignment="1">
      <alignment horizontal="center" vertical="center" shrinkToFit="1"/>
    </xf>
    <xf numFmtId="0" fontId="31" fillId="11" borderId="511" xfId="0" applyFont="1" applyFill="1" applyBorder="1" applyAlignment="1">
      <alignment horizontal="center" vertical="center"/>
    </xf>
    <xf numFmtId="0" fontId="32" fillId="11" borderId="580" xfId="0" applyFont="1" applyFill="1" applyBorder="1" applyAlignment="1">
      <alignment horizontal="center" vertical="center"/>
    </xf>
    <xf numFmtId="0" fontId="32" fillId="11" borderId="516" xfId="0" applyFont="1" applyFill="1" applyBorder="1" applyAlignment="1">
      <alignment horizontal="center" vertical="center"/>
    </xf>
    <xf numFmtId="0" fontId="32" fillId="11" borderId="512" xfId="0" applyFont="1" applyFill="1" applyBorder="1" applyAlignment="1">
      <alignment horizontal="center" vertical="center"/>
    </xf>
    <xf numFmtId="0" fontId="32" fillId="11" borderId="511" xfId="0" applyFont="1" applyFill="1" applyBorder="1" applyAlignment="1">
      <alignment horizontal="center" vertical="center"/>
    </xf>
    <xf numFmtId="180" fontId="90" fillId="0" borderId="577" xfId="0" applyNumberFormat="1" applyFont="1" applyBorder="1" applyAlignment="1">
      <alignment horizontal="center" vertical="center" shrinkToFit="1"/>
    </xf>
    <xf numFmtId="180" fontId="90" fillId="0" borderId="35" xfId="0" applyNumberFormat="1" applyFont="1" applyBorder="1" applyAlignment="1">
      <alignment horizontal="center" vertical="center" shrinkToFit="1"/>
    </xf>
    <xf numFmtId="182" fontId="39" fillId="10" borderId="513" xfId="0" applyNumberFormat="1" applyFont="1" applyFill="1" applyBorder="1" applyAlignment="1">
      <alignment horizontal="center" vertical="center"/>
    </xf>
    <xf numFmtId="218" fontId="39" fillId="10" borderId="512" xfId="0" applyNumberFormat="1" applyFont="1" applyFill="1" applyBorder="1" applyAlignment="1">
      <alignment horizontal="center" vertical="center"/>
    </xf>
    <xf numFmtId="218" fontId="39" fillId="10" borderId="42" xfId="0" applyNumberFormat="1" applyFont="1" applyFill="1" applyBorder="1" applyAlignment="1">
      <alignment horizontal="center" vertical="center"/>
    </xf>
    <xf numFmtId="182" fontId="39" fillId="10" borderId="535" xfId="0" applyNumberFormat="1" applyFont="1" applyFill="1" applyBorder="1" applyAlignment="1">
      <alignment horizontal="center" vertical="center"/>
    </xf>
    <xf numFmtId="0" fontId="32" fillId="11" borderId="510" xfId="0" applyFont="1" applyFill="1" applyBorder="1" applyAlignment="1">
      <alignment horizontal="center" vertical="center"/>
    </xf>
    <xf numFmtId="0" fontId="32" fillId="11" borderId="632" xfId="0" applyFont="1" applyFill="1" applyBorder="1" applyAlignment="1">
      <alignment horizontal="center" vertical="center"/>
    </xf>
    <xf numFmtId="0" fontId="32" fillId="11" borderId="513" xfId="0" applyFont="1" applyFill="1" applyBorder="1" applyAlignment="1">
      <alignment horizontal="center" vertical="center"/>
    </xf>
    <xf numFmtId="177" fontId="34" fillId="10" borderId="624" xfId="0" applyNumberFormat="1" applyFont="1" applyFill="1" applyBorder="1" applyAlignment="1">
      <alignment horizontal="center" vertical="center"/>
    </xf>
    <xf numFmtId="177" fontId="34" fillId="10" borderId="64" xfId="0" applyNumberFormat="1" applyFont="1" applyFill="1" applyBorder="1" applyAlignment="1">
      <alignment horizontal="center" vertical="center"/>
    </xf>
    <xf numFmtId="0" fontId="32" fillId="11" borderId="586" xfId="0" applyFont="1" applyFill="1" applyBorder="1" applyAlignment="1">
      <alignment horizontal="center" vertical="center"/>
    </xf>
    <xf numFmtId="0" fontId="32" fillId="11" borderId="585" xfId="0" applyFont="1" applyFill="1" applyBorder="1" applyAlignment="1">
      <alignment horizontal="center" vertical="center"/>
    </xf>
    <xf numFmtId="0" fontId="32" fillId="11" borderId="577" xfId="0" applyFont="1" applyFill="1" applyBorder="1" applyAlignment="1">
      <alignment horizontal="center" vertical="center"/>
    </xf>
    <xf numFmtId="0" fontId="32" fillId="11" borderId="624" xfId="0" applyFont="1" applyFill="1" applyBorder="1" applyAlignment="1">
      <alignment horizontal="center" vertical="center"/>
    </xf>
    <xf numFmtId="0" fontId="5" fillId="6" borderId="87" xfId="0" applyFont="1" applyFill="1" applyBorder="1" applyAlignment="1">
      <alignment horizontal="center" vertical="center"/>
    </xf>
    <xf numFmtId="0" fontId="5" fillId="6" borderId="134" xfId="0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0" fontId="5" fillId="3" borderId="88" xfId="0" applyFont="1" applyFill="1" applyBorder="1" applyAlignment="1">
      <alignment horizontal="center" vertical="center" wrapText="1"/>
    </xf>
    <xf numFmtId="0" fontId="5" fillId="3" borderId="104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89" xfId="0" applyFont="1" applyFill="1" applyBorder="1" applyAlignment="1">
      <alignment horizontal="center" vertical="center" wrapText="1"/>
    </xf>
    <xf numFmtId="0" fontId="5" fillId="3" borderId="107" xfId="0" applyFont="1" applyFill="1" applyBorder="1" applyAlignment="1">
      <alignment horizontal="center" vertical="center" wrapText="1"/>
    </xf>
    <xf numFmtId="0" fontId="5" fillId="3" borderId="37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0" fillId="3" borderId="112" xfId="0" applyFill="1" applyBorder="1" applyAlignment="1">
      <alignment horizontal="center" vertical="center"/>
    </xf>
    <xf numFmtId="0" fontId="0" fillId="3" borderId="168" xfId="0" applyFill="1" applyBorder="1" applyAlignment="1">
      <alignment horizontal="center" vertical="center"/>
    </xf>
    <xf numFmtId="0" fontId="5" fillId="3" borderId="43" xfId="0" applyFont="1" applyFill="1" applyBorder="1" applyAlignment="1">
      <alignment horizontal="center" vertical="center" wrapText="1"/>
    </xf>
    <xf numFmtId="0" fontId="5" fillId="3" borderId="44" xfId="0" applyFont="1" applyFill="1" applyBorder="1" applyAlignment="1">
      <alignment horizontal="center" vertical="center" wrapText="1"/>
    </xf>
    <xf numFmtId="176" fontId="3" fillId="2" borderId="88" xfId="1" applyNumberFormat="1" applyFont="1" applyFill="1" applyBorder="1" applyAlignment="1">
      <alignment horizontal="center" vertical="center"/>
    </xf>
    <xf numFmtId="176" fontId="3" fillId="2" borderId="136" xfId="1" applyNumberFormat="1" applyFont="1" applyFill="1" applyBorder="1" applyAlignment="1">
      <alignment horizontal="center" vertical="center"/>
    </xf>
    <xf numFmtId="176" fontId="3" fillId="2" borderId="89" xfId="1" applyNumberFormat="1" applyFont="1" applyFill="1" applyBorder="1" applyAlignment="1">
      <alignment horizontal="center" vertical="center"/>
    </xf>
    <xf numFmtId="176" fontId="3" fillId="2" borderId="131" xfId="1" applyNumberFormat="1" applyFont="1" applyFill="1" applyBorder="1" applyAlignment="1">
      <alignment horizontal="center" vertical="center"/>
    </xf>
    <xf numFmtId="177" fontId="3" fillId="2" borderId="46" xfId="0" applyNumberFormat="1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vertical="center" wrapText="1"/>
    </xf>
    <xf numFmtId="0" fontId="9" fillId="3" borderId="37" xfId="0" applyFont="1" applyFill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/>
    </xf>
    <xf numFmtId="0" fontId="8" fillId="3" borderId="88" xfId="0" applyFont="1" applyFill="1" applyBorder="1" applyAlignment="1">
      <alignment horizontal="center" vertical="center" wrapText="1"/>
    </xf>
    <xf numFmtId="0" fontId="8" fillId="3" borderId="104" xfId="0" applyFont="1" applyFill="1" applyBorder="1" applyAlignment="1">
      <alignment horizontal="center" vertical="center" wrapText="1"/>
    </xf>
    <xf numFmtId="0" fontId="9" fillId="3" borderId="117" xfId="0" applyFont="1" applyFill="1" applyBorder="1" applyAlignment="1">
      <alignment horizontal="center" vertical="center" wrapText="1"/>
    </xf>
    <xf numFmtId="0" fontId="9" fillId="3" borderId="170" xfId="0" applyFont="1" applyFill="1" applyBorder="1" applyAlignment="1">
      <alignment horizontal="center" vertical="center" wrapText="1"/>
    </xf>
    <xf numFmtId="0" fontId="0" fillId="0" borderId="88" xfId="0" applyFill="1" applyBorder="1" applyAlignment="1">
      <alignment horizontal="center" vertical="center"/>
    </xf>
    <xf numFmtId="0" fontId="9" fillId="3" borderId="87" xfId="0" applyFont="1" applyFill="1" applyBorder="1" applyAlignment="1">
      <alignment horizontal="center" vertical="center" wrapText="1"/>
    </xf>
    <xf numFmtId="0" fontId="9" fillId="3" borderId="112" xfId="0" applyFont="1" applyFill="1" applyBorder="1" applyAlignment="1">
      <alignment horizontal="center" vertical="center" wrapText="1"/>
    </xf>
    <xf numFmtId="0" fontId="9" fillId="3" borderId="88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/>
    </xf>
    <xf numFmtId="0" fontId="5" fillId="3" borderId="200" xfId="0" applyFont="1" applyFill="1" applyBorder="1" applyAlignment="1">
      <alignment horizontal="center" vertical="center" wrapText="1"/>
    </xf>
    <xf numFmtId="0" fontId="5" fillId="3" borderId="201" xfId="0" applyFont="1" applyFill="1" applyBorder="1" applyAlignment="1">
      <alignment horizontal="center" vertical="center" wrapText="1"/>
    </xf>
    <xf numFmtId="0" fontId="5" fillId="3" borderId="212" xfId="0" applyFont="1" applyFill="1" applyBorder="1" applyAlignment="1">
      <alignment horizontal="center" vertical="center" wrapText="1"/>
    </xf>
    <xf numFmtId="0" fontId="5" fillId="3" borderId="213" xfId="0" applyFont="1" applyFill="1" applyBorder="1" applyAlignment="1">
      <alignment horizontal="center" vertical="center" wrapText="1"/>
    </xf>
    <xf numFmtId="0" fontId="5" fillId="3" borderId="164" xfId="0" applyFont="1" applyFill="1" applyBorder="1" applyAlignment="1">
      <alignment horizontal="center" vertical="center" wrapText="1"/>
    </xf>
    <xf numFmtId="0" fontId="5" fillId="3" borderId="214" xfId="0" applyFont="1" applyFill="1" applyBorder="1" applyAlignment="1">
      <alignment horizontal="center" vertical="center" wrapText="1"/>
    </xf>
    <xf numFmtId="0" fontId="5" fillId="3" borderId="128" xfId="0" applyFont="1" applyFill="1" applyBorder="1" applyAlignment="1">
      <alignment horizontal="center" vertical="center" wrapText="1"/>
    </xf>
    <xf numFmtId="0" fontId="5" fillId="3" borderId="131" xfId="0" applyFont="1" applyFill="1" applyBorder="1" applyAlignment="1">
      <alignment horizontal="center" vertical="center" wrapText="1"/>
    </xf>
    <xf numFmtId="0" fontId="5" fillId="6" borderId="89" xfId="0" applyFont="1" applyFill="1" applyBorder="1" applyAlignment="1">
      <alignment horizontal="center" vertical="center"/>
    </xf>
    <xf numFmtId="0" fontId="5" fillId="6" borderId="131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3" borderId="87" xfId="0" applyFill="1" applyBorder="1" applyAlignment="1">
      <alignment horizontal="center" vertical="center"/>
    </xf>
    <xf numFmtId="177" fontId="3" fillId="2" borderId="4" xfId="0" applyNumberFormat="1" applyFont="1" applyFill="1" applyBorder="1" applyAlignment="1">
      <alignment horizontal="center" vertical="center"/>
    </xf>
    <xf numFmtId="176" fontId="8" fillId="3" borderId="0" xfId="1" applyNumberFormat="1" applyFont="1" applyFill="1" applyBorder="1" applyAlignment="1">
      <alignment horizontal="center" vertical="center"/>
    </xf>
    <xf numFmtId="176" fontId="8" fillId="3" borderId="29" xfId="1" applyNumberFormat="1" applyFont="1" applyFill="1" applyBorder="1" applyAlignment="1">
      <alignment horizontal="center" vertical="center"/>
    </xf>
    <xf numFmtId="177" fontId="3" fillId="2" borderId="234" xfId="0" applyNumberFormat="1" applyFont="1" applyFill="1" applyBorder="1" applyAlignment="1">
      <alignment horizontal="center" vertical="center"/>
    </xf>
    <xf numFmtId="176" fontId="3" fillId="2" borderId="191" xfId="1" applyNumberFormat="1" applyFont="1" applyFill="1" applyBorder="1" applyAlignment="1">
      <alignment horizontal="center" vertical="center"/>
    </xf>
    <xf numFmtId="176" fontId="3" fillId="2" borderId="0" xfId="1" applyNumberFormat="1" applyFont="1" applyFill="1" applyBorder="1" applyAlignment="1">
      <alignment horizontal="center" vertical="center"/>
    </xf>
    <xf numFmtId="176" fontId="3" fillId="2" borderId="41" xfId="1" applyNumberFormat="1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70" xfId="0" applyFont="1" applyFill="1" applyBorder="1" applyAlignment="1">
      <alignment horizontal="center" vertical="center" wrapText="1"/>
    </xf>
    <xf numFmtId="0" fontId="5" fillId="3" borderId="186" xfId="0" applyFont="1" applyFill="1" applyBorder="1" applyAlignment="1">
      <alignment horizontal="center" vertical="center" wrapText="1"/>
    </xf>
    <xf numFmtId="176" fontId="8" fillId="3" borderId="88" xfId="1" applyNumberFormat="1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/>
    </xf>
    <xf numFmtId="0" fontId="15" fillId="3" borderId="31" xfId="0" applyFont="1" applyFill="1" applyBorder="1" applyAlignment="1">
      <alignment horizontal="center" vertical="center"/>
    </xf>
    <xf numFmtId="176" fontId="8" fillId="3" borderId="19" xfId="1" applyNumberFormat="1" applyFont="1" applyFill="1" applyBorder="1" applyAlignment="1">
      <alignment horizontal="center" vertical="center"/>
    </xf>
    <xf numFmtId="176" fontId="8" fillId="3" borderId="30" xfId="1" applyNumberFormat="1" applyFont="1" applyFill="1" applyBorder="1" applyAlignment="1">
      <alignment horizontal="center" vertical="center"/>
    </xf>
    <xf numFmtId="0" fontId="8" fillId="3" borderId="89" xfId="0" applyFont="1" applyFill="1" applyBorder="1" applyAlignment="1">
      <alignment horizontal="center" vertical="center" wrapText="1"/>
    </xf>
    <xf numFmtId="0" fontId="8" fillId="3" borderId="107" xfId="0" applyFont="1" applyFill="1" applyBorder="1" applyAlignment="1">
      <alignment horizontal="center" vertical="center" wrapText="1"/>
    </xf>
    <xf numFmtId="0" fontId="15" fillId="3" borderId="109" xfId="0" applyFont="1" applyFill="1" applyBorder="1" applyAlignment="1">
      <alignment horizontal="center" vertical="center"/>
    </xf>
    <xf numFmtId="0" fontId="15" fillId="3" borderId="174" xfId="0" applyFont="1" applyFill="1" applyBorder="1" applyAlignment="1">
      <alignment horizontal="center" vertical="center"/>
    </xf>
    <xf numFmtId="177" fontId="3" fillId="17" borderId="329" xfId="0" applyNumberFormat="1" applyFont="1" applyFill="1" applyBorder="1" applyAlignment="1">
      <alignment horizontal="center" vertical="center"/>
    </xf>
    <xf numFmtId="177" fontId="3" fillId="17" borderId="352" xfId="0" applyNumberFormat="1" applyFont="1" applyFill="1" applyBorder="1" applyAlignment="1">
      <alignment horizontal="center" vertical="center"/>
    </xf>
    <xf numFmtId="177" fontId="3" fillId="2" borderId="329" xfId="0" applyNumberFormat="1" applyFont="1" applyFill="1" applyBorder="1" applyAlignment="1">
      <alignment horizontal="center" vertical="center"/>
    </xf>
    <xf numFmtId="177" fontId="3" fillId="2" borderId="352" xfId="0" applyNumberFormat="1" applyFont="1" applyFill="1" applyBorder="1" applyAlignment="1">
      <alignment horizontal="center" vertical="center"/>
    </xf>
    <xf numFmtId="177" fontId="17" fillId="2" borderId="136" xfId="0" applyNumberFormat="1" applyFont="1" applyFill="1" applyBorder="1" applyAlignment="1">
      <alignment horizontal="center" vertical="center"/>
    </xf>
    <xf numFmtId="177" fontId="17" fillId="2" borderId="157" xfId="0" applyNumberFormat="1" applyFont="1" applyFill="1" applyBorder="1" applyAlignment="1">
      <alignment horizontal="center" vertical="center"/>
    </xf>
    <xf numFmtId="177" fontId="3" fillId="2" borderId="155" xfId="0" applyNumberFormat="1" applyFont="1" applyFill="1" applyBorder="1" applyAlignment="1">
      <alignment horizontal="center" vertical="center"/>
    </xf>
    <xf numFmtId="177" fontId="3" fillId="2" borderId="149" xfId="0" applyNumberFormat="1" applyFont="1" applyFill="1" applyBorder="1" applyAlignment="1">
      <alignment horizontal="center" vertical="center"/>
    </xf>
    <xf numFmtId="177" fontId="3" fillId="2" borderId="150" xfId="0" applyNumberFormat="1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18" fillId="3" borderId="42" xfId="0" applyFont="1" applyFill="1" applyBorder="1" applyAlignment="1">
      <alignment horizontal="center" vertical="center" wrapText="1"/>
    </xf>
    <xf numFmtId="0" fontId="18" fillId="3" borderId="45" xfId="0" applyFont="1" applyFill="1" applyBorder="1" applyAlignment="1">
      <alignment horizontal="center" vertical="center" wrapText="1"/>
    </xf>
    <xf numFmtId="0" fontId="8" fillId="3" borderId="87" xfId="0" applyFont="1" applyFill="1" applyBorder="1" applyAlignment="1">
      <alignment horizontal="center" vertical="center" wrapText="1"/>
    </xf>
    <xf numFmtId="0" fontId="8" fillId="3" borderId="112" xfId="0" applyFont="1" applyFill="1" applyBorder="1" applyAlignment="1">
      <alignment horizontal="center" vertical="center" wrapText="1"/>
    </xf>
    <xf numFmtId="0" fontId="8" fillId="3" borderId="201" xfId="0" applyFont="1" applyFill="1" applyBorder="1" applyAlignment="1">
      <alignment horizontal="center" vertical="center" wrapText="1"/>
    </xf>
    <xf numFmtId="0" fontId="8" fillId="3" borderId="212" xfId="0" applyFont="1" applyFill="1" applyBorder="1" applyAlignment="1">
      <alignment horizontal="center" vertical="center" wrapText="1"/>
    </xf>
    <xf numFmtId="177" fontId="3" fillId="2" borderId="93" xfId="0" applyNumberFormat="1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 wrapText="1"/>
    </xf>
    <xf numFmtId="0" fontId="8" fillId="3" borderId="56" xfId="0" applyFont="1" applyFill="1" applyBorder="1" applyAlignment="1">
      <alignment horizontal="center" vertical="center" wrapText="1"/>
    </xf>
    <xf numFmtId="0" fontId="8" fillId="3" borderId="283" xfId="0" applyFont="1" applyFill="1" applyBorder="1" applyAlignment="1">
      <alignment horizontal="center" vertical="center" wrapText="1"/>
    </xf>
    <xf numFmtId="176" fontId="3" fillId="2" borderId="96" xfId="1" applyNumberFormat="1" applyFont="1" applyFill="1" applyBorder="1" applyAlignment="1">
      <alignment horizontal="center" vertical="center"/>
    </xf>
    <xf numFmtId="176" fontId="3" fillId="2" borderId="97" xfId="1" applyNumberFormat="1" applyFont="1" applyFill="1" applyBorder="1" applyAlignment="1">
      <alignment horizontal="center" vertical="center"/>
    </xf>
    <xf numFmtId="0" fontId="8" fillId="3" borderId="118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0" borderId="130" xfId="0" applyFont="1" applyBorder="1" applyAlignment="1">
      <alignment horizontal="center" vertical="center"/>
    </xf>
    <xf numFmtId="0" fontId="8" fillId="0" borderId="138" xfId="0" applyFont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6" fontId="3" fillId="2" borderId="2" xfId="1" applyNumberFormat="1" applyFont="1" applyFill="1" applyBorder="1" applyAlignment="1">
      <alignment horizontal="center" vertical="center"/>
    </xf>
    <xf numFmtId="176" fontId="3" fillId="2" borderId="3" xfId="1" applyNumberFormat="1" applyFont="1" applyFill="1" applyBorder="1" applyAlignment="1">
      <alignment horizontal="center" vertical="center"/>
    </xf>
    <xf numFmtId="176" fontId="3" fillId="2" borderId="206" xfId="1" applyNumberFormat="1" applyFont="1" applyFill="1" applyBorder="1" applyAlignment="1">
      <alignment horizontal="center" vertical="center"/>
    </xf>
    <xf numFmtId="176" fontId="3" fillId="2" borderId="207" xfId="1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29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 shrinkToFit="1"/>
    </xf>
    <xf numFmtId="0" fontId="8" fillId="3" borderId="29" xfId="0" applyFont="1" applyFill="1" applyBorder="1" applyAlignment="1">
      <alignment horizontal="center" vertical="center" shrinkToFit="1"/>
    </xf>
    <xf numFmtId="0" fontId="8" fillId="3" borderId="30" xfId="0" applyFont="1" applyFill="1" applyBorder="1" applyAlignment="1">
      <alignment horizontal="center" vertical="center" shrinkToFit="1"/>
    </xf>
    <xf numFmtId="0" fontId="8" fillId="3" borderId="32" xfId="0" applyFont="1" applyFill="1" applyBorder="1" applyAlignment="1">
      <alignment horizontal="center" vertical="center" shrinkToFit="1"/>
    </xf>
    <xf numFmtId="0" fontId="8" fillId="3" borderId="31" xfId="0" applyFont="1" applyFill="1" applyBorder="1" applyAlignment="1">
      <alignment horizontal="center" vertical="center" shrinkToFi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35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9" fillId="3" borderId="27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30" xfId="0" applyFont="1" applyFill="1" applyBorder="1" applyAlignment="1">
      <alignment horizontal="center" vertical="center"/>
    </xf>
    <xf numFmtId="176" fontId="3" fillId="2" borderId="1" xfId="1" applyNumberFormat="1" applyFont="1" applyFill="1" applyBorder="1" applyAlignment="1">
      <alignment horizontal="center" vertical="center"/>
    </xf>
    <xf numFmtId="176" fontId="3" fillId="2" borderId="73" xfId="1" applyNumberFormat="1" applyFont="1" applyFill="1" applyBorder="1" applyAlignment="1">
      <alignment horizontal="center" vertical="center"/>
    </xf>
    <xf numFmtId="176" fontId="3" fillId="2" borderId="5" xfId="1" applyNumberFormat="1" applyFont="1" applyFill="1" applyBorder="1" applyAlignment="1">
      <alignment horizontal="center" vertical="center"/>
    </xf>
    <xf numFmtId="176" fontId="3" fillId="2" borderId="44" xfId="1" applyNumberFormat="1" applyFont="1" applyFill="1" applyBorder="1" applyAlignment="1">
      <alignment horizontal="center" vertical="center"/>
    </xf>
    <xf numFmtId="0" fontId="27" fillId="7" borderId="625" xfId="0" applyFont="1" applyFill="1" applyBorder="1" applyAlignment="1">
      <alignment horizontal="center" vertical="center"/>
    </xf>
    <xf numFmtId="0" fontId="27" fillId="7" borderId="43" xfId="0" applyFont="1" applyFill="1" applyBorder="1" applyAlignment="1">
      <alignment horizontal="center" vertical="center"/>
    </xf>
    <xf numFmtId="0" fontId="0" fillId="3" borderId="134" xfId="0" applyFill="1" applyBorder="1" applyAlignment="1">
      <alignment horizontal="center" vertical="center"/>
    </xf>
    <xf numFmtId="177" fontId="3" fillId="2" borderId="196" xfId="0" applyNumberFormat="1" applyFont="1" applyFill="1" applyBorder="1" applyAlignment="1">
      <alignment horizontal="center" vertical="center"/>
    </xf>
    <xf numFmtId="177" fontId="3" fillId="2" borderId="88" xfId="0" applyNumberFormat="1" applyFont="1" applyFill="1" applyBorder="1" applyAlignment="1">
      <alignment horizontal="center" vertical="center"/>
    </xf>
    <xf numFmtId="0" fontId="0" fillId="3" borderId="88" xfId="0" applyFill="1" applyBorder="1" applyAlignment="1">
      <alignment horizontal="center" vertical="center"/>
    </xf>
    <xf numFmtId="0" fontId="0" fillId="3" borderId="136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89" xfId="0" applyFill="1" applyBorder="1" applyAlignment="1">
      <alignment horizontal="center" vertical="center"/>
    </xf>
    <xf numFmtId="0" fontId="19" fillId="2" borderId="88" xfId="0" applyFont="1" applyFill="1" applyBorder="1" applyAlignment="1">
      <alignment horizontal="center" vertical="center"/>
    </xf>
    <xf numFmtId="0" fontId="19" fillId="2" borderId="136" xfId="0" applyFont="1" applyFill="1" applyBorder="1" applyAlignment="1">
      <alignment horizontal="center" vertical="center"/>
    </xf>
    <xf numFmtId="0" fontId="19" fillId="2" borderId="89" xfId="0" applyFont="1" applyFill="1" applyBorder="1" applyAlignment="1">
      <alignment horizontal="center" vertical="center"/>
    </xf>
    <xf numFmtId="0" fontId="19" fillId="2" borderId="131" xfId="0" applyFont="1" applyFill="1" applyBorder="1" applyAlignment="1">
      <alignment horizontal="center" vertical="center"/>
    </xf>
    <xf numFmtId="0" fontId="0" fillId="3" borderId="128" xfId="0" applyFill="1" applyBorder="1" applyAlignment="1">
      <alignment horizontal="center" vertical="center"/>
    </xf>
    <xf numFmtId="0" fontId="0" fillId="3" borderId="131" xfId="0" applyFill="1" applyBorder="1" applyAlignment="1">
      <alignment horizontal="center" vertical="center"/>
    </xf>
    <xf numFmtId="0" fontId="0" fillId="3" borderId="88" xfId="0" applyFill="1" applyBorder="1" applyAlignment="1">
      <alignment horizontal="center" vertical="center" wrapText="1"/>
    </xf>
    <xf numFmtId="0" fontId="27" fillId="7" borderId="622" xfId="0" applyFont="1" applyFill="1" applyBorder="1" applyAlignment="1">
      <alignment horizontal="center" vertical="center"/>
    </xf>
    <xf numFmtId="0" fontId="27" fillId="7" borderId="35" xfId="0" applyFont="1" applyFill="1" applyBorder="1" applyAlignment="1">
      <alignment horizontal="center" vertical="center"/>
    </xf>
    <xf numFmtId="0" fontId="31" fillId="14" borderId="324" xfId="0" applyFont="1" applyFill="1" applyBorder="1" applyAlignment="1">
      <alignment horizontal="center" vertical="center" shrinkToFit="1"/>
    </xf>
    <xf numFmtId="0" fontId="31" fillId="14" borderId="303" xfId="0" applyFont="1" applyFill="1" applyBorder="1" applyAlignment="1">
      <alignment horizontal="center" vertical="center" shrinkToFit="1"/>
    </xf>
    <xf numFmtId="0" fontId="31" fillId="14" borderId="0" xfId="0" applyFont="1" applyFill="1" applyBorder="1" applyAlignment="1">
      <alignment horizontal="center" vertical="center" shrinkToFit="1"/>
    </xf>
    <xf numFmtId="0" fontId="31" fillId="14" borderId="541" xfId="0" applyFont="1" applyFill="1" applyBorder="1" applyAlignment="1">
      <alignment horizontal="center" vertical="center" shrinkToFit="1"/>
    </xf>
    <xf numFmtId="0" fontId="31" fillId="14" borderId="323" xfId="0" applyFont="1" applyFill="1" applyBorder="1" applyAlignment="1">
      <alignment horizontal="center" vertical="center" shrinkToFit="1"/>
    </xf>
    <xf numFmtId="0" fontId="31" fillId="14" borderId="304" xfId="0" applyFont="1" applyFill="1" applyBorder="1" applyAlignment="1">
      <alignment horizontal="center" vertical="center" shrinkToFit="1"/>
    </xf>
    <xf numFmtId="0" fontId="31" fillId="0" borderId="63" xfId="0" applyFont="1" applyFill="1" applyBorder="1" applyAlignment="1">
      <alignment horizontal="center" vertical="center" wrapText="1"/>
    </xf>
    <xf numFmtId="0" fontId="31" fillId="0" borderId="541" xfId="0" applyFont="1" applyFill="1" applyBorder="1" applyAlignment="1">
      <alignment horizontal="center" vertical="center" wrapText="1"/>
    </xf>
    <xf numFmtId="0" fontId="31" fillId="0" borderId="610" xfId="0" applyFont="1" applyFill="1" applyBorder="1" applyAlignment="1">
      <alignment horizontal="center" vertical="center" wrapText="1"/>
    </xf>
    <xf numFmtId="176" fontId="32" fillId="23" borderId="307" xfId="1" applyNumberFormat="1" applyFont="1" applyFill="1" applyBorder="1" applyAlignment="1">
      <alignment horizontal="center" vertical="center"/>
    </xf>
    <xf numFmtId="176" fontId="32" fillId="23" borderId="325" xfId="1" applyNumberFormat="1" applyFont="1" applyFill="1" applyBorder="1" applyAlignment="1">
      <alignment horizontal="center" vertical="center"/>
    </xf>
    <xf numFmtId="41" fontId="32" fillId="0" borderId="316" xfId="2" applyFont="1" applyFill="1" applyBorder="1" applyAlignment="1">
      <alignment horizontal="center" vertical="center"/>
    </xf>
    <xf numFmtId="41" fontId="32" fillId="0" borderId="326" xfId="2" applyFont="1" applyFill="1" applyBorder="1" applyAlignment="1">
      <alignment horizontal="center" vertical="center"/>
    </xf>
    <xf numFmtId="41" fontId="32" fillId="0" borderId="310" xfId="2" applyFont="1" applyFill="1" applyBorder="1" applyAlignment="1">
      <alignment horizontal="center" vertical="center"/>
    </xf>
    <xf numFmtId="41" fontId="32" fillId="0" borderId="327" xfId="2" applyFont="1" applyFill="1" applyBorder="1" applyAlignment="1">
      <alignment horizontal="center" vertical="center"/>
    </xf>
    <xf numFmtId="0" fontId="32" fillId="0" borderId="316" xfId="0" applyFont="1" applyFill="1" applyBorder="1" applyAlignment="1">
      <alignment horizontal="center" vertical="center"/>
    </xf>
    <xf numFmtId="0" fontId="32" fillId="0" borderId="326" xfId="0" applyFont="1" applyFill="1" applyBorder="1" applyAlignment="1">
      <alignment horizontal="center" vertical="center"/>
    </xf>
    <xf numFmtId="41" fontId="32" fillId="0" borderId="611" xfId="2" applyFont="1" applyFill="1" applyBorder="1" applyAlignment="1">
      <alignment horizontal="center" vertical="center" shrinkToFit="1"/>
    </xf>
    <xf numFmtId="41" fontId="32" fillId="0" borderId="612" xfId="2" applyFont="1" applyFill="1" applyBorder="1" applyAlignment="1">
      <alignment horizontal="center" vertical="center" shrinkToFit="1"/>
    </xf>
    <xf numFmtId="0" fontId="31" fillId="12" borderId="323" xfId="0" applyFont="1" applyFill="1" applyBorder="1" applyAlignment="1">
      <alignment horizontal="center" vertical="center" shrinkToFit="1"/>
    </xf>
    <xf numFmtId="0" fontId="31" fillId="12" borderId="304" xfId="0" applyFont="1" applyFill="1" applyBorder="1" applyAlignment="1">
      <alignment horizontal="center" vertical="center" shrinkToFit="1"/>
    </xf>
    <xf numFmtId="0" fontId="31" fillId="12" borderId="324" xfId="0" applyFont="1" applyFill="1" applyBorder="1" applyAlignment="1">
      <alignment horizontal="center" vertical="center" shrinkToFit="1"/>
    </xf>
    <xf numFmtId="0" fontId="31" fillId="12" borderId="303" xfId="0" applyFont="1" applyFill="1" applyBorder="1" applyAlignment="1">
      <alignment horizontal="center" vertical="center" shrinkToFit="1"/>
    </xf>
    <xf numFmtId="0" fontId="31" fillId="12" borderId="0" xfId="0" applyFont="1" applyFill="1" applyBorder="1" applyAlignment="1">
      <alignment horizontal="center" vertical="center" shrinkToFit="1"/>
    </xf>
    <xf numFmtId="0" fontId="31" fillId="12" borderId="541" xfId="0" applyFont="1" applyFill="1" applyBorder="1" applyAlignment="1">
      <alignment horizontal="center" vertical="center" shrinkToFit="1"/>
    </xf>
    <xf numFmtId="0" fontId="101" fillId="3" borderId="643" xfId="0" applyFont="1" applyFill="1" applyBorder="1" applyAlignment="1">
      <alignment horizontal="center" vertical="center" wrapText="1"/>
    </xf>
    <xf numFmtId="0" fontId="101" fillId="3" borderId="541" xfId="0" applyFont="1" applyFill="1" applyBorder="1" applyAlignment="1">
      <alignment horizontal="center" vertical="center" wrapText="1"/>
    </xf>
    <xf numFmtId="0" fontId="101" fillId="3" borderId="644" xfId="0" applyFont="1" applyFill="1" applyBorder="1" applyAlignment="1">
      <alignment horizontal="center" vertical="center" wrapText="1"/>
    </xf>
    <xf numFmtId="0" fontId="33" fillId="16" borderId="641" xfId="0" applyFont="1" applyFill="1" applyBorder="1" applyAlignment="1">
      <alignment horizontal="center" vertical="center"/>
    </xf>
    <xf numFmtId="0" fontId="33" fillId="16" borderId="589" xfId="0" applyFont="1" applyFill="1" applyBorder="1" applyAlignment="1">
      <alignment horizontal="center" vertical="center"/>
    </xf>
    <xf numFmtId="0" fontId="33" fillId="16" borderId="609" xfId="0" applyFont="1" applyFill="1" applyBorder="1" applyAlignment="1">
      <alignment horizontal="center" vertical="center"/>
    </xf>
    <xf numFmtId="0" fontId="33" fillId="29" borderId="429" xfId="0" applyFont="1" applyFill="1" applyBorder="1" applyAlignment="1">
      <alignment horizontal="center" vertical="center" wrapText="1"/>
    </xf>
    <xf numFmtId="0" fontId="33" fillId="29" borderId="589" xfId="0" applyFont="1" applyFill="1" applyBorder="1" applyAlignment="1">
      <alignment horizontal="center" vertical="center"/>
    </xf>
    <xf numFmtId="0" fontId="33" fillId="12" borderId="429" xfId="0" applyFont="1" applyFill="1" applyBorder="1" applyAlignment="1">
      <alignment horizontal="center" vertical="center"/>
    </xf>
    <xf numFmtId="0" fontId="33" fillId="12" borderId="609" xfId="0" applyFont="1" applyFill="1" applyBorder="1" applyAlignment="1">
      <alignment horizontal="center" vertical="center"/>
    </xf>
    <xf numFmtId="0" fontId="33" fillId="0" borderId="589" xfId="0" applyFont="1" applyFill="1" applyBorder="1" applyAlignment="1">
      <alignment horizontal="center" vertical="center" wrapText="1"/>
    </xf>
    <xf numFmtId="0" fontId="33" fillId="0" borderId="609" xfId="0" applyFont="1" applyFill="1" applyBorder="1" applyAlignment="1">
      <alignment horizontal="center" vertical="center"/>
    </xf>
    <xf numFmtId="0" fontId="33" fillId="0" borderId="429" xfId="0" applyFont="1" applyBorder="1" applyAlignment="1">
      <alignment horizontal="center" vertical="center"/>
    </xf>
    <xf numFmtId="0" fontId="33" fillId="0" borderId="642" xfId="0" applyFont="1" applyBorder="1" applyAlignment="1">
      <alignment horizontal="center" vertical="center"/>
    </xf>
    <xf numFmtId="0" fontId="101" fillId="3" borderId="35" xfId="0" applyFont="1" applyFill="1" applyBorder="1" applyAlignment="1">
      <alignment horizontal="center" vertical="center" wrapText="1"/>
    </xf>
    <xf numFmtId="0" fontId="33" fillId="3" borderId="0" xfId="0" applyFont="1" applyFill="1" applyBorder="1" applyAlignment="1">
      <alignment horizontal="center" vertical="center" wrapText="1"/>
    </xf>
    <xf numFmtId="0" fontId="102" fillId="3" borderId="42" xfId="0" applyFont="1" applyFill="1" applyBorder="1" applyAlignment="1">
      <alignment horizontal="center" vertical="center"/>
    </xf>
    <xf numFmtId="0" fontId="102" fillId="3" borderId="513" xfId="0" applyFont="1" applyFill="1" applyBorder="1" applyAlignment="1">
      <alignment horizontal="center" vertical="center"/>
    </xf>
    <xf numFmtId="0" fontId="33" fillId="16" borderId="583" xfId="0" applyFont="1" applyFill="1" applyBorder="1" applyAlignment="1">
      <alignment horizontal="center" vertical="center"/>
    </xf>
    <xf numFmtId="0" fontId="33" fillId="16" borderId="513" xfId="0" applyFont="1" applyFill="1" applyBorder="1" applyAlignment="1">
      <alignment horizontal="center" vertical="center"/>
    </xf>
    <xf numFmtId="0" fontId="33" fillId="28" borderId="446" xfId="0" applyFont="1" applyFill="1" applyBorder="1" applyAlignment="1">
      <alignment horizontal="center" vertical="center" wrapText="1"/>
    </xf>
    <xf numFmtId="0" fontId="33" fillId="28" borderId="589" xfId="0" applyFont="1" applyFill="1" applyBorder="1" applyAlignment="1">
      <alignment horizontal="center" vertical="center" wrapText="1"/>
    </xf>
    <xf numFmtId="0" fontId="33" fillId="28" borderId="609" xfId="0" applyFont="1" applyFill="1" applyBorder="1" applyAlignment="1">
      <alignment horizontal="center" vertical="center" wrapText="1"/>
    </xf>
    <xf numFmtId="0" fontId="33" fillId="28" borderId="624" xfId="0" applyFont="1" applyFill="1" applyBorder="1" applyAlignment="1">
      <alignment horizontal="center" vertical="center" wrapText="1"/>
    </xf>
    <xf numFmtId="0" fontId="99" fillId="2" borderId="42" xfId="0" applyFont="1" applyFill="1" applyBorder="1" applyAlignment="1">
      <alignment horizontal="center" vertical="center"/>
    </xf>
    <xf numFmtId="0" fontId="99" fillId="2" borderId="513" xfId="0" applyFont="1" applyFill="1" applyBorder="1" applyAlignment="1">
      <alignment horizontal="center" vertical="center"/>
    </xf>
    <xf numFmtId="0" fontId="101" fillId="3" borderId="0" xfId="0" applyFont="1" applyFill="1" applyBorder="1" applyAlignment="1">
      <alignment horizontal="center" vertical="center" wrapText="1"/>
    </xf>
    <xf numFmtId="0" fontId="33" fillId="28" borderId="446" xfId="0" applyFont="1" applyFill="1" applyBorder="1" applyAlignment="1">
      <alignment horizontal="center" vertical="center"/>
    </xf>
    <xf numFmtId="0" fontId="33" fillId="28" borderId="624" xfId="0" applyFont="1" applyFill="1" applyBorder="1" applyAlignment="1">
      <alignment horizontal="center" vertical="center"/>
    </xf>
    <xf numFmtId="177" fontId="101" fillId="3" borderId="708" xfId="0" applyNumberFormat="1" applyFont="1" applyFill="1" applyBorder="1" applyAlignment="1">
      <alignment horizontal="center" vertical="center"/>
    </xf>
    <xf numFmtId="177" fontId="101" fillId="3" borderId="709" xfId="0" applyNumberFormat="1" applyFont="1" applyFill="1" applyBorder="1" applyAlignment="1">
      <alignment horizontal="center" vertical="center"/>
    </xf>
    <xf numFmtId="180" fontId="33" fillId="0" borderId="403" xfId="0" applyNumberFormat="1" applyFont="1" applyBorder="1" applyAlignment="1">
      <alignment horizontal="center" vertical="center"/>
    </xf>
    <xf numFmtId="177" fontId="101" fillId="3" borderId="710" xfId="0" applyNumberFormat="1" applyFont="1" applyFill="1" applyBorder="1" applyAlignment="1">
      <alignment horizontal="center" vertical="center"/>
    </xf>
    <xf numFmtId="180" fontId="33" fillId="0" borderId="583" xfId="0" applyNumberFormat="1" applyFont="1" applyBorder="1" applyAlignment="1">
      <alignment horizontal="center" vertical="center"/>
    </xf>
    <xf numFmtId="180" fontId="33" fillId="0" borderId="513" xfId="0" applyNumberFormat="1" applyFont="1" applyBorder="1" applyAlignment="1">
      <alignment horizontal="center" vertical="center"/>
    </xf>
    <xf numFmtId="180" fontId="33" fillId="0" borderId="42" xfId="0" applyNumberFormat="1" applyFont="1" applyBorder="1" applyAlignment="1">
      <alignment horizontal="center" vertical="center"/>
    </xf>
    <xf numFmtId="0" fontId="33" fillId="0" borderId="624" xfId="0" applyFont="1" applyBorder="1" applyAlignment="1">
      <alignment horizontal="center" vertical="center"/>
    </xf>
    <xf numFmtId="0" fontId="33" fillId="0" borderId="686" xfId="0" applyFont="1" applyBorder="1" applyAlignment="1">
      <alignment horizontal="center" vertical="center"/>
    </xf>
    <xf numFmtId="178" fontId="159" fillId="4" borderId="144" xfId="0" applyNumberFormat="1" applyFont="1" applyFill="1" applyBorder="1">
      <alignment vertical="center"/>
    </xf>
    <xf numFmtId="177" fontId="101" fillId="3" borderId="707" xfId="0" applyNumberFormat="1" applyFont="1" applyFill="1" applyBorder="1" applyAlignment="1">
      <alignment horizontal="center" vertical="center" wrapText="1"/>
    </xf>
    <xf numFmtId="180" fontId="0" fillId="0" borderId="0" xfId="2" applyNumberFormat="1" applyFont="1" applyFill="1" applyBorder="1" applyAlignment="1">
      <alignment horizontal="center" vertical="center"/>
    </xf>
    <xf numFmtId="0" fontId="33" fillId="0" borderId="0" xfId="0" applyFont="1" applyFill="1" applyBorder="1">
      <alignment vertical="center"/>
    </xf>
    <xf numFmtId="0" fontId="155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left" vertical="center"/>
    </xf>
    <xf numFmtId="0" fontId="139" fillId="0" borderId="0" xfId="0" applyFont="1" applyFill="1" applyBorder="1">
      <alignment vertical="center"/>
    </xf>
    <xf numFmtId="0" fontId="0" fillId="0" borderId="0" xfId="0" applyFill="1" applyBorder="1" applyAlignment="1">
      <alignment horizontal="center" vertical="center" shrinkToFit="1"/>
    </xf>
    <xf numFmtId="0" fontId="107" fillId="0" borderId="0" xfId="0" applyFont="1" applyFill="1" applyBorder="1">
      <alignment vertical="center"/>
    </xf>
    <xf numFmtId="0" fontId="107" fillId="0" borderId="0" xfId="0" applyFont="1" applyFill="1" applyBorder="1" applyAlignment="1">
      <alignment horizontal="center" vertical="center" shrinkToFit="1"/>
    </xf>
    <xf numFmtId="0" fontId="138" fillId="0" borderId="0" xfId="0" applyFont="1" applyFill="1" applyBorder="1" applyAlignment="1">
      <alignment horizontal="center" vertical="center" shrinkToFit="1"/>
    </xf>
    <xf numFmtId="9" fontId="107" fillId="0" borderId="0" xfId="3" applyFont="1" applyFill="1" applyBorder="1" applyAlignment="1">
      <alignment horizontal="center" vertical="center" shrinkToFit="1"/>
    </xf>
    <xf numFmtId="0" fontId="107" fillId="0" borderId="0" xfId="0" applyFont="1" applyFill="1" applyBorder="1" applyAlignment="1">
      <alignment vertical="center" shrinkToFit="1"/>
    </xf>
    <xf numFmtId="0" fontId="138" fillId="0" borderId="0" xfId="0" applyFont="1" applyFill="1" applyBorder="1" applyAlignment="1">
      <alignment horizontal="center" vertical="center" shrinkToFit="1"/>
    </xf>
    <xf numFmtId="179" fontId="107" fillId="0" borderId="0" xfId="0" applyNumberFormat="1" applyFont="1" applyFill="1" applyBorder="1" applyAlignment="1">
      <alignment horizontal="center" vertical="center" shrinkToFit="1"/>
    </xf>
  </cellXfs>
  <cellStyles count="8">
    <cellStyle name="백분율" xfId="3" builtinId="5"/>
    <cellStyle name="쉼표 [0]" xfId="2" builtinId="6"/>
    <cellStyle name="표준" xfId="0" builtinId="0"/>
    <cellStyle name="표준 11" xfId="1" xr:uid="{00000000-0005-0000-0000-000003000000}"/>
    <cellStyle name="표준 2" xfId="4" xr:uid="{00000000-0005-0000-0000-000004000000}"/>
    <cellStyle name="표준 3" xfId="5" xr:uid="{00000000-0005-0000-0000-000005000000}"/>
    <cellStyle name="표준 4" xfId="6" xr:uid="{35E6B865-67B8-4465-BC56-74064EF2E937}"/>
    <cellStyle name="표준 5" xfId="7" xr:uid="{5723B9BB-E7A4-4B9F-89BF-21B088419B02}"/>
  </cellStyles>
  <dxfs count="1">
    <dxf>
      <font>
        <color rgb="FFFF0000"/>
      </font>
    </dxf>
  </dxfs>
  <tableStyles count="0" defaultTableStyle="TableStyleMedium9" defaultPivotStyle="PivotStyleLight16"/>
  <colors>
    <mruColors>
      <color rgb="FFCCFFCC"/>
      <color rgb="FFCCC0DA"/>
      <color rgb="FFC5D9F1"/>
      <color rgb="FF000000"/>
      <color rgb="FF8DB4E2"/>
      <color rgb="FFFFFF99"/>
      <color rgb="FF002060"/>
      <color rgb="FF0000FF"/>
      <color rgb="FF4BACC6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3">
    <tabColor theme="3"/>
    <pageSetUpPr fitToPage="1"/>
  </sheetPr>
  <dimension ref="A1:DR186"/>
  <sheetViews>
    <sheetView showGridLines="0" tabSelected="1" zoomScale="86" zoomScaleNormal="86" zoomScaleSheetLayoutView="80" workbookViewId="0">
      <pane xSplit="16" ySplit="11" topLeftCell="Q12" activePane="bottomRight" state="frozen"/>
      <selection activeCell="L43" sqref="L43"/>
      <selection pane="topRight" activeCell="L43" sqref="L43"/>
      <selection pane="bottomLeft" activeCell="L43" sqref="L43"/>
      <selection pane="bottomRight" activeCell="B10" sqref="B10:D11"/>
    </sheetView>
  </sheetViews>
  <sheetFormatPr defaultRowHeight="17" outlineLevelRow="1" outlineLevelCol="1"/>
  <cols>
    <col min="1" max="1" width="4.5" style="129" customWidth="1"/>
    <col min="2" max="2" width="8.58203125" style="28" customWidth="1"/>
    <col min="3" max="4" width="8.58203125" customWidth="1"/>
    <col min="5" max="16" width="10.58203125" style="62" hidden="1" customWidth="1" outlineLevel="1"/>
    <col min="17" max="17" width="10.58203125" style="62" customWidth="1" collapsed="1"/>
    <col min="18" max="29" width="10.58203125" style="62" hidden="1" customWidth="1" outlineLevel="1"/>
    <col min="30" max="30" width="10.58203125" style="62" customWidth="1" collapsed="1"/>
    <col min="31" max="42" width="10.58203125" style="62" hidden="1" customWidth="1" outlineLevel="1"/>
    <col min="43" max="43" width="10.58203125" style="62" customWidth="1" collapsed="1"/>
    <col min="44" max="55" width="10.58203125" style="62" hidden="1" customWidth="1" outlineLevel="1"/>
    <col min="56" max="56" width="10.58203125" style="62" customWidth="1" collapsed="1"/>
    <col min="57" max="68" width="10.58203125" style="62" hidden="1" customWidth="1" outlineLevel="1"/>
    <col min="69" max="69" width="10.58203125" style="62" customWidth="1" collapsed="1"/>
    <col min="70" max="81" width="10.58203125" style="62" hidden="1" customWidth="1" outlineLevel="1"/>
    <col min="82" max="82" width="10.58203125" style="62" customWidth="1" collapsed="1"/>
    <col min="83" max="94" width="10.58203125" style="62" customWidth="1" outlineLevel="1"/>
    <col min="95" max="95" width="10.58203125" style="62" customWidth="1"/>
    <col min="96" max="107" width="10.58203125" style="62" customWidth="1" outlineLevel="1"/>
    <col min="108" max="110" width="10.58203125" style="2597" customWidth="1"/>
    <col min="111" max="111" width="8.6640625" style="2597" customWidth="1"/>
    <col min="114" max="114" width="9.9140625" bestFit="1" customWidth="1"/>
    <col min="115" max="115" width="9.08203125" style="12" bestFit="1" customWidth="1"/>
    <col min="116" max="116" width="8.6640625" style="12" customWidth="1"/>
    <col min="117" max="117" width="3.9140625" style="12" customWidth="1"/>
    <col min="118" max="118" width="11.25" style="2602" bestFit="1" customWidth="1"/>
    <col min="119" max="119" width="9.1640625" style="2602" customWidth="1"/>
    <col min="120" max="120" width="12.08203125" style="2602" customWidth="1"/>
    <col min="121" max="121" width="8.6640625" style="2602"/>
  </cols>
  <sheetData>
    <row r="1" spans="1:122">
      <c r="C1" s="130"/>
      <c r="E1" s="278">
        <f>E98+E99</f>
        <v>0</v>
      </c>
      <c r="F1" s="278">
        <f t="shared" ref="F1:P1" si="0">F98+F99</f>
        <v>0</v>
      </c>
      <c r="G1" s="278">
        <f t="shared" si="0"/>
        <v>0</v>
      </c>
      <c r="H1" s="278">
        <f t="shared" si="0"/>
        <v>0</v>
      </c>
      <c r="I1" s="278">
        <f t="shared" si="0"/>
        <v>0</v>
      </c>
      <c r="J1" s="278">
        <f t="shared" si="0"/>
        <v>0</v>
      </c>
      <c r="K1" s="278">
        <f t="shared" si="0"/>
        <v>0</v>
      </c>
      <c r="L1" s="278">
        <f t="shared" si="0"/>
        <v>0</v>
      </c>
      <c r="M1" s="278">
        <f t="shared" si="0"/>
        <v>0</v>
      </c>
      <c r="N1" s="278">
        <f t="shared" si="0"/>
        <v>0</v>
      </c>
      <c r="O1" s="278">
        <f t="shared" si="0"/>
        <v>0</v>
      </c>
      <c r="P1" s="278">
        <f t="shared" si="0"/>
        <v>0</v>
      </c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  <c r="AC1" s="278"/>
      <c r="AD1" s="568"/>
      <c r="AE1" s="278"/>
      <c r="AF1" s="278"/>
      <c r="AG1" s="278"/>
      <c r="AH1" s="278"/>
      <c r="AI1" s="278"/>
      <c r="AJ1" s="278"/>
      <c r="AK1" s="278"/>
      <c r="AL1" s="278"/>
      <c r="AM1" s="278"/>
      <c r="AN1" s="278"/>
      <c r="AO1" s="278"/>
      <c r="AP1" s="278"/>
      <c r="AQ1" s="568"/>
      <c r="AR1" s="278"/>
      <c r="AS1" s="568"/>
      <c r="AT1" s="278"/>
      <c r="AU1" s="278"/>
      <c r="AV1" s="278"/>
      <c r="AW1" s="278"/>
      <c r="AX1" s="278"/>
      <c r="AY1" s="278"/>
      <c r="AZ1" s="278"/>
      <c r="BA1" s="278"/>
      <c r="BB1" s="278"/>
      <c r="BC1" s="278"/>
      <c r="BE1" s="278"/>
      <c r="BF1" s="568"/>
      <c r="BG1" s="278"/>
      <c r="BH1" s="278"/>
      <c r="BI1" s="278"/>
      <c r="BJ1" s="278"/>
      <c r="BK1" s="278"/>
      <c r="BL1" s="278"/>
      <c r="BM1" s="278"/>
      <c r="BN1" s="278"/>
      <c r="BO1" s="278"/>
      <c r="BP1" s="278"/>
      <c r="BR1" s="362"/>
      <c r="BS1" s="362"/>
      <c r="BT1" s="362"/>
      <c r="BU1" s="362"/>
      <c r="BV1" s="1716"/>
      <c r="BW1" s="278"/>
      <c r="BX1" s="278"/>
      <c r="BY1" s="362"/>
      <c r="BZ1" s="362"/>
      <c r="CA1" s="362"/>
      <c r="CB1" s="362"/>
      <c r="CC1" s="362"/>
      <c r="CD1" s="362"/>
      <c r="CE1" s="278"/>
      <c r="CF1" s="362"/>
      <c r="CG1" s="362"/>
      <c r="CH1" s="362"/>
      <c r="CI1" s="1716"/>
      <c r="CJ1" s="278"/>
      <c r="CK1" s="278"/>
      <c r="CL1" s="278"/>
      <c r="CM1" s="278"/>
      <c r="CN1" s="278"/>
      <c r="CO1" s="278"/>
      <c r="CP1" s="278"/>
      <c r="CQ1" s="362"/>
      <c r="CR1" s="278"/>
      <c r="CS1" s="362"/>
      <c r="CT1" s="362"/>
      <c r="CU1" s="362"/>
      <c r="CV1" s="1716"/>
      <c r="CW1" s="278"/>
      <c r="CX1" s="278"/>
      <c r="CY1" s="278"/>
      <c r="CZ1" s="278"/>
      <c r="DA1" s="278"/>
      <c r="DB1" s="278"/>
      <c r="DC1" s="278"/>
      <c r="DD1" s="2589"/>
      <c r="DE1" s="2589"/>
      <c r="DF1" s="2589"/>
      <c r="DG1" s="2589"/>
    </row>
    <row r="2" spans="1:122">
      <c r="B2" s="2572"/>
      <c r="C2" s="130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  <c r="AC2" s="278"/>
      <c r="AD2" s="568"/>
      <c r="AE2" s="278"/>
      <c r="AF2" s="278"/>
      <c r="AG2" s="278"/>
      <c r="AH2" s="278"/>
      <c r="AI2" s="278"/>
      <c r="AJ2" s="278"/>
      <c r="AK2" s="278"/>
      <c r="AL2" s="278"/>
      <c r="AM2" s="278"/>
      <c r="AN2" s="278"/>
      <c r="AO2" s="278"/>
      <c r="AP2" s="278"/>
      <c r="AQ2" s="278"/>
      <c r="AR2" s="809"/>
      <c r="AS2" s="783"/>
      <c r="AT2" s="784"/>
      <c r="AU2" s="784"/>
      <c r="AV2" s="784"/>
      <c r="AW2" s="784"/>
      <c r="AX2" s="784"/>
      <c r="AY2" s="784"/>
      <c r="AZ2" s="784"/>
      <c r="BA2" s="784"/>
      <c r="BB2" s="784"/>
      <c r="BC2" s="784"/>
      <c r="BD2" s="278"/>
      <c r="BE2" s="1304"/>
      <c r="BF2" s="1304"/>
      <c r="BG2" s="1304"/>
      <c r="BH2" s="1304"/>
      <c r="BI2" s="1304"/>
      <c r="BJ2" s="1304"/>
      <c r="BK2" s="1304"/>
      <c r="BL2" s="1304"/>
      <c r="BM2" s="1304"/>
      <c r="BN2" s="1304"/>
      <c r="BO2" s="1304"/>
      <c r="BP2" s="1304"/>
      <c r="BQ2" s="278"/>
      <c r="BR2" s="1304"/>
      <c r="BS2" s="1304"/>
      <c r="BT2" s="1304"/>
      <c r="BU2" s="1304"/>
      <c r="BV2" s="1716"/>
      <c r="BW2" s="1304"/>
      <c r="BX2" s="1304"/>
      <c r="BY2" s="1304"/>
      <c r="BZ2" s="1304"/>
      <c r="CA2" s="1304"/>
      <c r="CB2" s="1304"/>
      <c r="CC2" s="1304"/>
      <c r="CD2" s="278"/>
      <c r="CE2" s="1304"/>
      <c r="CF2" s="1304"/>
      <c r="CG2" s="1304"/>
      <c r="CH2" s="1304"/>
      <c r="CI2" s="1304"/>
      <c r="CJ2" s="1304"/>
      <c r="CK2" s="1304"/>
      <c r="CL2" s="1304"/>
      <c r="CM2" s="1304"/>
      <c r="CN2" s="1304"/>
      <c r="CO2" s="1304"/>
      <c r="CP2" s="1304"/>
      <c r="CQ2" s="278"/>
      <c r="CR2" s="1304"/>
      <c r="CS2" s="1304"/>
      <c r="CT2" s="1304"/>
      <c r="CU2" s="1304"/>
      <c r="CV2" s="1304"/>
      <c r="CW2" s="1304"/>
      <c r="CX2" s="1304"/>
      <c r="CY2" s="1304"/>
      <c r="CZ2" s="278"/>
      <c r="DA2" s="1304"/>
      <c r="DB2" s="1304"/>
      <c r="DC2" s="1304"/>
      <c r="DD2" s="2590"/>
      <c r="DE2" s="2590"/>
      <c r="DF2" s="2590"/>
      <c r="DG2" s="2590"/>
      <c r="DI2" s="128"/>
      <c r="DJ2" s="128"/>
    </row>
    <row r="3" spans="1:122" hidden="1" outlineLevel="1">
      <c r="B3" s="2572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1635">
        <f>Q18/Q13</f>
        <v>1.0013412713231287</v>
      </c>
      <c r="R3" s="1636"/>
      <c r="S3" s="1636"/>
      <c r="T3" s="1636"/>
      <c r="U3" s="1636"/>
      <c r="V3" s="1636"/>
      <c r="W3" s="1636"/>
      <c r="X3" s="1636"/>
      <c r="Y3" s="1636"/>
      <c r="Z3" s="1636"/>
      <c r="AA3" s="1636"/>
      <c r="AB3" s="1636"/>
      <c r="AC3" s="1636"/>
      <c r="AD3" s="1635">
        <f>AD18/AD13</f>
        <v>1.0333494561530439</v>
      </c>
      <c r="AE3" s="1636"/>
      <c r="AF3" s="1636"/>
      <c r="AG3" s="1636"/>
      <c r="AH3" s="1636"/>
      <c r="AI3" s="1636"/>
      <c r="AJ3" s="1636"/>
      <c r="AK3" s="1636"/>
      <c r="AL3" s="1636"/>
      <c r="AM3" s="1636"/>
      <c r="AN3" s="1636"/>
      <c r="AO3" s="1636"/>
      <c r="AP3" s="1636"/>
      <c r="AQ3" s="1635">
        <f>AQ18/AQ13</f>
        <v>1.0271017831267926</v>
      </c>
      <c r="AR3" s="1636"/>
      <c r="AS3" s="1637"/>
      <c r="AT3" s="1638"/>
      <c r="AU3" s="1638"/>
      <c r="AV3" s="1638"/>
      <c r="AW3" s="1638"/>
      <c r="AX3" s="1638"/>
      <c r="AY3" s="1638"/>
      <c r="AZ3" s="1638"/>
      <c r="BA3" s="1638"/>
      <c r="BB3" s="1638"/>
      <c r="BC3" s="1638"/>
      <c r="BD3" s="1635">
        <f>BD18/BD13</f>
        <v>1.03668536599629</v>
      </c>
      <c r="BE3" s="1634"/>
      <c r="BF3" s="1634"/>
      <c r="BG3" s="1634"/>
      <c r="BH3" s="1634"/>
      <c r="BI3" s="1634"/>
      <c r="BJ3" s="1634"/>
      <c r="BK3" s="1634"/>
      <c r="BL3" s="1634"/>
      <c r="BM3" s="1634"/>
      <c r="BN3" s="1634"/>
      <c r="BO3" s="1634"/>
      <c r="BP3" s="1634"/>
      <c r="BQ3" s="1635">
        <f>BQ18/BQ13</f>
        <v>1.0684130472850035</v>
      </c>
      <c r="BR3" s="2964">
        <f t="shared" ref="BR3:CC3" si="1">BR18/BR13</f>
        <v>1.0617112994050932</v>
      </c>
      <c r="BS3" s="2964">
        <f t="shared" si="1"/>
        <v>1.0270573755815704</v>
      </c>
      <c r="BT3" s="2964">
        <f t="shared" si="1"/>
        <v>1.0409871869332394</v>
      </c>
      <c r="BU3" s="2964">
        <f t="shared" si="1"/>
        <v>1.0965794489741352</v>
      </c>
      <c r="BV3" s="2964">
        <f t="shared" si="1"/>
        <v>1.1162293636485376</v>
      </c>
      <c r="BW3" s="2964">
        <f t="shared" si="1"/>
        <v>1.0703452092579979</v>
      </c>
      <c r="BX3" s="2964">
        <f t="shared" si="1"/>
        <v>1.1450079315984016</v>
      </c>
      <c r="BY3" s="2964">
        <f t="shared" si="1"/>
        <v>1.0794597558804018</v>
      </c>
      <c r="BZ3" s="2964">
        <f t="shared" si="1"/>
        <v>1.0538171349897405</v>
      </c>
      <c r="CA3" s="2964">
        <f t="shared" si="1"/>
        <v>1.0012930804186777</v>
      </c>
      <c r="CB3" s="2964">
        <f t="shared" si="1"/>
        <v>1.1077206948010399</v>
      </c>
      <c r="CC3" s="2964">
        <f t="shared" si="1"/>
        <v>1.1198570315077125</v>
      </c>
      <c r="CD3" s="1635">
        <f>CD18/CD13</f>
        <v>1.0717882563020991</v>
      </c>
      <c r="CE3" s="2964">
        <f t="shared" ref="CE3:DC3" si="2">CE18/CE13</f>
        <v>1.0298448368058524</v>
      </c>
      <c r="CF3" s="2964">
        <f t="shared" si="2"/>
        <v>1.0724063455275392</v>
      </c>
      <c r="CG3" s="2964">
        <f t="shared" si="2"/>
        <v>1.0452978688023125</v>
      </c>
      <c r="CH3" s="2964">
        <f t="shared" si="2"/>
        <v>1.0541105203510148</v>
      </c>
      <c r="CI3" s="2964">
        <f t="shared" si="2"/>
        <v>1.0720719424029175</v>
      </c>
      <c r="CJ3" s="2964">
        <f t="shared" si="2"/>
        <v>1.0164132999331488</v>
      </c>
      <c r="CK3" s="2964">
        <f t="shared" si="2"/>
        <v>1.1390950989447826</v>
      </c>
      <c r="CL3" s="2964">
        <f t="shared" si="2"/>
        <v>1.1427935201206356</v>
      </c>
      <c r="CM3" s="2964">
        <f t="shared" si="2"/>
        <v>1.0269748442332167</v>
      </c>
      <c r="CN3" s="2964">
        <f t="shared" si="2"/>
        <v>1.084759582254762</v>
      </c>
      <c r="CO3" s="2964">
        <f t="shared" si="2"/>
        <v>1.0680160931374909</v>
      </c>
      <c r="CP3" s="2964">
        <f t="shared" si="2"/>
        <v>1.1415880885829865</v>
      </c>
      <c r="CQ3" s="1635">
        <f>CQ18/CQ13</f>
        <v>1.0478518362938454</v>
      </c>
      <c r="CR3" s="2964">
        <f>CR18/CR13</f>
        <v>1.0476905281039199</v>
      </c>
      <c r="CS3" s="2964">
        <f t="shared" si="2"/>
        <v>1.0449349081955648</v>
      </c>
      <c r="CT3" s="2964">
        <f t="shared" si="2"/>
        <v>1.050950885510832</v>
      </c>
      <c r="CU3" s="2964">
        <f t="shared" si="2"/>
        <v>1.043631962714288</v>
      </c>
      <c r="CV3" s="2964">
        <f t="shared" si="2"/>
        <v>1.0470017362003434</v>
      </c>
      <c r="CW3" s="2964">
        <f>CW18/CW13</f>
        <v>1.0132040308435748</v>
      </c>
      <c r="CX3" s="2964">
        <f t="shared" si="2"/>
        <v>1.0823182050887823</v>
      </c>
      <c r="CY3" s="2964">
        <f t="shared" si="2"/>
        <v>1.0572133773323911</v>
      </c>
      <c r="CZ3" s="2964">
        <f t="shared" si="2"/>
        <v>1.0388294744281479</v>
      </c>
      <c r="DA3" s="2964">
        <f t="shared" si="2"/>
        <v>1.0531260141922529</v>
      </c>
      <c r="DB3" s="2964">
        <f t="shared" si="2"/>
        <v>1.0650928304754697</v>
      </c>
      <c r="DC3" s="2964">
        <f t="shared" si="2"/>
        <v>1.0185690740068283</v>
      </c>
      <c r="DD3" s="1634"/>
      <c r="DE3" s="1634"/>
      <c r="DF3" s="1634"/>
      <c r="DG3" s="1634"/>
      <c r="DI3" s="128"/>
      <c r="DJ3" s="128"/>
      <c r="DL3" s="2771"/>
      <c r="DM3" s="2771"/>
      <c r="DN3" s="2771"/>
    </row>
    <row r="4" spans="1:122" hidden="1" outlineLevel="1">
      <c r="B4" s="2572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278"/>
      <c r="Q4" s="1635">
        <f>Q19/Q12</f>
        <v>0.26799291707247841</v>
      </c>
      <c r="R4" s="1636"/>
      <c r="S4" s="1636"/>
      <c r="T4" s="1636"/>
      <c r="U4" s="1636"/>
      <c r="V4" s="1636"/>
      <c r="W4" s="1636"/>
      <c r="X4" s="1636"/>
      <c r="Y4" s="1636"/>
      <c r="Z4" s="1636"/>
      <c r="AA4" s="1636"/>
      <c r="AB4" s="1636"/>
      <c r="AC4" s="1636"/>
      <c r="AD4" s="1635">
        <f>AD19/AD12</f>
        <v>0.2613021110930524</v>
      </c>
      <c r="AE4" s="1636"/>
      <c r="AF4" s="1636"/>
      <c r="AG4" s="1636"/>
      <c r="AH4" s="1636"/>
      <c r="AI4" s="1636"/>
      <c r="AJ4" s="1636"/>
      <c r="AK4" s="1636"/>
      <c r="AL4" s="1636"/>
      <c r="AM4" s="1636"/>
      <c r="AN4" s="1636"/>
      <c r="AO4" s="1636"/>
      <c r="AP4" s="1636"/>
      <c r="AQ4" s="1635">
        <f>AQ19/AQ12</f>
        <v>0.298327186400554</v>
      </c>
      <c r="AR4" s="1639"/>
      <c r="AS4" s="1639"/>
      <c r="AT4" s="1639"/>
      <c r="AU4" s="1639"/>
      <c r="AV4" s="1639"/>
      <c r="AW4" s="1639"/>
      <c r="AX4" s="1639"/>
      <c r="AY4" s="1639"/>
      <c r="AZ4" s="1639"/>
      <c r="BA4" s="1639"/>
      <c r="BB4" s="1639"/>
      <c r="BC4" s="1639"/>
      <c r="BD4" s="1635">
        <f t="shared" ref="BD4" si="3">BD19/BD12</f>
        <v>0.32472827056546061</v>
      </c>
      <c r="BE4" s="1634"/>
      <c r="BF4" s="1634"/>
      <c r="BG4" s="1634"/>
      <c r="BH4" s="1634"/>
      <c r="BI4" s="1634"/>
      <c r="BJ4" s="1634"/>
      <c r="BK4" s="1634"/>
      <c r="BL4" s="1634"/>
      <c r="BM4" s="1634"/>
      <c r="BN4" s="1634"/>
      <c r="BO4" s="1634"/>
      <c r="BP4" s="1634"/>
      <c r="BQ4" s="1635">
        <f t="shared" ref="BQ4" si="4">BQ19/BQ12</f>
        <v>0.27839984833481712</v>
      </c>
      <c r="BR4" s="362"/>
      <c r="BS4" s="362"/>
      <c r="BT4" s="362"/>
      <c r="BU4" s="362"/>
      <c r="BV4" s="1716"/>
      <c r="BW4" s="362"/>
      <c r="BX4" s="362"/>
      <c r="BY4" s="362"/>
      <c r="BZ4" s="362"/>
      <c r="CA4" s="362"/>
      <c r="CB4" s="362"/>
      <c r="CC4" s="362"/>
      <c r="CD4" s="1635">
        <f t="shared" ref="CD4" si="5">CD19/CD12</f>
        <v>0.33470593852595576</v>
      </c>
      <c r="CE4" s="2311"/>
      <c r="CF4" s="2311"/>
      <c r="CG4" s="2311"/>
      <c r="CH4" s="2311"/>
      <c r="CI4" s="2311"/>
      <c r="CJ4" s="2260"/>
      <c r="CK4" s="2260"/>
      <c r="CL4" s="2260"/>
      <c r="CM4" s="2260"/>
      <c r="CN4" s="2260"/>
      <c r="CO4" s="2260"/>
      <c r="CP4" s="2260"/>
      <c r="CQ4" s="1635">
        <f t="shared" ref="CQ4" si="6">CQ19/CQ12</f>
        <v>0.31952591765619953</v>
      </c>
      <c r="CR4" s="2925"/>
      <c r="CS4" s="2925"/>
      <c r="CT4" s="2925"/>
      <c r="CU4" s="2925"/>
      <c r="CV4" s="2925"/>
      <c r="CW4" s="2591"/>
      <c r="CX4" s="2591"/>
      <c r="CY4" s="2591"/>
      <c r="CZ4" s="2591"/>
      <c r="DA4" s="2591"/>
      <c r="DB4" s="2591"/>
      <c r="DC4" s="2591"/>
      <c r="DD4" s="2591"/>
      <c r="DE4" s="2591"/>
      <c r="DF4" s="2591"/>
      <c r="DG4" s="2925"/>
      <c r="DI4" s="128"/>
      <c r="DJ4" s="128"/>
      <c r="DK4" s="128"/>
      <c r="DL4" s="128"/>
      <c r="DM4" s="128"/>
      <c r="DN4" s="128"/>
      <c r="DO4" s="2716"/>
      <c r="DP4" s="2716"/>
    </row>
    <row r="5" spans="1:122" hidden="1" outlineLevel="1">
      <c r="E5" s="278"/>
      <c r="F5" s="278"/>
      <c r="G5" s="278"/>
      <c r="H5" s="278"/>
      <c r="I5" s="278"/>
      <c r="J5" s="278"/>
      <c r="K5" s="278"/>
      <c r="L5" s="278"/>
      <c r="M5" s="278"/>
      <c r="N5" s="278"/>
      <c r="O5" s="278"/>
      <c r="P5" s="278"/>
      <c r="Q5" s="1640">
        <f>Q21/Q12</f>
        <v>0.16395303126033234</v>
      </c>
      <c r="R5" s="1641"/>
      <c r="S5" s="1641"/>
      <c r="T5" s="1641"/>
      <c r="U5" s="1641"/>
      <c r="V5" s="1641"/>
      <c r="W5" s="1641"/>
      <c r="X5" s="1641"/>
      <c r="Y5" s="1641"/>
      <c r="Z5" s="1641"/>
      <c r="AA5" s="1641"/>
      <c r="AB5" s="1641"/>
      <c r="AC5" s="1641"/>
      <c r="AD5" s="1640">
        <f>AD21/AD12</f>
        <v>0.14922173083827034</v>
      </c>
      <c r="AE5" s="1641"/>
      <c r="AF5" s="1641"/>
      <c r="AG5" s="1641"/>
      <c r="AH5" s="1641"/>
      <c r="AI5" s="1641"/>
      <c r="AJ5" s="1641"/>
      <c r="AK5" s="1641"/>
      <c r="AL5" s="1641"/>
      <c r="AM5" s="1641"/>
      <c r="AN5" s="1641"/>
      <c r="AO5" s="1641"/>
      <c r="AP5" s="1642"/>
      <c r="AQ5" s="1640">
        <f>AQ21/AQ12</f>
        <v>0.16024207265178034</v>
      </c>
      <c r="AR5" s="1642"/>
      <c r="AS5" s="1642"/>
      <c r="AT5" s="1642"/>
      <c r="AU5" s="1642"/>
      <c r="AV5" s="1642"/>
      <c r="AW5" s="1642"/>
      <c r="AX5" s="1642"/>
      <c r="AY5" s="1642"/>
      <c r="AZ5" s="1642"/>
      <c r="BA5" s="1642"/>
      <c r="BB5" s="1642"/>
      <c r="BC5" s="1642"/>
      <c r="BD5" s="1640">
        <f>BD21/BD12</f>
        <v>0.17412555815270567</v>
      </c>
      <c r="BE5" s="1643"/>
      <c r="BF5" s="1643"/>
      <c r="BG5" s="1643"/>
      <c r="BH5" s="1643"/>
      <c r="BI5" s="1643"/>
      <c r="BJ5" s="1643"/>
      <c r="BK5" s="1643"/>
      <c r="BL5" s="1643"/>
      <c r="BM5" s="1643"/>
      <c r="BN5" s="1643"/>
      <c r="BO5" s="1643"/>
      <c r="BP5" s="1643"/>
      <c r="BQ5" s="1640">
        <f>BQ21/BQ12</f>
        <v>0.15745108967047566</v>
      </c>
      <c r="BR5" s="1304"/>
      <c r="BS5" s="1304"/>
      <c r="BT5" s="1304"/>
      <c r="BU5" s="1304"/>
      <c r="BV5" s="1716"/>
      <c r="BW5" s="1304"/>
      <c r="BX5" s="1304"/>
      <c r="BY5" s="1304"/>
      <c r="BZ5" s="1304"/>
      <c r="CA5" s="1304"/>
      <c r="CB5" s="1304"/>
      <c r="CC5" s="1304"/>
      <c r="CD5" s="1640">
        <f>CD21/CD12</f>
        <v>0.18685102504245038</v>
      </c>
      <c r="CE5" s="2314"/>
      <c r="CF5" s="2314"/>
      <c r="CG5" s="2314"/>
      <c r="CH5" s="2314"/>
      <c r="CI5" s="2314"/>
      <c r="CJ5" s="2262"/>
      <c r="CK5" s="2262"/>
      <c r="CL5" s="2262"/>
      <c r="CM5" s="2262"/>
      <c r="CN5" s="2262"/>
      <c r="CO5" s="2262"/>
      <c r="CP5" s="2262"/>
      <c r="CQ5" s="1640">
        <f>CQ21/CQ12</f>
        <v>0.18104565215742399</v>
      </c>
      <c r="CR5" s="2925"/>
      <c r="CS5" s="2925"/>
      <c r="CT5" s="2925"/>
      <c r="CU5" s="2925"/>
      <c r="CV5" s="2925"/>
      <c r="CW5" s="2591"/>
      <c r="CX5" s="2591"/>
      <c r="CY5" s="2591"/>
      <c r="CZ5" s="2591"/>
      <c r="DA5" s="2591"/>
      <c r="DB5" s="2591"/>
      <c r="DC5" s="2591"/>
      <c r="DD5" s="2592"/>
      <c r="DE5" s="2592"/>
      <c r="DF5" s="2592"/>
      <c r="DG5" s="2925"/>
      <c r="DH5" s="130"/>
      <c r="DI5" s="128"/>
      <c r="DJ5" s="128"/>
      <c r="DN5" s="12"/>
      <c r="DO5" s="2900"/>
      <c r="DP5" s="12"/>
      <c r="DQ5" s="12"/>
    </row>
    <row r="6" spans="1:122" hidden="1" outlineLevel="1">
      <c r="E6" s="278"/>
      <c r="F6" s="278"/>
      <c r="G6" s="278"/>
      <c r="H6" s="278"/>
      <c r="I6" s="278"/>
      <c r="J6" s="278"/>
      <c r="K6" s="278"/>
      <c r="L6" s="278"/>
      <c r="M6" s="278"/>
      <c r="N6" s="278"/>
      <c r="O6" s="278"/>
      <c r="P6" s="278"/>
      <c r="Q6" s="1644">
        <f>Q52/Q12</f>
        <v>2.6108558518811065E-3</v>
      </c>
      <c r="R6" s="1641"/>
      <c r="S6" s="1641"/>
      <c r="T6" s="1641"/>
      <c r="U6" s="1641"/>
      <c r="V6" s="1641"/>
      <c r="W6" s="1641"/>
      <c r="X6" s="1641"/>
      <c r="Y6" s="1641"/>
      <c r="Z6" s="1641"/>
      <c r="AA6" s="1641"/>
      <c r="AB6" s="1641"/>
      <c r="AC6" s="1641"/>
      <c r="AD6" s="1644">
        <f>AD52/AD12</f>
        <v>6.3683389960405481E-3</v>
      </c>
      <c r="AE6" s="1641"/>
      <c r="AF6" s="1641"/>
      <c r="AG6" s="1641"/>
      <c r="AH6" s="1641"/>
      <c r="AI6" s="1641"/>
      <c r="AJ6" s="1641"/>
      <c r="AK6" s="1641"/>
      <c r="AL6" s="1641"/>
      <c r="AM6" s="1641"/>
      <c r="AN6" s="1641"/>
      <c r="AO6" s="1641"/>
      <c r="AP6" s="1642"/>
      <c r="AQ6" s="1644">
        <f>AQ52/AQ12</f>
        <v>1.0428939527703242E-2</v>
      </c>
      <c r="AR6" s="1642"/>
      <c r="AS6" s="1642"/>
      <c r="AT6" s="1642"/>
      <c r="AU6" s="1642"/>
      <c r="AV6" s="1642"/>
      <c r="AW6" s="1642"/>
      <c r="AX6" s="1642"/>
      <c r="AY6" s="1642"/>
      <c r="AZ6" s="1642"/>
      <c r="BA6" s="1642"/>
      <c r="BB6" s="1642"/>
      <c r="BC6" s="1642"/>
      <c r="BD6" s="1644">
        <f>BD52/BD12</f>
        <v>1.3014290757779655E-2</v>
      </c>
      <c r="BE6" s="1643"/>
      <c r="BF6" s="1643"/>
      <c r="BG6" s="1643"/>
      <c r="BH6" s="1643"/>
      <c r="BI6" s="1643"/>
      <c r="BJ6" s="1643"/>
      <c r="BK6" s="1643"/>
      <c r="BL6" s="1643"/>
      <c r="BM6" s="1643"/>
      <c r="BN6" s="1643"/>
      <c r="BO6" s="1643"/>
      <c r="BP6" s="1643"/>
      <c r="BQ6" s="1644">
        <f>BQ52/BQ12</f>
        <v>1.7922579740865592E-2</v>
      </c>
      <c r="BR6" s="1417"/>
      <c r="BS6" s="1417"/>
      <c r="BT6" s="1417"/>
      <c r="BU6" s="1417"/>
      <c r="BV6" s="1717"/>
      <c r="BW6" s="1417"/>
      <c r="BX6" s="1417"/>
      <c r="BY6" s="1417"/>
      <c r="BZ6" s="1417"/>
      <c r="CA6" s="1417"/>
      <c r="CB6" s="1417"/>
      <c r="CC6" s="1417"/>
      <c r="CD6" s="1644">
        <f>CD52/CD12</f>
        <v>2.1688554118407054E-2</v>
      </c>
      <c r="CE6" s="2262"/>
      <c r="CF6" s="2262"/>
      <c r="CG6" s="2262"/>
      <c r="CH6" s="2262"/>
      <c r="CI6" s="2261"/>
      <c r="CJ6" s="2262"/>
      <c r="CK6" s="2262"/>
      <c r="CL6" s="2262"/>
      <c r="CM6" s="2262"/>
      <c r="CN6" s="2262"/>
      <c r="CO6" s="2262"/>
      <c r="CP6" s="2262"/>
      <c r="CQ6" s="1644">
        <f>CQ52/CQ12</f>
        <v>2.10110035843167E-2</v>
      </c>
      <c r="CR6" s="2925"/>
      <c r="CS6" s="2925"/>
      <c r="CT6" s="2925"/>
      <c r="CU6" s="2925"/>
      <c r="CV6" s="2925"/>
      <c r="CW6" s="2591"/>
      <c r="CX6" s="2591"/>
      <c r="CY6" s="2591"/>
      <c r="CZ6" s="2591"/>
      <c r="DA6" s="2591"/>
      <c r="DB6" s="2591"/>
      <c r="DC6" s="2591"/>
      <c r="DD6" s="2592"/>
      <c r="DE6" s="2592"/>
      <c r="DF6" s="2592"/>
      <c r="DG6" s="2925"/>
      <c r="DI6" s="128"/>
      <c r="DJ6" s="128"/>
      <c r="DK6" s="2718"/>
      <c r="DL6" s="2718"/>
      <c r="DM6" s="2718"/>
      <c r="DN6" s="2603"/>
      <c r="DO6" s="2603"/>
      <c r="DP6" s="2603"/>
      <c r="DQ6" s="2603"/>
      <c r="DR6" s="2603"/>
    </row>
    <row r="7" spans="1:122" hidden="1" outlineLevel="1">
      <c r="E7" s="278"/>
      <c r="F7" s="278"/>
      <c r="G7" s="278"/>
      <c r="H7" s="278"/>
      <c r="I7" s="278"/>
      <c r="J7" s="278"/>
      <c r="K7" s="278"/>
      <c r="L7" s="278"/>
      <c r="M7" s="278"/>
      <c r="N7" s="278"/>
      <c r="O7" s="278"/>
      <c r="P7" s="278"/>
      <c r="Q7" s="1644">
        <f>Q52/Q14</f>
        <v>9.706742888964396E-3</v>
      </c>
      <c r="R7" s="1641"/>
      <c r="S7" s="1641"/>
      <c r="T7" s="1641"/>
      <c r="U7" s="1641"/>
      <c r="V7" s="1641"/>
      <c r="W7" s="1641"/>
      <c r="X7" s="1641"/>
      <c r="Y7" s="1641"/>
      <c r="Z7" s="1641"/>
      <c r="AA7" s="1641"/>
      <c r="AB7" s="1641"/>
      <c r="AC7" s="1641"/>
      <c r="AD7" s="1644">
        <f>AD52/AD14</f>
        <v>2.2333903395329417E-2</v>
      </c>
      <c r="AE7" s="1641"/>
      <c r="AF7" s="1641"/>
      <c r="AG7" s="1641"/>
      <c r="AH7" s="1641"/>
      <c r="AI7" s="1641"/>
      <c r="AJ7" s="1641"/>
      <c r="AK7" s="1641"/>
      <c r="AL7" s="1641"/>
      <c r="AM7" s="1641"/>
      <c r="AN7" s="1641"/>
      <c r="AO7" s="1641"/>
      <c r="AP7" s="1642"/>
      <c r="AQ7" s="1644">
        <f>AQ52/AQ14</f>
        <v>3.2915269960701432E-2</v>
      </c>
      <c r="AR7" s="1642"/>
      <c r="AS7" s="1642"/>
      <c r="AT7" s="1642"/>
      <c r="AU7" s="1642"/>
      <c r="AV7" s="1642"/>
      <c r="AW7" s="1642"/>
      <c r="AX7" s="1642"/>
      <c r="AY7" s="1642"/>
      <c r="AZ7" s="1642"/>
      <c r="BA7" s="1642"/>
      <c r="BB7" s="1642"/>
      <c r="BC7" s="1642"/>
      <c r="BD7" s="1644">
        <f>BD52/BD14</f>
        <v>3.733042534244764E-2</v>
      </c>
      <c r="BE7" s="1643"/>
      <c r="BF7" s="1643"/>
      <c r="BG7" s="1643"/>
      <c r="BH7" s="1643"/>
      <c r="BI7" s="1643"/>
      <c r="BJ7" s="1643"/>
      <c r="BK7" s="1643"/>
      <c r="BL7" s="1643"/>
      <c r="BM7" s="1643"/>
      <c r="BN7" s="1643"/>
      <c r="BO7" s="1643"/>
      <c r="BP7" s="1643"/>
      <c r="BQ7" s="1644">
        <f>BQ52/BQ14</f>
        <v>5.5213396843056456E-2</v>
      </c>
      <c r="BR7" s="1417"/>
      <c r="BS7" s="1417"/>
      <c r="BT7" s="1417"/>
      <c r="BU7" s="1417"/>
      <c r="BV7" s="1717"/>
      <c r="BW7" s="1417"/>
      <c r="BX7" s="1417"/>
      <c r="BY7" s="1417"/>
      <c r="BZ7" s="1417"/>
      <c r="CA7" s="1417"/>
      <c r="CB7" s="1417"/>
      <c r="CC7" s="1417"/>
      <c r="CD7" s="1644">
        <f>CD52/CD14</f>
        <v>5.7185410999815056E-2</v>
      </c>
      <c r="CE7" s="2262"/>
      <c r="CF7" s="2262"/>
      <c r="CG7" s="2262"/>
      <c r="CH7" s="2776"/>
      <c r="CI7" s="2261"/>
      <c r="CJ7" s="2262"/>
      <c r="CK7" s="2262"/>
      <c r="CL7" s="2262"/>
      <c r="CM7" s="2262"/>
      <c r="CN7" s="2262"/>
      <c r="CO7" s="2262"/>
      <c r="CP7" s="2262"/>
      <c r="CQ7" s="1644">
        <f>CQ52/CQ14</f>
        <v>5.9928557054645608E-2</v>
      </c>
      <c r="CR7" s="2950">
        <f>무선!CF8</f>
        <v>58967.316964582125</v>
      </c>
      <c r="CS7" s="2950">
        <f>무선!CG8</f>
        <v>48000.171381720662</v>
      </c>
      <c r="CT7" s="2950">
        <f>무선!CH8</f>
        <v>63707.181395704567</v>
      </c>
      <c r="CU7" s="2950">
        <f>무선!CI8</f>
        <v>51132.050496747579</v>
      </c>
      <c r="CV7" s="2950">
        <f>무선!CJ8</f>
        <v>51074.399350943771</v>
      </c>
      <c r="CW7" s="2950">
        <f>무선!CK8</f>
        <v>50463.682825649303</v>
      </c>
      <c r="CX7" s="2950">
        <f>무선!CL8</f>
        <v>66509.988375232235</v>
      </c>
      <c r="CY7" s="2950">
        <f>무선!CM8</f>
        <v>52643.600975027068</v>
      </c>
      <c r="CZ7" s="2950">
        <f>무선!CN8</f>
        <v>70415.594657420021</v>
      </c>
      <c r="DA7" s="2950">
        <f>무선!CO8</f>
        <v>57272.418810577583</v>
      </c>
      <c r="DB7" s="2950">
        <f>무선!CP8</f>
        <v>53295.916234386146</v>
      </c>
      <c r="DC7" s="2950">
        <f>무선!CQ8</f>
        <v>46517.929484372879</v>
      </c>
      <c r="DD7" s="2592"/>
      <c r="DE7" s="2592"/>
      <c r="DF7" s="2592"/>
      <c r="DG7" s="2592"/>
      <c r="DI7" s="128"/>
      <c r="DJ7" s="128"/>
      <c r="DK7" s="128"/>
      <c r="DL7" s="128"/>
      <c r="DM7" s="128"/>
      <c r="DN7" s="128"/>
      <c r="DO7" s="128"/>
      <c r="DP7" s="128"/>
    </row>
    <row r="8" spans="1:122" collapsed="1">
      <c r="A8" s="2602"/>
      <c r="B8" s="2602"/>
      <c r="C8" s="2602"/>
      <c r="D8" s="2602"/>
      <c r="E8" s="2602"/>
      <c r="F8" s="2602"/>
      <c r="G8" s="2602"/>
      <c r="H8" s="2602"/>
      <c r="I8" s="2602"/>
      <c r="J8" s="2602"/>
      <c r="K8" s="2602"/>
      <c r="L8" s="2602"/>
      <c r="M8" s="2602"/>
      <c r="N8" s="2602"/>
      <c r="O8" s="2602"/>
      <c r="P8" s="2602"/>
      <c r="Q8" s="2602"/>
      <c r="R8" s="2602"/>
      <c r="S8" s="2602"/>
      <c r="T8" s="2602"/>
      <c r="U8" s="2602"/>
      <c r="V8" s="2602"/>
      <c r="W8" s="2602"/>
      <c r="X8" s="2602"/>
      <c r="Y8" s="2602"/>
      <c r="Z8" s="2602"/>
      <c r="AA8" s="2602"/>
      <c r="AB8" s="2602"/>
      <c r="AC8" s="2602"/>
      <c r="AD8" s="2602"/>
      <c r="AE8" s="2602"/>
      <c r="AF8" s="2602"/>
      <c r="AG8" s="2602"/>
      <c r="AH8" s="2602"/>
      <c r="AI8" s="2602"/>
      <c r="AJ8" s="2602"/>
      <c r="AK8" s="2602"/>
      <c r="AL8" s="2602"/>
      <c r="AM8" s="2602"/>
      <c r="AN8" s="2602"/>
      <c r="AO8" s="2602"/>
      <c r="AP8" s="2602"/>
      <c r="AQ8" s="2602"/>
      <c r="AR8" s="2602"/>
      <c r="AS8" s="2602"/>
      <c r="AT8" s="2602"/>
      <c r="AU8" s="2602"/>
      <c r="AV8" s="2602"/>
      <c r="AW8" s="2602"/>
      <c r="AX8" s="2602"/>
      <c r="AY8" s="2602"/>
      <c r="AZ8" s="2602"/>
      <c r="BA8" s="2602"/>
      <c r="BB8" s="2602"/>
      <c r="BC8" s="2602"/>
      <c r="BD8" s="2602"/>
      <c r="BE8" s="2602"/>
      <c r="BF8" s="2602"/>
      <c r="BG8" s="2602"/>
      <c r="BH8" s="2602"/>
      <c r="BI8" s="2602"/>
      <c r="BJ8" s="2602"/>
      <c r="BK8" s="2602"/>
      <c r="BL8" s="2602"/>
      <c r="BM8" s="2602"/>
      <c r="BN8" s="2602"/>
      <c r="BO8" s="2602"/>
      <c r="BP8" s="2602"/>
      <c r="BQ8" s="2602"/>
      <c r="BR8" s="2602"/>
      <c r="BS8" s="2602"/>
      <c r="BT8" s="2602"/>
      <c r="BU8" s="2602"/>
      <c r="BV8" s="2602"/>
      <c r="BW8" s="2602"/>
      <c r="BX8" s="2602"/>
      <c r="BY8" s="2602"/>
      <c r="BZ8" s="2602"/>
      <c r="CA8" s="2602"/>
      <c r="CB8" s="2602"/>
      <c r="CC8" s="2602"/>
      <c r="CD8" s="2602"/>
      <c r="CE8" s="2602"/>
      <c r="CF8" s="2602"/>
      <c r="CG8" s="2602"/>
      <c r="CH8" s="2602"/>
      <c r="CI8" s="2602"/>
      <c r="CJ8" s="2602"/>
      <c r="CK8" s="2602"/>
      <c r="CL8" s="2605"/>
      <c r="CM8" s="2605"/>
      <c r="CN8" s="2602"/>
      <c r="CO8" s="2602"/>
      <c r="CP8" s="2602"/>
      <c r="CQ8" s="2602"/>
      <c r="CR8" s="2950">
        <f>무선!CF8-무선!CF9</f>
        <v>30548.316964582125</v>
      </c>
      <c r="CS8" s="2950">
        <f>무선!CG8-무선!CG9</f>
        <v>27155.999569850472</v>
      </c>
      <c r="CT8" s="2950">
        <f>무선!CH8-무선!CH9</f>
        <v>38419.625021358232</v>
      </c>
      <c r="CU8" s="2950">
        <f>무선!CI8-무선!CI9</f>
        <v>28049.462605343957</v>
      </c>
      <c r="CV8" s="2950">
        <f>무선!CJ8-무선!CJ9</f>
        <v>28056.133760676163</v>
      </c>
      <c r="CW8" s="2950">
        <f>무선!CK8-무선!CK9</f>
        <v>27128.951513792483</v>
      </c>
      <c r="CX8" s="2950">
        <f>무선!CL8-무선!CL9</f>
        <v>38583.931208286434</v>
      </c>
      <c r="CY8" s="2950">
        <f>무선!CM8-무선!CM9</f>
        <v>30335.453589301102</v>
      </c>
      <c r="CZ8" s="2950">
        <f>무선!CN8-무선!CN9</f>
        <v>43754.968936484816</v>
      </c>
      <c r="DA8" s="2950">
        <f>무선!CO8-무선!CO9</f>
        <v>32190.693799866505</v>
      </c>
      <c r="DB8" s="2950">
        <f>무선!CP8-무선!CP9</f>
        <v>27771.653791859262</v>
      </c>
      <c r="DC8" s="2950">
        <f>무선!CQ8-무선!CQ9</f>
        <v>26273.672959436677</v>
      </c>
      <c r="DD8" s="2602"/>
      <c r="DE8" s="2602"/>
      <c r="DF8" s="2602"/>
      <c r="DG8" s="28"/>
      <c r="DH8" s="2545"/>
      <c r="DI8" s="2981"/>
      <c r="DJ8" s="2981"/>
      <c r="DK8" s="2545"/>
      <c r="DL8" s="2545"/>
      <c r="DM8" s="2545"/>
      <c r="DN8" s="2982"/>
      <c r="DO8" s="2982"/>
    </row>
    <row r="9" spans="1:122" ht="21">
      <c r="B9" s="29" t="s">
        <v>487</v>
      </c>
      <c r="G9" s="478"/>
      <c r="H9" s="478"/>
      <c r="P9" s="63"/>
      <c r="AQ9" s="1672"/>
      <c r="AR9" s="1645">
        <f t="shared" ref="AR9:BC9" si="7">AR18/AR13</f>
        <v>1.0695813470306015</v>
      </c>
      <c r="AS9" s="1645">
        <f t="shared" si="7"/>
        <v>1.0344985209864006</v>
      </c>
      <c r="AT9" s="1645">
        <f t="shared" si="7"/>
        <v>0.92617686803397548</v>
      </c>
      <c r="AU9" s="1645">
        <f t="shared" si="7"/>
        <v>1.0373586345113361</v>
      </c>
      <c r="AV9" s="1645">
        <f t="shared" si="7"/>
        <v>1.0382670562350247</v>
      </c>
      <c r="AW9" s="1645">
        <f t="shared" si="7"/>
        <v>1.0679304893613111</v>
      </c>
      <c r="AX9" s="1645">
        <f t="shared" si="7"/>
        <v>1.0583605396911528</v>
      </c>
      <c r="AY9" s="1645">
        <f t="shared" si="7"/>
        <v>1.0719393766965783</v>
      </c>
      <c r="AZ9" s="1645">
        <f t="shared" si="7"/>
        <v>0.99532718956325539</v>
      </c>
      <c r="BA9" s="1645">
        <f t="shared" si="7"/>
        <v>1.0102402149028107</v>
      </c>
      <c r="BB9" s="1645">
        <f t="shared" si="7"/>
        <v>1.0124108446451616</v>
      </c>
      <c r="BC9" s="1645">
        <f t="shared" si="7"/>
        <v>1.0026154887755319</v>
      </c>
      <c r="BD9" s="2838"/>
      <c r="BE9" s="2211"/>
      <c r="BF9" s="2211"/>
      <c r="BG9" s="2211"/>
      <c r="BH9" s="2211"/>
      <c r="BI9" s="2211"/>
      <c r="BJ9" s="2211"/>
      <c r="BK9" s="2211"/>
      <c r="BL9" s="2211"/>
      <c r="BM9" s="2211"/>
      <c r="BN9" s="2211"/>
      <c r="BO9" s="2211"/>
      <c r="BP9" s="2211"/>
      <c r="BQ9" s="2211">
        <f>BQ18/BQ13</f>
        <v>1.0684130472850035</v>
      </c>
      <c r="BR9" s="2962"/>
      <c r="BS9" s="2962"/>
      <c r="BT9" s="2962"/>
      <c r="BU9" s="2962"/>
      <c r="BV9" s="2962"/>
      <c r="BW9" s="2963"/>
      <c r="BX9" s="2962"/>
      <c r="BY9" s="2211"/>
      <c r="BZ9" s="2211"/>
      <c r="CA9" s="2211"/>
      <c r="CB9" s="2211"/>
      <c r="CC9" s="2211"/>
      <c r="CD9" s="2211">
        <f>CD18/CD13</f>
        <v>1.0717882563020991</v>
      </c>
      <c r="CE9" s="2962"/>
      <c r="CF9" s="2962"/>
      <c r="CG9" s="2962"/>
      <c r="CH9" s="2962"/>
      <c r="CI9" s="2962"/>
      <c r="CJ9" s="2962"/>
      <c r="CK9" s="2962"/>
      <c r="CL9" s="2211"/>
      <c r="CM9" s="2211"/>
      <c r="CN9" s="2211"/>
      <c r="CO9" s="2211"/>
      <c r="CP9" s="2211"/>
      <c r="CQ9" s="2211">
        <f>CQ18/CQ13</f>
        <v>1.0478518362938454</v>
      </c>
      <c r="CR9" s="2951">
        <f>CR18-CR13</f>
        <v>1710.9393411756391</v>
      </c>
      <c r="CS9" s="2951">
        <f t="shared" ref="CS9:DC9" si="8">CS18-CS13</f>
        <v>1570.9130804810266</v>
      </c>
      <c r="CT9" s="2951">
        <f t="shared" si="8"/>
        <v>3521.1975909351604</v>
      </c>
      <c r="CU9" s="2951">
        <f t="shared" si="8"/>
        <v>1732.344764385547</v>
      </c>
      <c r="CV9" s="2951">
        <f t="shared" si="8"/>
        <v>1870.6799125527468</v>
      </c>
      <c r="CW9" s="2951">
        <f t="shared" si="8"/>
        <v>482.19769902525877</v>
      </c>
      <c r="CX9" s="2951">
        <f t="shared" si="8"/>
        <v>4274.7813060805711</v>
      </c>
      <c r="CY9" s="2951">
        <f t="shared" si="8"/>
        <v>2315.785579762407</v>
      </c>
      <c r="CZ9" s="2951">
        <f t="shared" si="8"/>
        <v>2521.3784955758092</v>
      </c>
      <c r="DA9" s="2951">
        <f t="shared" si="8"/>
        <v>2244.900473020818</v>
      </c>
      <c r="DB9" s="2951">
        <f t="shared" si="8"/>
        <v>2430.252804527292</v>
      </c>
      <c r="DC9" s="2951">
        <f t="shared" si="8"/>
        <v>690.68619552375458</v>
      </c>
      <c r="DD9" s="2593"/>
      <c r="DE9" s="2593"/>
      <c r="DF9" s="2593"/>
      <c r="DG9" s="2983"/>
      <c r="DH9" s="2545"/>
      <c r="DI9" s="2309"/>
      <c r="DJ9" s="2309"/>
      <c r="DK9" s="2981"/>
      <c r="DL9" s="2984"/>
      <c r="DM9" s="2984"/>
      <c r="DN9" s="2572"/>
      <c r="DO9" s="2985"/>
    </row>
    <row r="10" spans="1:122">
      <c r="B10" s="3262" t="s">
        <v>0</v>
      </c>
      <c r="C10" s="3263"/>
      <c r="D10" s="3264"/>
      <c r="E10" s="3259"/>
      <c r="F10" s="3259"/>
      <c r="G10" s="3259"/>
      <c r="H10" s="3259"/>
      <c r="I10" s="3259"/>
      <c r="J10" s="3259"/>
      <c r="K10" s="3259"/>
      <c r="L10" s="3259"/>
      <c r="M10" s="3259"/>
      <c r="N10" s="3259"/>
      <c r="O10" s="3259"/>
      <c r="P10" s="3259"/>
      <c r="Q10" s="3268" t="s">
        <v>359</v>
      </c>
      <c r="R10" s="3269"/>
      <c r="S10" s="3269"/>
      <c r="T10" s="3269"/>
      <c r="U10" s="3269"/>
      <c r="V10" s="3269"/>
      <c r="W10" s="3269"/>
      <c r="X10" s="3269"/>
      <c r="Y10" s="3269"/>
      <c r="Z10" s="3269"/>
      <c r="AA10" s="3269"/>
      <c r="AB10" s="3269"/>
      <c r="AC10" s="3270"/>
      <c r="AD10" s="3268" t="s">
        <v>377</v>
      </c>
      <c r="AE10" s="3269"/>
      <c r="AF10" s="3269"/>
      <c r="AG10" s="3269"/>
      <c r="AH10" s="3269"/>
      <c r="AI10" s="3269"/>
      <c r="AJ10" s="3269"/>
      <c r="AK10" s="3269"/>
      <c r="AL10" s="3269"/>
      <c r="AM10" s="3269"/>
      <c r="AN10" s="3269"/>
      <c r="AO10" s="3269"/>
      <c r="AP10" s="3273"/>
      <c r="AQ10" s="3255" t="s">
        <v>395</v>
      </c>
      <c r="AR10" s="3256"/>
      <c r="AS10" s="3256"/>
      <c r="AT10" s="3256"/>
      <c r="AU10" s="3256"/>
      <c r="AV10" s="3256"/>
      <c r="AW10" s="3256"/>
      <c r="AX10" s="3256"/>
      <c r="AY10" s="3256"/>
      <c r="AZ10" s="3256"/>
      <c r="BA10" s="3256"/>
      <c r="BB10" s="3256"/>
      <c r="BC10" s="3272"/>
      <c r="BD10" s="3255" t="s">
        <v>413</v>
      </c>
      <c r="BE10" s="3256"/>
      <c r="BF10" s="3256"/>
      <c r="BG10" s="3256"/>
      <c r="BH10" s="3256"/>
      <c r="BI10" s="3256"/>
      <c r="BJ10" s="3256"/>
      <c r="BK10" s="3256"/>
      <c r="BL10" s="3256"/>
      <c r="BM10" s="3256"/>
      <c r="BN10" s="3256"/>
      <c r="BO10" s="3256"/>
      <c r="BP10" s="3272"/>
      <c r="BQ10" s="3255" t="s">
        <v>468</v>
      </c>
      <c r="BR10" s="3256"/>
      <c r="BS10" s="3256"/>
      <c r="BT10" s="3256"/>
      <c r="BU10" s="3256"/>
      <c r="BV10" s="3256"/>
      <c r="BW10" s="3256"/>
      <c r="BX10" s="3256"/>
      <c r="BY10" s="3256"/>
      <c r="BZ10" s="3256"/>
      <c r="CA10" s="3256"/>
      <c r="CB10" s="3256"/>
      <c r="CC10" s="3257"/>
      <c r="CD10" s="3255" t="s">
        <v>849</v>
      </c>
      <c r="CE10" s="3256"/>
      <c r="CF10" s="3256"/>
      <c r="CG10" s="3256"/>
      <c r="CH10" s="3256"/>
      <c r="CI10" s="3256"/>
      <c r="CJ10" s="3256"/>
      <c r="CK10" s="3256"/>
      <c r="CL10" s="3256"/>
      <c r="CM10" s="3256"/>
      <c r="CN10" s="3256"/>
      <c r="CO10" s="3256"/>
      <c r="CP10" s="3257"/>
      <c r="CQ10" s="3255" t="s">
        <v>758</v>
      </c>
      <c r="CR10" s="3256"/>
      <c r="CS10" s="3256"/>
      <c r="CT10" s="3256"/>
      <c r="CU10" s="3256"/>
      <c r="CV10" s="3256"/>
      <c r="CW10" s="3256"/>
      <c r="CX10" s="3256"/>
      <c r="CY10" s="3256"/>
      <c r="CZ10" s="3256"/>
      <c r="DA10" s="3256"/>
      <c r="DB10" s="3256"/>
      <c r="DC10" s="3257"/>
      <c r="DD10" s="2608"/>
      <c r="DE10" s="2594"/>
      <c r="DF10" s="2594"/>
      <c r="DG10" s="478"/>
      <c r="DH10" s="2545"/>
      <c r="DI10" s="2545"/>
      <c r="DJ10" s="2545"/>
      <c r="DK10" s="2545"/>
      <c r="DL10" s="2545"/>
      <c r="DM10" s="2545"/>
      <c r="DN10" s="2982"/>
      <c r="DO10" s="2982"/>
    </row>
    <row r="11" spans="1:122">
      <c r="B11" s="3265"/>
      <c r="C11" s="3266"/>
      <c r="D11" s="3267"/>
      <c r="E11" s="1018" t="s">
        <v>2</v>
      </c>
      <c r="F11" s="1019" t="s">
        <v>3</v>
      </c>
      <c r="G11" s="1019" t="s">
        <v>4</v>
      </c>
      <c r="H11" s="1019" t="s">
        <v>5</v>
      </c>
      <c r="I11" s="1019" t="s">
        <v>6</v>
      </c>
      <c r="J11" s="1019" t="s">
        <v>7</v>
      </c>
      <c r="K11" s="1019" t="s">
        <v>8</v>
      </c>
      <c r="L11" s="1019" t="s">
        <v>9</v>
      </c>
      <c r="M11" s="1019" t="s">
        <v>10</v>
      </c>
      <c r="N11" s="1019" t="s">
        <v>11</v>
      </c>
      <c r="O11" s="1019" t="s">
        <v>12</v>
      </c>
      <c r="P11" s="1020" t="s">
        <v>13</v>
      </c>
      <c r="Q11" s="1093" t="s">
        <v>1</v>
      </c>
      <c r="R11" s="1071" t="s">
        <v>2</v>
      </c>
      <c r="S11" s="1071" t="s">
        <v>3</v>
      </c>
      <c r="T11" s="1071" t="s">
        <v>4</v>
      </c>
      <c r="U11" s="1071" t="s">
        <v>5</v>
      </c>
      <c r="V11" s="1071" t="s">
        <v>6</v>
      </c>
      <c r="W11" s="1071" t="s">
        <v>7</v>
      </c>
      <c r="X11" s="1071" t="s">
        <v>8</v>
      </c>
      <c r="Y11" s="1071" t="s">
        <v>9</v>
      </c>
      <c r="Z11" s="1071" t="s">
        <v>10</v>
      </c>
      <c r="AA11" s="1071" t="s">
        <v>11</v>
      </c>
      <c r="AB11" s="1071" t="s">
        <v>12</v>
      </c>
      <c r="AC11" s="1070" t="s">
        <v>13</v>
      </c>
      <c r="AD11" s="1497" t="s">
        <v>1</v>
      </c>
      <c r="AE11" s="1503" t="s">
        <v>2</v>
      </c>
      <c r="AF11" s="1071" t="s">
        <v>3</v>
      </c>
      <c r="AG11" s="1071" t="s">
        <v>4</v>
      </c>
      <c r="AH11" s="1071" t="s">
        <v>5</v>
      </c>
      <c r="AI11" s="1071" t="s">
        <v>6</v>
      </c>
      <c r="AJ11" s="1071" t="s">
        <v>7</v>
      </c>
      <c r="AK11" s="1071" t="s">
        <v>8</v>
      </c>
      <c r="AL11" s="1071" t="s">
        <v>9</v>
      </c>
      <c r="AM11" s="1071" t="s">
        <v>10</v>
      </c>
      <c r="AN11" s="1071" t="s">
        <v>11</v>
      </c>
      <c r="AO11" s="1071" t="s">
        <v>12</v>
      </c>
      <c r="AP11" s="1072" t="s">
        <v>13</v>
      </c>
      <c r="AQ11" s="1094" t="s">
        <v>1</v>
      </c>
      <c r="AR11" s="1097" t="s">
        <v>2</v>
      </c>
      <c r="AS11" s="1097" t="s">
        <v>3</v>
      </c>
      <c r="AT11" s="1097" t="s">
        <v>4</v>
      </c>
      <c r="AU11" s="1097" t="s">
        <v>5</v>
      </c>
      <c r="AV11" s="1097" t="s">
        <v>6</v>
      </c>
      <c r="AW11" s="1097" t="s">
        <v>7</v>
      </c>
      <c r="AX11" s="1097" t="s">
        <v>8</v>
      </c>
      <c r="AY11" s="1097" t="s">
        <v>9</v>
      </c>
      <c r="AZ11" s="1097" t="s">
        <v>10</v>
      </c>
      <c r="BA11" s="1097" t="s">
        <v>11</v>
      </c>
      <c r="BB11" s="1097" t="s">
        <v>12</v>
      </c>
      <c r="BC11" s="1098" t="s">
        <v>13</v>
      </c>
      <c r="BD11" s="1094" t="s">
        <v>1</v>
      </c>
      <c r="BE11" s="1097" t="s">
        <v>2</v>
      </c>
      <c r="BF11" s="1097" t="s">
        <v>3</v>
      </c>
      <c r="BG11" s="1097" t="s">
        <v>4</v>
      </c>
      <c r="BH11" s="1097" t="s">
        <v>5</v>
      </c>
      <c r="BI11" s="1097" t="s">
        <v>6</v>
      </c>
      <c r="BJ11" s="1097" t="s">
        <v>7</v>
      </c>
      <c r="BK11" s="1097" t="s">
        <v>8</v>
      </c>
      <c r="BL11" s="1097" t="s">
        <v>9</v>
      </c>
      <c r="BM11" s="1097" t="s">
        <v>506</v>
      </c>
      <c r="BN11" s="1097" t="s">
        <v>505</v>
      </c>
      <c r="BO11" s="1097" t="s">
        <v>507</v>
      </c>
      <c r="BP11" s="1098" t="s">
        <v>508</v>
      </c>
      <c r="BQ11" s="1094" t="s">
        <v>1</v>
      </c>
      <c r="BR11" s="1097" t="s">
        <v>2</v>
      </c>
      <c r="BS11" s="1097" t="s">
        <v>3</v>
      </c>
      <c r="BT11" s="1097" t="s">
        <v>4</v>
      </c>
      <c r="BU11" s="1097" t="s">
        <v>5</v>
      </c>
      <c r="BV11" s="1097" t="s">
        <v>6</v>
      </c>
      <c r="BW11" s="1097" t="s">
        <v>7</v>
      </c>
      <c r="BX11" s="1097" t="s">
        <v>8</v>
      </c>
      <c r="BY11" s="1097" t="s">
        <v>9</v>
      </c>
      <c r="BZ11" s="1097" t="s">
        <v>10</v>
      </c>
      <c r="CA11" s="1097" t="s">
        <v>11</v>
      </c>
      <c r="CB11" s="1097" t="s">
        <v>12</v>
      </c>
      <c r="CC11" s="1332" t="s">
        <v>13</v>
      </c>
      <c r="CD11" s="1094" t="s">
        <v>1</v>
      </c>
      <c r="CE11" s="1097" t="s">
        <v>2</v>
      </c>
      <c r="CF11" s="1097" t="s">
        <v>3</v>
      </c>
      <c r="CG11" s="1097" t="s">
        <v>4</v>
      </c>
      <c r="CH11" s="1097" t="s">
        <v>5</v>
      </c>
      <c r="CI11" s="1097" t="s">
        <v>6</v>
      </c>
      <c r="CJ11" s="1097" t="s">
        <v>7</v>
      </c>
      <c r="CK11" s="1097" t="s">
        <v>847</v>
      </c>
      <c r="CL11" s="1097" t="s">
        <v>848</v>
      </c>
      <c r="CM11" s="1097" t="s">
        <v>506</v>
      </c>
      <c r="CN11" s="1097" t="s">
        <v>505</v>
      </c>
      <c r="CO11" s="1097" t="s">
        <v>441</v>
      </c>
      <c r="CP11" s="1332" t="s">
        <v>442</v>
      </c>
      <c r="CQ11" s="2573" t="s">
        <v>1</v>
      </c>
      <c r="CR11" s="2574" t="s">
        <v>710</v>
      </c>
      <c r="CS11" s="2574" t="s">
        <v>708</v>
      </c>
      <c r="CT11" s="2574" t="s">
        <v>706</v>
      </c>
      <c r="CU11" s="2574" t="s">
        <v>704</v>
      </c>
      <c r="CV11" s="2574" t="s">
        <v>702</v>
      </c>
      <c r="CW11" s="2574" t="s">
        <v>700</v>
      </c>
      <c r="CX11" s="2574" t="s">
        <v>687</v>
      </c>
      <c r="CY11" s="1097" t="s">
        <v>689</v>
      </c>
      <c r="CZ11" s="1097" t="s">
        <v>691</v>
      </c>
      <c r="DA11" s="1097" t="s">
        <v>693</v>
      </c>
      <c r="DB11" s="1097" t="s">
        <v>695</v>
      </c>
      <c r="DC11" s="1332" t="s">
        <v>697</v>
      </c>
      <c r="DD11" s="2608"/>
      <c r="DE11" s="2594"/>
      <c r="DF11" s="2594"/>
      <c r="DG11" s="2594" t="s">
        <v>764</v>
      </c>
      <c r="DH11" s="2594" t="s">
        <v>762</v>
      </c>
      <c r="DI11" s="2594" t="s">
        <v>763</v>
      </c>
      <c r="DJ11" s="2594"/>
      <c r="DK11" s="2967"/>
      <c r="DL11" s="1884"/>
      <c r="DM11" s="2545"/>
      <c r="DN11" s="3254"/>
      <c r="DO11" s="3254"/>
      <c r="DP11" s="2603"/>
    </row>
    <row r="12" spans="1:122">
      <c r="B12" s="30" t="s">
        <v>61</v>
      </c>
      <c r="C12" s="31"/>
      <c r="D12" s="1333"/>
      <c r="E12" s="417"/>
      <c r="F12" s="417"/>
      <c r="G12" s="417"/>
      <c r="H12" s="417"/>
      <c r="I12" s="417"/>
      <c r="J12" s="417"/>
      <c r="K12" s="417"/>
      <c r="L12" s="417"/>
      <c r="M12" s="417"/>
      <c r="N12" s="417"/>
      <c r="O12" s="417"/>
      <c r="P12" s="417"/>
      <c r="Q12" s="1031">
        <f>Q88</f>
        <v>661195.76812745456</v>
      </c>
      <c r="R12" s="417">
        <f t="shared" ref="R12:AP12" si="9">R88</f>
        <v>56951.146795000001</v>
      </c>
      <c r="S12" s="417">
        <f t="shared" si="9"/>
        <v>57834.211667000003</v>
      </c>
      <c r="T12" s="417">
        <f t="shared" si="9"/>
        <v>56802.298876999994</v>
      </c>
      <c r="U12" s="417">
        <f t="shared" si="9"/>
        <v>50295.011361000004</v>
      </c>
      <c r="V12" s="417">
        <f t="shared" si="9"/>
        <v>52424.926958000004</v>
      </c>
      <c r="W12" s="417">
        <f t="shared" si="9"/>
        <v>45226.849212000001</v>
      </c>
      <c r="X12" s="417">
        <f t="shared" si="9"/>
        <v>44122.264370000004</v>
      </c>
      <c r="Y12" s="417">
        <f t="shared" si="9"/>
        <v>66273.823579000004</v>
      </c>
      <c r="Z12" s="417">
        <f t="shared" si="9"/>
        <v>52137.493799000003</v>
      </c>
      <c r="AA12" s="417">
        <f t="shared" si="9"/>
        <v>57508.277332999998</v>
      </c>
      <c r="AB12" s="417">
        <f t="shared" si="9"/>
        <v>65454.583354454546</v>
      </c>
      <c r="AC12" s="1036">
        <f t="shared" si="9"/>
        <v>56164.880821999999</v>
      </c>
      <c r="AD12" s="1498">
        <v>710172.82494100009</v>
      </c>
      <c r="AE12" s="1052">
        <f t="shared" si="9"/>
        <v>56726.566437999994</v>
      </c>
      <c r="AF12" s="1052">
        <f t="shared" si="9"/>
        <v>50697.735512999992</v>
      </c>
      <c r="AG12" s="1052">
        <f t="shared" si="9"/>
        <v>50960.981234000006</v>
      </c>
      <c r="AH12" s="1052">
        <f t="shared" si="9"/>
        <v>53482.950971999999</v>
      </c>
      <c r="AI12" s="1052">
        <f t="shared" si="9"/>
        <v>51104.427613</v>
      </c>
      <c r="AJ12" s="1052">
        <f t="shared" si="9"/>
        <v>53063.680520000002</v>
      </c>
      <c r="AK12" s="1052">
        <f t="shared" si="9"/>
        <v>49589.410112999998</v>
      </c>
      <c r="AL12" s="1052">
        <f t="shared" si="9"/>
        <v>72113.128784999994</v>
      </c>
      <c r="AM12" s="1052">
        <f t="shared" si="9"/>
        <v>65838.406170000002</v>
      </c>
      <c r="AN12" s="1052">
        <f t="shared" si="9"/>
        <v>80474.861686999997</v>
      </c>
      <c r="AO12" s="1052">
        <f t="shared" si="9"/>
        <v>64427.482309999999</v>
      </c>
      <c r="AP12" s="1053">
        <f t="shared" si="9"/>
        <v>61693.193586000009</v>
      </c>
      <c r="AQ12" s="1031">
        <v>728532.36523400014</v>
      </c>
      <c r="AR12" s="1031">
        <v>46598.748881</v>
      </c>
      <c r="AS12" s="1031">
        <v>68677.031676000013</v>
      </c>
      <c r="AT12" s="1031">
        <v>51885.608528999997</v>
      </c>
      <c r="AU12" s="1031">
        <v>51535.705858000001</v>
      </c>
      <c r="AV12" s="1031">
        <v>56235.964727999999</v>
      </c>
      <c r="AW12" s="1031">
        <v>60907.419127000001</v>
      </c>
      <c r="AX12" s="1031">
        <v>48634.171562000003</v>
      </c>
      <c r="AY12" s="1031">
        <v>76486.150229000006</v>
      </c>
      <c r="AZ12" s="1031">
        <v>52965.775761999997</v>
      </c>
      <c r="BA12" s="1031">
        <v>95854.637197999997</v>
      </c>
      <c r="BB12" s="1031">
        <v>58244.032032999996</v>
      </c>
      <c r="BC12" s="1031">
        <v>60507.119651000001</v>
      </c>
      <c r="BD12" s="1031">
        <f t="shared" ref="BD12:BE12" si="10">BD13+BD14</f>
        <v>695134.46866800007</v>
      </c>
      <c r="BE12" s="417">
        <f t="shared" si="10"/>
        <v>47437.247897000001</v>
      </c>
      <c r="BF12" s="417">
        <f t="shared" ref="BF12:BP12" si="11">BF13+BF14</f>
        <v>73697.131250999999</v>
      </c>
      <c r="BG12" s="417">
        <f t="shared" si="11"/>
        <v>52049.605724000001</v>
      </c>
      <c r="BH12" s="417">
        <f t="shared" si="11"/>
        <v>48987.118201000005</v>
      </c>
      <c r="BI12" s="417">
        <f t="shared" si="11"/>
        <v>51089.927580000003</v>
      </c>
      <c r="BJ12" s="417">
        <f t="shared" si="11"/>
        <v>47227.082456000004</v>
      </c>
      <c r="BK12" s="417">
        <f t="shared" si="11"/>
        <v>41206.06697700001</v>
      </c>
      <c r="BL12" s="417">
        <f t="shared" si="11"/>
        <v>84534.421191999994</v>
      </c>
      <c r="BM12" s="417">
        <f t="shared" si="11"/>
        <v>46975.417109000002</v>
      </c>
      <c r="BN12" s="417">
        <f t="shared" si="11"/>
        <v>101669.288751</v>
      </c>
      <c r="BO12" s="417">
        <f t="shared" si="11"/>
        <v>51405.646852000005</v>
      </c>
      <c r="BP12" s="417">
        <f t="shared" si="11"/>
        <v>48855.514677999992</v>
      </c>
      <c r="BQ12" s="1031">
        <f t="shared" ref="BQ12:DC12" si="12">BQ13+BQ14</f>
        <v>807307.67128400004</v>
      </c>
      <c r="BR12" s="417">
        <f t="shared" si="12"/>
        <v>119005.80376900001</v>
      </c>
      <c r="BS12" s="417">
        <f t="shared" si="12"/>
        <v>61486.194017000002</v>
      </c>
      <c r="BT12" s="417">
        <f t="shared" si="12"/>
        <v>55768.207871999999</v>
      </c>
      <c r="BU12" s="417">
        <f t="shared" si="12"/>
        <v>50051.676944999999</v>
      </c>
      <c r="BV12" s="417">
        <f t="shared" si="12"/>
        <v>42996.829689999999</v>
      </c>
      <c r="BW12" s="417">
        <f t="shared" si="12"/>
        <v>61957.998965999999</v>
      </c>
      <c r="BX12" s="417">
        <f t="shared" si="12"/>
        <v>76235.505736999999</v>
      </c>
      <c r="BY12" s="417">
        <f t="shared" si="12"/>
        <v>56802.931507000001</v>
      </c>
      <c r="BZ12" s="417">
        <f t="shared" si="12"/>
        <v>93612.681763000001</v>
      </c>
      <c r="CA12" s="417">
        <f t="shared" si="12"/>
        <v>88199.180128999986</v>
      </c>
      <c r="CB12" s="417">
        <f t="shared" si="12"/>
        <v>49488.055276999999</v>
      </c>
      <c r="CC12" s="1334">
        <f t="shared" si="12"/>
        <v>51702.605611999999</v>
      </c>
      <c r="CD12" s="1031">
        <f t="shared" si="12"/>
        <v>753458.02946499991</v>
      </c>
      <c r="CE12" s="1708">
        <f t="shared" si="12"/>
        <v>56063.832911999998</v>
      </c>
      <c r="CF12" s="1708">
        <f t="shared" si="12"/>
        <v>100329.392458</v>
      </c>
      <c r="CG12" s="1708">
        <f t="shared" si="12"/>
        <v>56923.055278</v>
      </c>
      <c r="CH12" s="1708">
        <f t="shared" si="12"/>
        <v>44951.814089</v>
      </c>
      <c r="CI12" s="1708">
        <f t="shared" si="12"/>
        <v>51736.181077000001</v>
      </c>
      <c r="CJ12" s="1708">
        <f t="shared" si="12"/>
        <v>54495.947400999998</v>
      </c>
      <c r="CK12" s="1708">
        <f t="shared" si="12"/>
        <v>81020.837570000003</v>
      </c>
      <c r="CL12" s="1708">
        <f t="shared" si="12"/>
        <v>53755.464549999997</v>
      </c>
      <c r="CM12" s="1708">
        <f t="shared" si="12"/>
        <v>89284.893813999995</v>
      </c>
      <c r="CN12" s="1708">
        <f t="shared" si="12"/>
        <v>57241.535059000002</v>
      </c>
      <c r="CO12" s="1708">
        <f t="shared" si="12"/>
        <v>56938.080047000003</v>
      </c>
      <c r="CP12" s="1334">
        <f t="shared" si="12"/>
        <v>50716.995209999994</v>
      </c>
      <c r="CQ12" s="2575">
        <f t="shared" si="12"/>
        <v>816286.56771075702</v>
      </c>
      <c r="CR12" s="1029">
        <f>CR13+CR14</f>
        <v>58137.048600578171</v>
      </c>
      <c r="CS12" s="1029">
        <f>CS13+CS14</f>
        <v>56458.977373283939</v>
      </c>
      <c r="CT12" s="1029">
        <f>CT13+CT14</f>
        <v>95512.690509458713</v>
      </c>
      <c r="CU12" s="1029">
        <f>CU13+CU14</f>
        <v>62510.910854887996</v>
      </c>
      <c r="CV12" s="1029">
        <f>CV13+CV14</f>
        <v>62579.806868135929</v>
      </c>
      <c r="CW12" s="1029">
        <f t="shared" ref="CW12" si="13">CW13+CW14</f>
        <v>58768.461520238809</v>
      </c>
      <c r="CX12" s="1029">
        <f t="shared" si="12"/>
        <v>80074.745319701804</v>
      </c>
      <c r="CY12" s="1708">
        <f t="shared" si="12"/>
        <v>63743.340990100725</v>
      </c>
      <c r="CZ12" s="1708">
        <f t="shared" si="12"/>
        <v>92502.096064233148</v>
      </c>
      <c r="DA12" s="1708">
        <f t="shared" si="12"/>
        <v>66324.535187698697</v>
      </c>
      <c r="DB12" s="1708">
        <f t="shared" si="12"/>
        <v>59665.754674547112</v>
      </c>
      <c r="DC12" s="1334">
        <f t="shared" si="12"/>
        <v>60008.199747892126</v>
      </c>
      <c r="DD12" s="2766"/>
      <c r="DE12" s="2587"/>
      <c r="DF12" s="2587"/>
      <c r="DG12" s="1913">
        <f t="shared" ref="DG12:DG49" si="14">BQ12/BD12-1</f>
        <v>0.16136906983039356</v>
      </c>
      <c r="DH12" s="1913">
        <f t="shared" ref="DH12:DH49" si="15">CD12/BQ12-1</f>
        <v>-6.6702750059780547E-2</v>
      </c>
      <c r="DI12" s="1913">
        <f t="shared" ref="DI12:DI50" si="16">CQ12/CD12-1</f>
        <v>8.3386911797023622E-2</v>
      </c>
      <c r="DJ12" s="2968">
        <f>BQ12-BD12</f>
        <v>112173.20261599997</v>
      </c>
      <c r="DK12" s="2968">
        <f>CD12-BQ12</f>
        <v>-53849.641819000128</v>
      </c>
      <c r="DL12" s="2968">
        <f t="shared" ref="DL12:DL52" si="17">CQ12-CD12</f>
        <v>62828.53824575711</v>
      </c>
      <c r="DM12" s="2544"/>
      <c r="DN12" s="2982"/>
      <c r="DO12" s="2982"/>
      <c r="DP12" s="2603"/>
    </row>
    <row r="13" spans="1:122">
      <c r="B13" s="33" t="s">
        <v>62</v>
      </c>
      <c r="C13" s="34"/>
      <c r="D13" s="35"/>
      <c r="E13" s="1335"/>
      <c r="F13" s="1335"/>
      <c r="G13" s="1335"/>
      <c r="H13" s="1335"/>
      <c r="I13" s="1335"/>
      <c r="J13" s="1335"/>
      <c r="K13" s="1335"/>
      <c r="L13" s="1335"/>
      <c r="M13" s="1335"/>
      <c r="N13" s="1335"/>
      <c r="O13" s="1335"/>
      <c r="P13" s="1335"/>
      <c r="Q13" s="1345">
        <f t="shared" ref="Q13:Q23" si="18">Q89</f>
        <v>483351.67972400005</v>
      </c>
      <c r="R13" s="1335">
        <f t="shared" ref="R13:AC13" si="19">R89</f>
        <v>42512.579846000001</v>
      </c>
      <c r="S13" s="1335">
        <f t="shared" si="19"/>
        <v>43559.136783000002</v>
      </c>
      <c r="T13" s="1335">
        <f t="shared" si="19"/>
        <v>41706.115768999996</v>
      </c>
      <c r="U13" s="1335">
        <f t="shared" si="19"/>
        <v>36208.609871000001</v>
      </c>
      <c r="V13" s="1335">
        <f t="shared" si="19"/>
        <v>37676.338571</v>
      </c>
      <c r="W13" s="1335">
        <f t="shared" si="19"/>
        <v>31112.636391</v>
      </c>
      <c r="X13" s="1335">
        <f t="shared" si="19"/>
        <v>29844.902959999999</v>
      </c>
      <c r="Y13" s="1335">
        <f t="shared" si="19"/>
        <v>51191.694641000002</v>
      </c>
      <c r="Z13" s="1335">
        <f t="shared" si="19"/>
        <v>37702.539263999999</v>
      </c>
      <c r="AA13" s="1335">
        <f t="shared" si="19"/>
        <v>41760.570400999997</v>
      </c>
      <c r="AB13" s="1335">
        <f t="shared" si="19"/>
        <v>47897.756393000003</v>
      </c>
      <c r="AC13" s="1074">
        <f t="shared" si="19"/>
        <v>42178.798834000001</v>
      </c>
      <c r="AD13" s="1499">
        <v>507672.5626740001</v>
      </c>
      <c r="AE13" s="1054">
        <f t="shared" ref="AE13:AP13" si="20">AE89</f>
        <v>42730.275371999996</v>
      </c>
      <c r="AF13" s="1054">
        <f t="shared" si="20"/>
        <v>35995.056358000002</v>
      </c>
      <c r="AG13" s="1054">
        <f t="shared" si="20"/>
        <v>37313.116861000002</v>
      </c>
      <c r="AH13" s="1054">
        <f t="shared" si="20"/>
        <v>39255.810857999997</v>
      </c>
      <c r="AI13" s="1054">
        <f t="shared" si="20"/>
        <v>35017.420694</v>
      </c>
      <c r="AJ13" s="1054">
        <f t="shared" si="20"/>
        <v>35584.185872000002</v>
      </c>
      <c r="AK13" s="1054">
        <f t="shared" si="20"/>
        <v>32718.948698</v>
      </c>
      <c r="AL13" s="1054">
        <f t="shared" si="20"/>
        <v>53393.259669999999</v>
      </c>
      <c r="AM13" s="1054">
        <f t="shared" si="20"/>
        <v>48744.124084000003</v>
      </c>
      <c r="AN13" s="1054">
        <f t="shared" si="20"/>
        <v>61926.928742999997</v>
      </c>
      <c r="AO13" s="1054">
        <f t="shared" si="20"/>
        <v>47839.390177000001</v>
      </c>
      <c r="AP13" s="1055">
        <f t="shared" si="20"/>
        <v>37154.045287000001</v>
      </c>
      <c r="AQ13" s="1396">
        <v>497702.723245</v>
      </c>
      <c r="AR13" s="1335">
        <v>31407.969395</v>
      </c>
      <c r="AS13" s="1335">
        <v>51050.981568000003</v>
      </c>
      <c r="AT13" s="1335">
        <v>36369.040698999997</v>
      </c>
      <c r="AU13" s="1335">
        <v>33767.389641000002</v>
      </c>
      <c r="AV13" s="1335">
        <v>36709.363018999997</v>
      </c>
      <c r="AW13" s="1335">
        <v>39852.305031999997</v>
      </c>
      <c r="AX13" s="1335">
        <v>29267.988764999998</v>
      </c>
      <c r="AY13" s="1335">
        <v>54467.72666</v>
      </c>
      <c r="AZ13" s="1335">
        <v>34249.629460999997</v>
      </c>
      <c r="BA13" s="1335">
        <v>76985.843899</v>
      </c>
      <c r="BB13" s="1335">
        <v>41474.087357999997</v>
      </c>
      <c r="BC13" s="1335">
        <v>32100.397747999999</v>
      </c>
      <c r="BD13" s="1345">
        <f>SUM(BE13:BP13)</f>
        <v>452793.75039300002</v>
      </c>
      <c r="BE13" s="1777">
        <f>무선!AS196</f>
        <v>32619.489231</v>
      </c>
      <c r="BF13" s="1335">
        <f>무선!AT196</f>
        <v>52658.672906</v>
      </c>
      <c r="BG13" s="1335">
        <f>무선!AU196</f>
        <v>34183.855597000002</v>
      </c>
      <c r="BH13" s="1335">
        <f>무선!AV196</f>
        <v>29456.878303000001</v>
      </c>
      <c r="BI13" s="1335">
        <f>무선!AW196</f>
        <v>31207.730737000002</v>
      </c>
      <c r="BJ13" s="1335">
        <f>무선!AX196</f>
        <v>24727.282380000001</v>
      </c>
      <c r="BK13" s="1335">
        <f>무선!AY196</f>
        <v>22153.120198000001</v>
      </c>
      <c r="BL13" s="1335">
        <f>무선!AZ196</f>
        <v>57599.764281999996</v>
      </c>
      <c r="BM13" s="1335">
        <f>무선!BA196</f>
        <v>27379.614848000001</v>
      </c>
      <c r="BN13" s="1335">
        <f>무선!BB196</f>
        <v>77633.182365000001</v>
      </c>
      <c r="BO13" s="1335">
        <f>무선!BC196</f>
        <v>34411.766621000002</v>
      </c>
      <c r="BP13" s="1335">
        <f>무선!BD196</f>
        <v>28762.392925</v>
      </c>
      <c r="BQ13" s="1345">
        <f t="shared" ref="BQ13:BQ19" si="21">SUM(BR13:CC13)</f>
        <v>545251.05203400005</v>
      </c>
      <c r="BR13" s="1777">
        <f>무선!BF196</f>
        <v>94006.421659</v>
      </c>
      <c r="BS13" s="1777">
        <f>무선!BG196</f>
        <v>42755.353878000002</v>
      </c>
      <c r="BT13" s="1777">
        <f>무선!BH196</f>
        <v>36705.735073999997</v>
      </c>
      <c r="BU13" s="1777">
        <f>무선!BI196</f>
        <v>28788.901774999998</v>
      </c>
      <c r="BV13" s="1777">
        <f>무선!BJ196</f>
        <v>23800.012124000001</v>
      </c>
      <c r="BW13" s="1777">
        <f>무선!BK196</f>
        <v>43133.398293999999</v>
      </c>
      <c r="BX13" s="1777">
        <f>무선!BL196</f>
        <v>49263.717124000003</v>
      </c>
      <c r="BY13" s="1777">
        <f>무선!BM196</f>
        <v>36122.709441999999</v>
      </c>
      <c r="BZ13" s="1777">
        <f>무선!BN196</f>
        <v>66771.170180000001</v>
      </c>
      <c r="CA13" s="1777">
        <f>무선!BO196</f>
        <v>66228.134586999993</v>
      </c>
      <c r="CB13" s="1777">
        <f>무선!BP196</f>
        <v>28592.329056999999</v>
      </c>
      <c r="CC13" s="1778">
        <f>무선!BQ196</f>
        <v>29083.168839999998</v>
      </c>
      <c r="CD13" s="1345">
        <f t="shared" ref="CD13:CD19" si="22">SUM(CE13:CP13)</f>
        <v>467696.06741399999</v>
      </c>
      <c r="CE13" s="1777">
        <f>무선!BS196</f>
        <v>37748.240117000001</v>
      </c>
      <c r="CF13" s="1777">
        <f>무선!BT196</f>
        <v>73719.830149000001</v>
      </c>
      <c r="CG13" s="1777">
        <f>무선!BU196</f>
        <v>36849.674788999997</v>
      </c>
      <c r="CH13" s="1777">
        <f>무선!BV196</f>
        <v>24345.806517000001</v>
      </c>
      <c r="CI13" s="1777">
        <f>무선!BW196</f>
        <v>28703.541559000001</v>
      </c>
      <c r="CJ13" s="1777">
        <f>무선!BX196</f>
        <v>31955.447297999999</v>
      </c>
      <c r="CK13" s="1777">
        <f>무선!BY196</f>
        <v>49341.568697000002</v>
      </c>
      <c r="CL13" s="1777">
        <f>무선!BZ196</f>
        <v>31317.966243999999</v>
      </c>
      <c r="CM13" s="1777">
        <f>무선!CA196</f>
        <v>61185.294778000003</v>
      </c>
      <c r="CN13" s="1777">
        <f>무선!CB196</f>
        <v>36572.221931</v>
      </c>
      <c r="CO13" s="1777">
        <f>무선!CC196</f>
        <v>33672.216888000003</v>
      </c>
      <c r="CP13" s="1778">
        <f>무선!CD196</f>
        <v>22284.258447</v>
      </c>
      <c r="CQ13" s="2576">
        <f t="shared" ref="CQ13:CQ19" si="23">SUM(CR13:DC13)</f>
        <v>530095.79584950197</v>
      </c>
      <c r="CR13" s="2922">
        <f>CR89+CR137</f>
        <v>35875.873243580354</v>
      </c>
      <c r="CS13" s="2922">
        <f t="shared" ref="CS13:DC13" si="24">CS89+CS137</f>
        <v>34959.748301790925</v>
      </c>
      <c r="CT13" s="2922">
        <f t="shared" si="24"/>
        <v>69109.644624067514</v>
      </c>
      <c r="CU13" s="2922">
        <f t="shared" si="24"/>
        <v>39703.571799630794</v>
      </c>
      <c r="CV13" s="2922">
        <f t="shared" si="24"/>
        <v>39800.230029355313</v>
      </c>
      <c r="CW13" s="2922">
        <f t="shared" si="24"/>
        <v>36518.977025860499</v>
      </c>
      <c r="CX13" s="2922">
        <f t="shared" si="24"/>
        <v>51929.962533440863</v>
      </c>
      <c r="CY13" s="1336">
        <f t="shared" si="24"/>
        <v>40476.295715046603</v>
      </c>
      <c r="CZ13" s="1336">
        <f t="shared" si="24"/>
        <v>64934.654221022232</v>
      </c>
      <c r="DA13" s="1336">
        <f t="shared" si="24"/>
        <v>42256.143381977548</v>
      </c>
      <c r="DB13" s="1336">
        <f t="shared" si="24"/>
        <v>37335.184025268973</v>
      </c>
      <c r="DC13" s="2284">
        <f t="shared" si="24"/>
        <v>37195.510948460433</v>
      </c>
      <c r="DD13" s="2766"/>
      <c r="DE13" s="2587"/>
      <c r="DF13" s="2587"/>
      <c r="DG13" s="2969">
        <f t="shared" si="14"/>
        <v>0.20419297209988474</v>
      </c>
      <c r="DH13" s="2969">
        <f t="shared" si="15"/>
        <v>-0.14223720308413823</v>
      </c>
      <c r="DI13" s="2969">
        <f t="shared" si="16"/>
        <v>0.1334193994414461</v>
      </c>
      <c r="DJ13" s="2968">
        <f t="shared" ref="DJ13:DJ52" si="25">BQ13-BD13</f>
        <v>92457.301641000027</v>
      </c>
      <c r="DK13" s="2968">
        <f t="shared" ref="DK13:DK52" si="26">CD13-BQ13</f>
        <v>-77554.984620000061</v>
      </c>
      <c r="DL13" s="2968">
        <f t="shared" si="17"/>
        <v>62399.72843550198</v>
      </c>
      <c r="DM13" s="2544"/>
      <c r="DN13" s="2572"/>
      <c r="DO13" s="2572"/>
      <c r="DP13" s="2611"/>
    </row>
    <row r="14" spans="1:122">
      <c r="B14" s="60" t="s">
        <v>59</v>
      </c>
      <c r="C14" s="61"/>
      <c r="D14" s="65"/>
      <c r="E14" s="1337"/>
      <c r="F14" s="1337"/>
      <c r="G14" s="1337"/>
      <c r="H14" s="1337"/>
      <c r="I14" s="1337"/>
      <c r="J14" s="1337"/>
      <c r="K14" s="1337"/>
      <c r="L14" s="1337"/>
      <c r="M14" s="1337"/>
      <c r="N14" s="1337"/>
      <c r="O14" s="1337"/>
      <c r="P14" s="1337"/>
      <c r="Q14" s="1338">
        <f t="shared" si="18"/>
        <v>177844.08840345455</v>
      </c>
      <c r="R14" s="1337">
        <f t="shared" ref="R14:AC14" si="27">R90</f>
        <v>14438.566949</v>
      </c>
      <c r="S14" s="1337">
        <f t="shared" si="27"/>
        <v>14275.074884000001</v>
      </c>
      <c r="T14" s="1337">
        <f t="shared" si="27"/>
        <v>15096.183108000001</v>
      </c>
      <c r="U14" s="1337">
        <f t="shared" si="27"/>
        <v>14086.401490000002</v>
      </c>
      <c r="V14" s="1337">
        <f t="shared" si="27"/>
        <v>14748.588387000002</v>
      </c>
      <c r="W14" s="1337">
        <f t="shared" si="27"/>
        <v>14114.212821000001</v>
      </c>
      <c r="X14" s="1337">
        <f t="shared" si="27"/>
        <v>14277.361410000001</v>
      </c>
      <c r="Y14" s="1337">
        <f t="shared" si="27"/>
        <v>15082.128938000002</v>
      </c>
      <c r="Z14" s="1337">
        <f t="shared" si="27"/>
        <v>14434.954535000001</v>
      </c>
      <c r="AA14" s="1337">
        <f t="shared" si="27"/>
        <v>15747.706932000001</v>
      </c>
      <c r="AB14" s="1337">
        <f t="shared" si="27"/>
        <v>17556.826961454546</v>
      </c>
      <c r="AC14" s="1339">
        <f t="shared" si="27"/>
        <v>13986.081987999998</v>
      </c>
      <c r="AD14" s="1500">
        <v>202500.26226699998</v>
      </c>
      <c r="AE14" s="1056">
        <f t="shared" ref="AE14:AP14" si="28">AE90</f>
        <v>13996.291066000002</v>
      </c>
      <c r="AF14" s="1056">
        <f t="shared" si="28"/>
        <v>14702.679154999994</v>
      </c>
      <c r="AG14" s="1056">
        <f t="shared" si="28"/>
        <v>13647.864373000002</v>
      </c>
      <c r="AH14" s="1056">
        <f t="shared" si="28"/>
        <v>14227.140114000003</v>
      </c>
      <c r="AI14" s="1056">
        <f t="shared" si="28"/>
        <v>16087.006918999998</v>
      </c>
      <c r="AJ14" s="1056">
        <f t="shared" si="28"/>
        <v>17479.494648</v>
      </c>
      <c r="AK14" s="1056">
        <f t="shared" si="28"/>
        <v>16870.461414999998</v>
      </c>
      <c r="AL14" s="1056">
        <f t="shared" si="28"/>
        <v>18719.869114999998</v>
      </c>
      <c r="AM14" s="1056">
        <f t="shared" si="28"/>
        <v>17094.282085999999</v>
      </c>
      <c r="AN14" s="1056">
        <f t="shared" si="28"/>
        <v>18547.932944</v>
      </c>
      <c r="AO14" s="1056">
        <f t="shared" si="28"/>
        <v>16588.092132999998</v>
      </c>
      <c r="AP14" s="1057">
        <f t="shared" si="28"/>
        <v>24539.148299000004</v>
      </c>
      <c r="AQ14" s="99">
        <v>230829.64198900003</v>
      </c>
      <c r="AR14" s="1337">
        <v>15190.779486000001</v>
      </c>
      <c r="AS14" s="1337">
        <v>17626.050108000003</v>
      </c>
      <c r="AT14" s="1337">
        <v>15516.56783</v>
      </c>
      <c r="AU14" s="1337">
        <v>17768.316217</v>
      </c>
      <c r="AV14" s="1337">
        <v>19526.601709000002</v>
      </c>
      <c r="AW14" s="1337">
        <v>21055.114095000001</v>
      </c>
      <c r="AX14" s="1337">
        <v>19366.182797000001</v>
      </c>
      <c r="AY14" s="1337">
        <v>22018.423569000002</v>
      </c>
      <c r="AZ14" s="1337">
        <v>18716.146301000001</v>
      </c>
      <c r="BA14" s="1337">
        <v>18868.793298999997</v>
      </c>
      <c r="BB14" s="1337">
        <v>16769.944674999999</v>
      </c>
      <c r="BC14" s="1337">
        <v>28406.721903000001</v>
      </c>
      <c r="BD14" s="99">
        <f>SUM(BE14:BP14)</f>
        <v>242340.71827500002</v>
      </c>
      <c r="BE14" s="1337">
        <f t="shared" ref="BE14:BP14" si="29">SUM(BE15:BE17)</f>
        <v>14817.758666000002</v>
      </c>
      <c r="BF14" s="1337">
        <f t="shared" si="29"/>
        <v>21038.458344999999</v>
      </c>
      <c r="BG14" s="1337">
        <f t="shared" si="29"/>
        <v>17865.750126999999</v>
      </c>
      <c r="BH14" s="1337">
        <f t="shared" si="29"/>
        <v>19530.239898</v>
      </c>
      <c r="BI14" s="1337">
        <f t="shared" si="29"/>
        <v>19882.196842999998</v>
      </c>
      <c r="BJ14" s="1337">
        <f t="shared" si="29"/>
        <v>22499.800076000003</v>
      </c>
      <c r="BK14" s="1337">
        <f t="shared" si="29"/>
        <v>19052.946779000005</v>
      </c>
      <c r="BL14" s="1337">
        <f t="shared" si="29"/>
        <v>26934.656909999998</v>
      </c>
      <c r="BM14" s="1337">
        <f t="shared" si="29"/>
        <v>19595.802261000001</v>
      </c>
      <c r="BN14" s="1337">
        <f t="shared" si="29"/>
        <v>24036.106385999999</v>
      </c>
      <c r="BO14" s="1337">
        <f t="shared" si="29"/>
        <v>16993.880231000003</v>
      </c>
      <c r="BP14" s="1337">
        <f t="shared" si="29"/>
        <v>20093.121752999996</v>
      </c>
      <c r="BQ14" s="99">
        <f t="shared" si="21"/>
        <v>262056.61925000002</v>
      </c>
      <c r="BR14" s="1779">
        <f t="shared" ref="BR14:CC14" si="30">SUM(BR15:BR17)</f>
        <v>24999.382110000002</v>
      </c>
      <c r="BS14" s="1779">
        <f t="shared" si="30"/>
        <v>18730.840139</v>
      </c>
      <c r="BT14" s="1779">
        <f t="shared" si="30"/>
        <v>19062.472797999999</v>
      </c>
      <c r="BU14" s="1779">
        <f t="shared" si="30"/>
        <v>21262.775169999997</v>
      </c>
      <c r="BV14" s="1779">
        <f t="shared" si="30"/>
        <v>19196.817566000002</v>
      </c>
      <c r="BW14" s="1779">
        <f>SUM(BW15:BW17)</f>
        <v>18824.600672</v>
      </c>
      <c r="BX14" s="1779">
        <f t="shared" si="30"/>
        <v>26971.788612999997</v>
      </c>
      <c r="BY14" s="1779">
        <f t="shared" si="30"/>
        <v>20680.222065000002</v>
      </c>
      <c r="BZ14" s="1779">
        <f t="shared" si="30"/>
        <v>26841.511583000003</v>
      </c>
      <c r="CA14" s="1779">
        <f t="shared" si="30"/>
        <v>21971.045542</v>
      </c>
      <c r="CB14" s="1779">
        <f t="shared" si="30"/>
        <v>20895.72622</v>
      </c>
      <c r="CC14" s="1780">
        <f t="shared" si="30"/>
        <v>22619.436771999997</v>
      </c>
      <c r="CD14" s="2011">
        <f t="shared" si="22"/>
        <v>285761.96205099998</v>
      </c>
      <c r="CE14" s="1928">
        <f t="shared" ref="CE14:CP14" si="31">SUM(CE15:CE17)</f>
        <v>18315.592795</v>
      </c>
      <c r="CF14" s="1928">
        <f t="shared" si="31"/>
        <v>26609.562309000001</v>
      </c>
      <c r="CG14" s="1928">
        <f t="shared" si="31"/>
        <v>20073.380488999999</v>
      </c>
      <c r="CH14" s="1928">
        <f t="shared" si="31"/>
        <v>20606.007571999999</v>
      </c>
      <c r="CI14" s="1928">
        <f t="shared" si="31"/>
        <v>23032.639518</v>
      </c>
      <c r="CJ14" s="1928">
        <f>SUM(CJ15:CJ17)</f>
        <v>22540.500103000002</v>
      </c>
      <c r="CK14" s="1928">
        <f t="shared" si="31"/>
        <v>31679.268873000001</v>
      </c>
      <c r="CL14" s="1928">
        <f t="shared" si="31"/>
        <v>22437.498305999998</v>
      </c>
      <c r="CM14" s="1928">
        <f t="shared" si="31"/>
        <v>28099.599035999996</v>
      </c>
      <c r="CN14" s="1928">
        <f t="shared" si="31"/>
        <v>20669.313127999998</v>
      </c>
      <c r="CO14" s="1928">
        <f t="shared" si="31"/>
        <v>23265.863159</v>
      </c>
      <c r="CP14" s="1929">
        <f t="shared" si="31"/>
        <v>28432.736762999994</v>
      </c>
      <c r="CQ14" s="2576">
        <f t="shared" si="23"/>
        <v>286190.77186125511</v>
      </c>
      <c r="CR14" s="2927">
        <f>SUM(CR15:CR17)</f>
        <v>22261.175356997821</v>
      </c>
      <c r="CS14" s="2927">
        <f>SUM(CS15:CS17)</f>
        <v>21499.229071493013</v>
      </c>
      <c r="CT14" s="2927">
        <f>SUM(CT15:CT17)</f>
        <v>26403.045885391199</v>
      </c>
      <c r="CU14" s="2927">
        <f>SUM(CU15:CU17)</f>
        <v>22807.339055257202</v>
      </c>
      <c r="CV14" s="2927">
        <f>SUM(CV15:CV17)</f>
        <v>22779.57683878062</v>
      </c>
      <c r="CW14" s="2927">
        <f t="shared" ref="CW14:DC14" si="32">SUM(CW15:CW17)</f>
        <v>22249.484494378306</v>
      </c>
      <c r="CX14" s="2927">
        <f t="shared" si="32"/>
        <v>28144.782786260937</v>
      </c>
      <c r="CY14" s="2928">
        <f t="shared" si="32"/>
        <v>23267.045275054119</v>
      </c>
      <c r="CZ14" s="2928">
        <f t="shared" si="32"/>
        <v>27567.441843210912</v>
      </c>
      <c r="DA14" s="2928">
        <f t="shared" si="32"/>
        <v>24068.391805721152</v>
      </c>
      <c r="DB14" s="2928">
        <f t="shared" si="32"/>
        <v>22330.570649278139</v>
      </c>
      <c r="DC14" s="2285">
        <f t="shared" si="32"/>
        <v>22812.688799431689</v>
      </c>
      <c r="DD14" s="2766"/>
      <c r="DE14" s="2587"/>
      <c r="DF14" s="2587"/>
      <c r="DG14" s="1913">
        <f t="shared" si="14"/>
        <v>8.1356121725392638E-2</v>
      </c>
      <c r="DH14" s="1913">
        <f t="shared" si="15"/>
        <v>9.0458859115423618E-2</v>
      </c>
      <c r="DI14" s="2970">
        <f t="shared" si="16"/>
        <v>1.5005839376851515E-3</v>
      </c>
      <c r="DJ14" s="2968">
        <f t="shared" si="25"/>
        <v>19715.900974999997</v>
      </c>
      <c r="DK14" s="2968">
        <f t="shared" si="26"/>
        <v>23705.342800999962</v>
      </c>
      <c r="DL14" s="2968">
        <f t="shared" si="17"/>
        <v>428.80981025513029</v>
      </c>
      <c r="DM14" s="2544"/>
      <c r="DN14" s="2987"/>
      <c r="DO14" s="28"/>
      <c r="DP14" s="2603"/>
    </row>
    <row r="15" spans="1:122">
      <c r="B15" s="40" t="s">
        <v>120</v>
      </c>
      <c r="C15" s="41"/>
      <c r="D15" s="66"/>
      <c r="E15" s="1340"/>
      <c r="F15" s="1340"/>
      <c r="G15" s="1340"/>
      <c r="H15" s="1340"/>
      <c r="I15" s="1340"/>
      <c r="J15" s="1340"/>
      <c r="K15" s="1340"/>
      <c r="L15" s="1340"/>
      <c r="M15" s="1340"/>
      <c r="N15" s="1340"/>
      <c r="O15" s="1340"/>
      <c r="P15" s="1340"/>
      <c r="Q15" s="64">
        <f t="shared" si="18"/>
        <v>85819.200350999992</v>
      </c>
      <c r="R15" s="1340">
        <f t="shared" ref="R15:AC15" si="33">R91</f>
        <v>6650.5845959999997</v>
      </c>
      <c r="S15" s="1340">
        <f t="shared" si="33"/>
        <v>6165.5319900000004</v>
      </c>
      <c r="T15" s="1340">
        <f t="shared" si="33"/>
        <v>6765.5567510000019</v>
      </c>
      <c r="U15" s="1340">
        <f t="shared" si="33"/>
        <v>6273.3707990000003</v>
      </c>
      <c r="V15" s="1340">
        <f t="shared" si="33"/>
        <v>7173.6810569999998</v>
      </c>
      <c r="W15" s="1340">
        <f t="shared" si="33"/>
        <v>6740.7588590000014</v>
      </c>
      <c r="X15" s="1340">
        <f t="shared" si="33"/>
        <v>6615.3399130000007</v>
      </c>
      <c r="Y15" s="1340">
        <f t="shared" si="33"/>
        <v>7314.1149129999994</v>
      </c>
      <c r="Z15" s="1340">
        <f t="shared" si="33"/>
        <v>6997.9594889999998</v>
      </c>
      <c r="AA15" s="1340">
        <f t="shared" si="33"/>
        <v>8236.9230960000004</v>
      </c>
      <c r="AB15" s="1340">
        <f t="shared" si="33"/>
        <v>10352.138165</v>
      </c>
      <c r="AC15" s="1341">
        <f t="shared" si="33"/>
        <v>6533.2407229999999</v>
      </c>
      <c r="AD15" s="1119">
        <v>106845.74045100001</v>
      </c>
      <c r="AE15" s="1058">
        <f t="shared" ref="AE15:AP15" si="34">AE91</f>
        <v>6775.9317260000007</v>
      </c>
      <c r="AF15" s="1058">
        <f t="shared" si="34"/>
        <v>7000.7579199999982</v>
      </c>
      <c r="AG15" s="1058">
        <f t="shared" si="34"/>
        <v>6248.7498330000026</v>
      </c>
      <c r="AH15" s="1058">
        <f t="shared" si="34"/>
        <v>5643.6670949999998</v>
      </c>
      <c r="AI15" s="1058">
        <f t="shared" si="34"/>
        <v>8252.1390840000004</v>
      </c>
      <c r="AJ15" s="1058">
        <f t="shared" si="34"/>
        <v>9604.1538750000018</v>
      </c>
      <c r="AK15" s="1058">
        <f t="shared" si="34"/>
        <v>8850.5992729999998</v>
      </c>
      <c r="AL15" s="1058">
        <f t="shared" si="34"/>
        <v>10662.664535999998</v>
      </c>
      <c r="AM15" s="1058">
        <f t="shared" si="34"/>
        <v>9115.927846999999</v>
      </c>
      <c r="AN15" s="1058">
        <f t="shared" si="34"/>
        <v>10095.803033000002</v>
      </c>
      <c r="AO15" s="1058">
        <f t="shared" si="34"/>
        <v>8363.3351179999972</v>
      </c>
      <c r="AP15" s="1059">
        <f t="shared" si="34"/>
        <v>16232.011111000002</v>
      </c>
      <c r="AQ15" s="64">
        <v>124108.54401900002</v>
      </c>
      <c r="AR15" s="1340">
        <v>6767.7050410000011</v>
      </c>
      <c r="AS15" s="1340">
        <v>9334.1094460000022</v>
      </c>
      <c r="AT15" s="1340">
        <v>6668.6359429999993</v>
      </c>
      <c r="AU15" s="1340">
        <v>9655.1789549999994</v>
      </c>
      <c r="AV15" s="1340">
        <v>10201.928487000001</v>
      </c>
      <c r="AW15" s="1340">
        <v>10770.269567000001</v>
      </c>
      <c r="AX15" s="1340">
        <v>10429.413284</v>
      </c>
      <c r="AY15" s="1340">
        <v>12880.38249</v>
      </c>
      <c r="AZ15" s="1340">
        <v>9115.4753830000009</v>
      </c>
      <c r="BA15" s="1340">
        <v>10884.660195</v>
      </c>
      <c r="BB15" s="1340">
        <v>7591.0747559999991</v>
      </c>
      <c r="BC15" s="1340">
        <v>19809.710472000002</v>
      </c>
      <c r="BD15" s="64">
        <f>SUM(BE15:BP15)</f>
        <v>128744.553939</v>
      </c>
      <c r="BE15" s="1340">
        <f>무선!AS253+유선!AS42</f>
        <v>3992.9752490000001</v>
      </c>
      <c r="BF15" s="1340">
        <f>무선!AT253+유선!AT42</f>
        <v>12618.733026</v>
      </c>
      <c r="BG15" s="1340">
        <f>무선!AU253+유선!AU42</f>
        <v>7848.7283399999997</v>
      </c>
      <c r="BH15" s="1340">
        <f>무선!AV253+유선!AV42</f>
        <v>10654.674633000001</v>
      </c>
      <c r="BI15" s="1340">
        <f>무선!AW253+유선!AW42</f>
        <v>10744.778007999999</v>
      </c>
      <c r="BJ15" s="1340">
        <f>무선!AX253+유선!AX42</f>
        <v>12697.076551999999</v>
      </c>
      <c r="BK15" s="1340">
        <f>무선!AY253+유선!AY42</f>
        <v>9472.0604570000032</v>
      </c>
      <c r="BL15" s="1340">
        <f>무선!AZ253+유선!AZ42</f>
        <v>17659.733647000001</v>
      </c>
      <c r="BM15" s="1340">
        <f>무선!BA253+유선!BA42</f>
        <v>9901.3854940000001</v>
      </c>
      <c r="BN15" s="1340">
        <f>무선!BB253+유선!BB42</f>
        <v>14600.524173</v>
      </c>
      <c r="BO15" s="1340">
        <f>무선!BC253+유선!BC42</f>
        <v>8048.7953580000003</v>
      </c>
      <c r="BP15" s="1340">
        <f>무선!BD253+유선!BD42</f>
        <v>10505.089002000001</v>
      </c>
      <c r="BQ15" s="64">
        <f t="shared" si="21"/>
        <v>142104.79356000002</v>
      </c>
      <c r="BR15" s="1781">
        <f>무선!BF253+유선!BF42</f>
        <v>14954.501179999999</v>
      </c>
      <c r="BS15" s="1781">
        <f>무선!BG253+유선!BG42</f>
        <v>9055.153158000001</v>
      </c>
      <c r="BT15" s="1781">
        <f>무선!BH253+유선!BH42</f>
        <v>9936.2415919999985</v>
      </c>
      <c r="BU15" s="1781">
        <f>무선!BI253+유선!BI42</f>
        <v>10836.779321</v>
      </c>
      <c r="BV15" s="1781">
        <f>무선!BJ253+유선!BJ42</f>
        <v>10013.736176</v>
      </c>
      <c r="BW15" s="1781">
        <f>무선!BK253+유선!BK42</f>
        <v>9104.285996999999</v>
      </c>
      <c r="BX15" s="1781">
        <f>무선!BL253+유선!BL42</f>
        <v>16880.275795999998</v>
      </c>
      <c r="BY15" s="1781">
        <f>무선!BM253+유선!BM42</f>
        <v>10283.880086000001</v>
      </c>
      <c r="BZ15" s="1781">
        <f>무선!BN253+유선!BN42</f>
        <v>16062.164648000002</v>
      </c>
      <c r="CA15" s="1781">
        <f>무선!BO253+유선!BO42</f>
        <v>12544.148455</v>
      </c>
      <c r="CB15" s="1781">
        <f>무선!BP253+유선!BP42</f>
        <v>10599.924213</v>
      </c>
      <c r="CC15" s="1782">
        <f>무선!BQ253+유선!BQ42</f>
        <v>11833.702938</v>
      </c>
      <c r="CD15" s="1710">
        <f t="shared" si="22"/>
        <v>176217.78853399999</v>
      </c>
      <c r="CE15" s="1930">
        <f>무선!BS253+유선!BS42</f>
        <v>9981.581279</v>
      </c>
      <c r="CF15" s="1930">
        <f>무선!BT253+유선!BT42</f>
        <v>17442.114971999999</v>
      </c>
      <c r="CG15" s="1930">
        <f>무선!BU253+유선!BU42</f>
        <v>11113.884687</v>
      </c>
      <c r="CH15" s="1930">
        <f>무선!BV253+유선!BV42</f>
        <v>10634.723738999999</v>
      </c>
      <c r="CI15" s="1930">
        <f>무선!BW253+유선!BW42</f>
        <v>14265.010226</v>
      </c>
      <c r="CJ15" s="1930">
        <f>무선!BX253+유선!BX42</f>
        <v>12407.777096</v>
      </c>
      <c r="CK15" s="1930">
        <f>무선!BY253+유선!BY42</f>
        <v>22463.789822999999</v>
      </c>
      <c r="CL15" s="1930">
        <f>무선!BZ253+유선!BZ42</f>
        <v>13585.283697000001</v>
      </c>
      <c r="CM15" s="1930">
        <f>무선!CA253+유선!CA42</f>
        <v>18964.163785000001</v>
      </c>
      <c r="CN15" s="1930">
        <f>무선!CB253+유선!CB42</f>
        <v>12333.567854000001</v>
      </c>
      <c r="CO15" s="1930">
        <f>무선!CC253+유선!CC42</f>
        <v>14479.801357</v>
      </c>
      <c r="CP15" s="1931">
        <f>무선!CD253+유선!CD42</f>
        <v>18546.090018999999</v>
      </c>
      <c r="CQ15" s="2578">
        <f t="shared" si="23"/>
        <v>180215.46798443847</v>
      </c>
      <c r="CR15" s="2929">
        <f t="shared" ref="CR15:DC15" si="35">CR91+CR139</f>
        <v>13390.153317874234</v>
      </c>
      <c r="CS15" s="2929">
        <f t="shared" si="35"/>
        <v>12679.196255065757</v>
      </c>
      <c r="CT15" s="2929">
        <f t="shared" si="35"/>
        <v>17591.42517073104</v>
      </c>
      <c r="CU15" s="2929">
        <f t="shared" si="35"/>
        <v>13807.486212937776</v>
      </c>
      <c r="CV15" s="2929">
        <f t="shared" si="35"/>
        <v>14001.156920216816</v>
      </c>
      <c r="CW15" s="2929">
        <f t="shared" si="35"/>
        <v>13490.29629353213</v>
      </c>
      <c r="CX15" s="2929">
        <f t="shared" si="35"/>
        <v>19273.969927557999</v>
      </c>
      <c r="CY15" s="2930">
        <f t="shared" si="35"/>
        <v>14451.700689949457</v>
      </c>
      <c r="CZ15" s="2930">
        <f t="shared" si="35"/>
        <v>18746.77411942399</v>
      </c>
      <c r="DA15" s="2930">
        <f t="shared" si="35"/>
        <v>15249.404674712381</v>
      </c>
      <c r="DB15" s="2930">
        <f t="shared" si="35"/>
        <v>13523.296544684637</v>
      </c>
      <c r="DC15" s="2286">
        <f t="shared" si="35"/>
        <v>14010.607857752233</v>
      </c>
      <c r="DD15" s="2766"/>
      <c r="DE15" s="2587"/>
      <c r="DF15" s="2587"/>
      <c r="DG15" s="1913">
        <f t="shared" si="14"/>
        <v>0.103773240981752</v>
      </c>
      <c r="DH15" s="1913">
        <f t="shared" si="15"/>
        <v>0.2400552023573832</v>
      </c>
      <c r="DI15" s="2969">
        <f t="shared" si="16"/>
        <v>2.2686015320565467E-2</v>
      </c>
      <c r="DJ15" s="2968">
        <f t="shared" si="25"/>
        <v>13360.239621000015</v>
      </c>
      <c r="DK15" s="2968">
        <f>CD15-BQ15</f>
        <v>34112.994973999972</v>
      </c>
      <c r="DL15" s="2968">
        <f t="shared" si="17"/>
        <v>3997.6794504384743</v>
      </c>
      <c r="DM15" s="2544"/>
      <c r="DN15" s="28"/>
      <c r="DO15" s="28"/>
    </row>
    <row r="16" spans="1:122">
      <c r="B16" s="40" t="s">
        <v>121</v>
      </c>
      <c r="C16" s="42"/>
      <c r="D16" s="797"/>
      <c r="E16" s="1342"/>
      <c r="F16" s="1342"/>
      <c r="G16" s="1342"/>
      <c r="H16" s="1342"/>
      <c r="I16" s="1342"/>
      <c r="J16" s="1342"/>
      <c r="K16" s="1342"/>
      <c r="L16" s="1342"/>
      <c r="M16" s="1342"/>
      <c r="N16" s="1342"/>
      <c r="O16" s="1342"/>
      <c r="P16" s="1342"/>
      <c r="Q16" s="64">
        <f t="shared" si="18"/>
        <v>50046.036487454548</v>
      </c>
      <c r="R16" s="1342">
        <f t="shared" ref="R16:AC16" si="36">R92</f>
        <v>3887.387898</v>
      </c>
      <c r="S16" s="1342">
        <f t="shared" si="36"/>
        <v>4031.233029</v>
      </c>
      <c r="T16" s="1342">
        <f t="shared" si="36"/>
        <v>4225.2128009999997</v>
      </c>
      <c r="U16" s="1342">
        <f t="shared" si="36"/>
        <v>3943.988859</v>
      </c>
      <c r="V16" s="1342">
        <f t="shared" si="36"/>
        <v>4359.4259570000004</v>
      </c>
      <c r="W16" s="1342">
        <f t="shared" si="36"/>
        <v>4087.7616489999996</v>
      </c>
      <c r="X16" s="1342">
        <f t="shared" si="36"/>
        <v>4106.5561860000007</v>
      </c>
      <c r="Y16" s="1342">
        <f t="shared" si="36"/>
        <v>4486.5415860000003</v>
      </c>
      <c r="Z16" s="1342">
        <f t="shared" si="36"/>
        <v>4249.6813099999999</v>
      </c>
      <c r="AA16" s="1342">
        <f t="shared" si="36"/>
        <v>4383.8211230000006</v>
      </c>
      <c r="AB16" s="1342">
        <f t="shared" si="36"/>
        <v>4066.9407464545457</v>
      </c>
      <c r="AC16" s="1343">
        <f t="shared" si="36"/>
        <v>4217.4853430000003</v>
      </c>
      <c r="AD16" s="1119">
        <v>56993.081637999989</v>
      </c>
      <c r="AE16" s="1060">
        <f t="shared" ref="AE16:AP16" si="37">AE92</f>
        <v>4118.1558699999996</v>
      </c>
      <c r="AF16" s="1060">
        <f t="shared" si="37"/>
        <v>4617.9168099999952</v>
      </c>
      <c r="AG16" s="1060">
        <f t="shared" si="37"/>
        <v>4356.2213520000005</v>
      </c>
      <c r="AH16" s="1060">
        <f t="shared" si="37"/>
        <v>5291.9490050000022</v>
      </c>
      <c r="AI16" s="1060">
        <f t="shared" si="37"/>
        <v>4656.8343689999965</v>
      </c>
      <c r="AJ16" s="1060">
        <f t="shared" si="37"/>
        <v>4758.5660719999987</v>
      </c>
      <c r="AK16" s="1060">
        <f t="shared" si="37"/>
        <v>4675.3641399999988</v>
      </c>
      <c r="AL16" s="1060">
        <f t="shared" si="37"/>
        <v>4966.5687379999981</v>
      </c>
      <c r="AM16" s="1060">
        <f t="shared" si="37"/>
        <v>4642.2715719999997</v>
      </c>
      <c r="AN16" s="1060">
        <f t="shared" si="37"/>
        <v>4967.0652089999994</v>
      </c>
      <c r="AO16" s="1060">
        <f t="shared" si="37"/>
        <v>5046.6019699999997</v>
      </c>
      <c r="AP16" s="1061">
        <f t="shared" si="37"/>
        <v>4895.5665310000004</v>
      </c>
      <c r="AQ16" s="64">
        <v>62536.303876999998</v>
      </c>
      <c r="AR16" s="1342">
        <v>5046.8872659999997</v>
      </c>
      <c r="AS16" s="1342">
        <v>5231.6194939999996</v>
      </c>
      <c r="AT16" s="1342">
        <v>5232.0335229999991</v>
      </c>
      <c r="AU16" s="1342">
        <v>4976.9259599999996</v>
      </c>
      <c r="AV16" s="1342">
        <v>5254.8349369999996</v>
      </c>
      <c r="AW16" s="1342">
        <v>5262.2964089999996</v>
      </c>
      <c r="AX16" s="1342">
        <v>5492.9104879999986</v>
      </c>
      <c r="AY16" s="1342">
        <v>5558.8359849999997</v>
      </c>
      <c r="AZ16" s="1342">
        <v>5405.295865000001</v>
      </c>
      <c r="BA16" s="1342">
        <v>4517.0608099999999</v>
      </c>
      <c r="BB16" s="1342">
        <v>5690.0434689999993</v>
      </c>
      <c r="BC16" s="1342">
        <v>4867.559671</v>
      </c>
      <c r="BD16" s="64">
        <f>SUM(BE16:BP16)</f>
        <v>70035.095862000002</v>
      </c>
      <c r="BE16" s="1342">
        <f>무선!AS116+무선!AS181+유선!AS32+무선!AS129+무선!AS126</f>
        <v>6703.5031749999998</v>
      </c>
      <c r="BF16" s="1342">
        <f>무선!AT116+무선!AT181+유선!AT32+무선!AT129+무선!AT126</f>
        <v>5086.3375660000002</v>
      </c>
      <c r="BG16" s="1342">
        <f>무선!AU116+무선!AU181+유선!AU32+무선!AU129+무선!AU126</f>
        <v>5971.603648000003</v>
      </c>
      <c r="BH16" s="1342">
        <f>무선!AV116+무선!AV181+유선!AV32+무선!AV129+무선!AV126</f>
        <v>5556.7620829999987</v>
      </c>
      <c r="BI16" s="1342">
        <f>무선!AW116+무선!AW181+유선!AW32+무선!AW129+무선!AW126</f>
        <v>5871.6058899999962</v>
      </c>
      <c r="BJ16" s="1342">
        <f>무선!AX116+무선!AX181+유선!AX32+무선!AX129+무선!AX126</f>
        <v>5791.4679450000031</v>
      </c>
      <c r="BK16" s="1342">
        <f>무선!AY116+무선!AY181+유선!AY32+무선!AY129+무선!AY126</f>
        <v>6055.5175100000006</v>
      </c>
      <c r="BL16" s="1342">
        <f>무선!AZ116+무선!AZ181+유선!AZ32+무선!AZ129+무선!AZ126</f>
        <v>5862.3190420000001</v>
      </c>
      <c r="BM16" s="1342">
        <f>무선!BA116+무선!BA181+유선!BA32+무선!BA129+무선!BA126</f>
        <v>5375.0966200000003</v>
      </c>
      <c r="BN16" s="1342">
        <f>무선!BB116+무선!BB181+유선!BB32+무선!BB129+무선!BB126</f>
        <v>6048.1486310000037</v>
      </c>
      <c r="BO16" s="1342">
        <f>무선!BC116+무선!BC181+유선!BC32+무선!BC129+무선!BC126</f>
        <v>5596.4690570000002</v>
      </c>
      <c r="BP16" s="1342">
        <f>무선!BD116+무선!BD181+유선!BD32+무선!BD129+무선!BD126</f>
        <v>6116.2646949999944</v>
      </c>
      <c r="BQ16" s="64">
        <f t="shared" si="21"/>
        <v>68532.327231999996</v>
      </c>
      <c r="BR16" s="1783">
        <f>무선!BF116+무선!BF181+유선!BF32+무선!BF129+무선!BF126+무선!BF127</f>
        <v>5982.54486</v>
      </c>
      <c r="BS16" s="1783">
        <f>무선!BG116+무선!BG181+유선!BG32+무선!BG129+무선!BG126+무선!BG127</f>
        <v>5820.434526</v>
      </c>
      <c r="BT16" s="1783">
        <f>무선!BH116+무선!BH181+유선!BH32+무선!BH129+무선!BH126+무선!BH127</f>
        <v>5775.5821100000003</v>
      </c>
      <c r="BU16" s="1783">
        <f>무선!BI116+무선!BI181+유선!BI32+무선!BI129+무선!BI126+무선!BI127</f>
        <v>5544.538442</v>
      </c>
      <c r="BV16" s="1783">
        <f>무선!BJ116+무선!BJ181+유선!BJ32+무선!BJ129+무선!BJ126+무선!BJ127</f>
        <v>5535.8036609999999</v>
      </c>
      <c r="BW16" s="1783">
        <f>무선!BK116+무선!BK181+유선!BK32+무선!BK129+무선!BK126+무선!BK127</f>
        <v>5512.7946979999997</v>
      </c>
      <c r="BX16" s="1783">
        <f>무선!BL116+무선!BL181+유선!BL32+무선!BL129+무선!BL126+무선!BL127</f>
        <v>5700.9084980000007</v>
      </c>
      <c r="BY16" s="1783">
        <f>무선!BM116+무선!BM181+유선!BM32+무선!BM129+무선!BM126+무선!BM127</f>
        <v>5518.8601709999994</v>
      </c>
      <c r="BZ16" s="1783">
        <f>무선!BN116+무선!BN181+유선!BN32+무선!BN129+무선!BN126+무선!BN127</f>
        <v>5370.5683179999996</v>
      </c>
      <c r="CA16" s="1783">
        <f>무선!BO116+무선!BO181+유선!BO32+무선!BO129+무선!BO126+무선!BO127</f>
        <v>6036.7560839999987</v>
      </c>
      <c r="CB16" s="1783">
        <f>무선!BP116+무선!BP181+유선!BP32+무선!BP129+무선!BP126+무선!BP127</f>
        <v>5024.4769759999999</v>
      </c>
      <c r="CC16" s="1784">
        <f>무선!BQ116+무선!BQ181+유선!BQ32+무선!BQ129+무선!BQ126+무선!BQ127</f>
        <v>6709.0588879999968</v>
      </c>
      <c r="CD16" s="1710">
        <f t="shared" si="22"/>
        <v>61564.254750999993</v>
      </c>
      <c r="CE16" s="1932">
        <f>무선!BS116+무선!BS181+유선!BS32+무선!BS126+무선!BS127+무선!BS129+무선!BS128</f>
        <v>4992.6384159999998</v>
      </c>
      <c r="CF16" s="1932">
        <f>무선!BT116+무선!BT181+유선!BT32+무선!BT126+무선!BT127+무선!BT129+무선!BT128</f>
        <v>5297.0257590000019</v>
      </c>
      <c r="CG16" s="1932">
        <f>무선!BU116+무선!BU181+유선!BU32+무선!BU126+무선!BU127+무선!BU129+무선!BU128</f>
        <v>4926.4714550000008</v>
      </c>
      <c r="CH16" s="1932">
        <f>무선!BV116+무선!BV181+유선!BV32+무선!BV126+무선!BV127+무선!BV129+무선!BV128</f>
        <v>5660.3339919999999</v>
      </c>
      <c r="CI16" s="1932">
        <f>무선!BW116+무선!BW181+유선!BW32+무선!BW126+무선!BW127+무선!BW129+무선!BW128</f>
        <v>4622.4100549999994</v>
      </c>
      <c r="CJ16" s="1932">
        <f>무선!BX116+무선!BX181+유선!BX32+무선!BX126+무선!BX127+무선!BX129+무선!BX128</f>
        <v>5926.0521970000018</v>
      </c>
      <c r="CK16" s="1932">
        <f>무선!BY116+무선!BY181+유선!BY32+무선!BY126+무선!BY127+무선!BY129+무선!BY128</f>
        <v>5327.657830000001</v>
      </c>
      <c r="CL16" s="1932">
        <f>무선!BZ116+무선!BZ181+유선!BZ32+무선!BZ126+무선!BZ127+무선!BZ129+무선!BZ128</f>
        <v>5029.3205839999964</v>
      </c>
      <c r="CM16" s="1932">
        <f>무선!CA116+무선!CA181+유선!CA32+무선!CA126+무선!CA127+무선!CA129+무선!CA128</f>
        <v>5254.1221059999962</v>
      </c>
      <c r="CN16" s="1932">
        <f>무선!CB116+무선!CB181+유선!CB32+무선!CB126+무선!CB127+무선!CB129+무선!CB128</f>
        <v>4402.0951679999971</v>
      </c>
      <c r="CO16" s="1932">
        <f>무선!CC116+무선!CC181+유선!CC32+무선!CC126+무선!CC127+무선!CC129+무선!CC128</f>
        <v>5025.4107280000007</v>
      </c>
      <c r="CP16" s="1933">
        <f>무선!CD116+무선!CD181+유선!CD32+무선!CD126+무선!CD127+무선!CD129+무선!CD128</f>
        <v>5100.7164609999963</v>
      </c>
      <c r="CQ16" s="2578">
        <f t="shared" si="23"/>
        <v>57976.257145533986</v>
      </c>
      <c r="CR16" s="2931">
        <f t="shared" ref="CR16:DC16" si="38">CR92+CR140</f>
        <v>4899.588897683363</v>
      </c>
      <c r="CS16" s="2931">
        <f t="shared" si="38"/>
        <v>4874.7796749870331</v>
      </c>
      <c r="CT16" s="2931">
        <f t="shared" si="38"/>
        <v>4864.4675732199357</v>
      </c>
      <c r="CU16" s="2931">
        <f t="shared" si="38"/>
        <v>4847.5684748792046</v>
      </c>
      <c r="CV16" s="2931">
        <f t="shared" si="38"/>
        <v>4831.4467771235795</v>
      </c>
      <c r="CW16" s="2931">
        <f>CW92+CW140</f>
        <v>4812.2150594059549</v>
      </c>
      <c r="CX16" s="2931">
        <f t="shared" si="38"/>
        <v>4816.1959092627176</v>
      </c>
      <c r="CY16" s="2932">
        <f t="shared" si="38"/>
        <v>4808.5714436644394</v>
      </c>
      <c r="CZ16" s="2932">
        <f t="shared" si="38"/>
        <v>4813.0945823466991</v>
      </c>
      <c r="DA16" s="2932">
        <f t="shared" si="38"/>
        <v>4812.4139895685485</v>
      </c>
      <c r="DB16" s="2932">
        <f t="shared" si="38"/>
        <v>4800.8009631532777</v>
      </c>
      <c r="DC16" s="2287">
        <f t="shared" si="38"/>
        <v>4795.1138002392345</v>
      </c>
      <c r="DD16" s="2766"/>
      <c r="DE16" s="2587"/>
      <c r="DF16" s="2587"/>
      <c r="DG16" s="1913">
        <f t="shared" si="14"/>
        <v>-2.1457365218163216E-2</v>
      </c>
      <c r="DH16" s="2969">
        <f t="shared" si="15"/>
        <v>-0.10167570199989329</v>
      </c>
      <c r="DI16" s="2969">
        <f t="shared" si="16"/>
        <v>-5.8280533403317514E-2</v>
      </c>
      <c r="DJ16" s="2968">
        <f t="shared" si="25"/>
        <v>-1502.7686300000059</v>
      </c>
      <c r="DK16" s="2968">
        <f t="shared" si="26"/>
        <v>-6968.0724810000029</v>
      </c>
      <c r="DL16" s="2968">
        <f t="shared" si="17"/>
        <v>-3587.9976054660074</v>
      </c>
      <c r="DM16" s="2544"/>
      <c r="DN16" s="2988"/>
      <c r="DO16" s="2982"/>
    </row>
    <row r="17" spans="2:120">
      <c r="B17" s="40" t="s">
        <v>122</v>
      </c>
      <c r="C17" s="41"/>
      <c r="D17" s="66"/>
      <c r="E17" s="1340"/>
      <c r="F17" s="1340"/>
      <c r="G17" s="1340"/>
      <c r="H17" s="1340"/>
      <c r="I17" s="1340"/>
      <c r="J17" s="1340"/>
      <c r="K17" s="1340"/>
      <c r="L17" s="1340"/>
      <c r="M17" s="1340"/>
      <c r="N17" s="1340"/>
      <c r="O17" s="1340"/>
      <c r="P17" s="1340"/>
      <c r="Q17" s="64">
        <f t="shared" si="18"/>
        <v>41978.851565000004</v>
      </c>
      <c r="R17" s="1340">
        <f t="shared" ref="R17:AC17" si="39">R93</f>
        <v>3900.5944549999995</v>
      </c>
      <c r="S17" s="1340">
        <f t="shared" si="39"/>
        <v>4078.3098650000002</v>
      </c>
      <c r="T17" s="1340">
        <f t="shared" si="39"/>
        <v>4105.4135559999995</v>
      </c>
      <c r="U17" s="1340">
        <f t="shared" si="39"/>
        <v>3869.0418320000003</v>
      </c>
      <c r="V17" s="1340">
        <f t="shared" si="39"/>
        <v>3215.4813730000001</v>
      </c>
      <c r="W17" s="1340">
        <f t="shared" si="39"/>
        <v>3285.6923129999996</v>
      </c>
      <c r="X17" s="1340">
        <f t="shared" si="39"/>
        <v>3555.4653109999999</v>
      </c>
      <c r="Y17" s="1340">
        <f t="shared" si="39"/>
        <v>3281.4724390000001</v>
      </c>
      <c r="Z17" s="1340">
        <f t="shared" si="39"/>
        <v>3187.3137360000001</v>
      </c>
      <c r="AA17" s="1340">
        <f t="shared" si="39"/>
        <v>3126.9627129999999</v>
      </c>
      <c r="AB17" s="1340">
        <f t="shared" si="39"/>
        <v>3137.7480500000001</v>
      </c>
      <c r="AC17" s="1341">
        <f t="shared" si="39"/>
        <v>3235.3559219999997</v>
      </c>
      <c r="AD17" s="1119">
        <v>38661.440178000004</v>
      </c>
      <c r="AE17" s="1058">
        <f t="shared" ref="AE17:AP17" si="40">AE93</f>
        <v>3102.2034699999999</v>
      </c>
      <c r="AF17" s="1058">
        <f t="shared" si="40"/>
        <v>3084.0044250000001</v>
      </c>
      <c r="AG17" s="1058">
        <f t="shared" si="40"/>
        <v>3042.893188</v>
      </c>
      <c r="AH17" s="1058">
        <f t="shared" si="40"/>
        <v>3291.5240140000001</v>
      </c>
      <c r="AI17" s="1058">
        <f t="shared" si="40"/>
        <v>3178.0334660000003</v>
      </c>
      <c r="AJ17" s="1058">
        <f t="shared" si="40"/>
        <v>3116.7747009999998</v>
      </c>
      <c r="AK17" s="1058">
        <f t="shared" si="40"/>
        <v>3344.4980020000003</v>
      </c>
      <c r="AL17" s="1058">
        <f t="shared" si="40"/>
        <v>3090.6358409999998</v>
      </c>
      <c r="AM17" s="1058">
        <f t="shared" si="40"/>
        <v>3336.0826670000001</v>
      </c>
      <c r="AN17" s="1058">
        <f t="shared" si="40"/>
        <v>3485.0647020000006</v>
      </c>
      <c r="AO17" s="1058">
        <f t="shared" si="40"/>
        <v>3178.1550450000004</v>
      </c>
      <c r="AP17" s="1059">
        <f t="shared" si="40"/>
        <v>3411.5706570000002</v>
      </c>
      <c r="AQ17" s="64">
        <v>44184.794093000004</v>
      </c>
      <c r="AR17" s="1340">
        <v>3376.187179</v>
      </c>
      <c r="AS17" s="1340">
        <v>3060.3211680000004</v>
      </c>
      <c r="AT17" s="1340">
        <v>3615.8983640000001</v>
      </c>
      <c r="AU17" s="1340">
        <v>3136.2113020000002</v>
      </c>
      <c r="AV17" s="1340">
        <v>4069.8382849999998</v>
      </c>
      <c r="AW17" s="1340">
        <v>5022.548119</v>
      </c>
      <c r="AX17" s="1340">
        <v>3443.8590249999997</v>
      </c>
      <c r="AY17" s="1340">
        <v>3579.2050940000004</v>
      </c>
      <c r="AZ17" s="1340">
        <v>4195.3750529999998</v>
      </c>
      <c r="BA17" s="1340">
        <v>3467.0722939999996</v>
      </c>
      <c r="BB17" s="1340">
        <v>3488.82645</v>
      </c>
      <c r="BC17" s="1340">
        <v>3729.4517599999999</v>
      </c>
      <c r="BD17" s="64">
        <f>SUM(BE17:BP17)</f>
        <v>43561.068473999992</v>
      </c>
      <c r="BE17" s="1340">
        <f>기타수익!AQ37+기타수익!AQ40+기타수익!AQ44</f>
        <v>4121.2802419999998</v>
      </c>
      <c r="BF17" s="1340">
        <f>기타수익!AR37+기타수익!AR40+기타수익!AR44</f>
        <v>3333.387753</v>
      </c>
      <c r="BG17" s="1340">
        <f>기타수익!AS37+기타수익!AS40+기타수익!AS44</f>
        <v>4045.4181389999994</v>
      </c>
      <c r="BH17" s="1340">
        <f>기타수익!AT37+기타수익!AT40+기타수익!AT44</f>
        <v>3318.8031819999997</v>
      </c>
      <c r="BI17" s="1340">
        <f>기타수익!AU37+기타수익!AU40+기타수익!AU44</f>
        <v>3265.8129450000001</v>
      </c>
      <c r="BJ17" s="1340">
        <f>기타수익!AV37+기타수익!AV40+기타수익!AV44</f>
        <v>4011.2555790000001</v>
      </c>
      <c r="BK17" s="1340">
        <f>기타수익!AW37+기타수익!AW40+기타수익!AW44</f>
        <v>3525.3688120000002</v>
      </c>
      <c r="BL17" s="1340">
        <f>기타수익!AX37+기타수익!AX40+기타수익!AX44</f>
        <v>3412.6042209999973</v>
      </c>
      <c r="BM17" s="1340">
        <f>기타수익!AY37+기타수익!AY40+기타수익!AY44</f>
        <v>4319.3201470000004</v>
      </c>
      <c r="BN17" s="1340">
        <f>기타수익!AZ37+기타수익!AZ40+기타수익!AZ44</f>
        <v>3387.4335819999997</v>
      </c>
      <c r="BO17" s="1340">
        <f>기타수익!BA37+기타수익!BA40+기타수익!BA44</f>
        <v>3348.615816</v>
      </c>
      <c r="BP17" s="1340">
        <f>기타수익!BB37+기타수익!BB40+기타수익!BB44</f>
        <v>3471.7680559999999</v>
      </c>
      <c r="BQ17" s="64">
        <f t="shared" si="21"/>
        <v>51419.498457999987</v>
      </c>
      <c r="BR17" s="1781">
        <f>기타수익!BD37+기타수익!BD40+기타수익!BD44</f>
        <v>4062.3360700000003</v>
      </c>
      <c r="BS17" s="1781">
        <f>기타수익!BE37+기타수익!BE40+기타수익!BE44</f>
        <v>3855.2524549999998</v>
      </c>
      <c r="BT17" s="1781">
        <f>기타수익!BF37+기타수익!BF40+기타수익!BF44</f>
        <v>3350.6490959999996</v>
      </c>
      <c r="BU17" s="1781">
        <f>기타수익!BG37+기타수익!BG40+기타수익!BG44</f>
        <v>4881.457406999999</v>
      </c>
      <c r="BV17" s="1781">
        <f>기타수익!BH37+기타수익!BH40+기타수익!BH44</f>
        <v>3647.2777289999999</v>
      </c>
      <c r="BW17" s="1781">
        <f>기타수익!BI37+기타수익!BI40+기타수익!BI44</f>
        <v>4207.5199769999999</v>
      </c>
      <c r="BX17" s="1781">
        <f>기타수익!BJ37+기타수익!BJ40+기타수익!BJ44</f>
        <v>4390.604319</v>
      </c>
      <c r="BY17" s="1781">
        <f>기타수익!BK37+기타수익!BK40+기타수익!BK44</f>
        <v>4877.4818079999995</v>
      </c>
      <c r="BZ17" s="1781">
        <f>기타수익!BL37+기타수익!BL40+기타수익!BL44</f>
        <v>5408.7786169999999</v>
      </c>
      <c r="CA17" s="1781">
        <f>기타수익!BM37+기타수익!BM40+기타수익!BM44</f>
        <v>3390.1410030000002</v>
      </c>
      <c r="CB17" s="1781">
        <f>기타수익!BN37+기타수익!BN40+기타수익!BN44</f>
        <v>5271.3250310000003</v>
      </c>
      <c r="CC17" s="1782">
        <f>기타수익!BO37+기타수익!BO40+기타수익!BO44</f>
        <v>4076.6749459999996</v>
      </c>
      <c r="CD17" s="1710">
        <f t="shared" si="22"/>
        <v>47979.918766000003</v>
      </c>
      <c r="CE17" s="1930">
        <f>기타수익!BQ37+기타수익!BQ40+기타수익!BQ44</f>
        <v>3341.3731000000007</v>
      </c>
      <c r="CF17" s="1930">
        <f>기타수익!BR37+기타수익!BR40+기타수익!BR44</f>
        <v>3870.421578</v>
      </c>
      <c r="CG17" s="1930">
        <f>기타수익!BS37+기타수익!BS40+기타수익!BS44</f>
        <v>4033.0243469999996</v>
      </c>
      <c r="CH17" s="1930">
        <f>기타수익!BT37+기타수익!BT40+기타수익!BT44</f>
        <v>4310.9498409999997</v>
      </c>
      <c r="CI17" s="1930">
        <f>기타수익!BU37+기타수익!BU40+기타수익!BU44</f>
        <v>4145.2192370000002</v>
      </c>
      <c r="CJ17" s="1930">
        <f>기타수익!BV37+기타수익!BV40+기타수익!BV44</f>
        <v>4206.6708099999996</v>
      </c>
      <c r="CK17" s="1930">
        <f>기타수익!BW37+기타수익!BW40+기타수익!BW44</f>
        <v>3887.8212200000003</v>
      </c>
      <c r="CL17" s="1930">
        <f>기타수익!BX37+기타수익!BX40+기타수익!BX44</f>
        <v>3822.8940250000001</v>
      </c>
      <c r="CM17" s="1930">
        <f>기타수익!BY37+기타수익!BY40+기타수익!BY44</f>
        <v>3881.3131450000001</v>
      </c>
      <c r="CN17" s="1930">
        <f>기타수익!BZ37+기타수익!BZ40+기타수익!BZ44</f>
        <v>3933.6501060000001</v>
      </c>
      <c r="CO17" s="1930">
        <f>기타수익!CA37+기타수익!CA40+기타수익!CA44</f>
        <v>3760.6510740000003</v>
      </c>
      <c r="CP17" s="1931">
        <f>기타수익!CB37+기타수익!CB40+기타수익!CB44</f>
        <v>4785.9302829999997</v>
      </c>
      <c r="CQ17" s="2578">
        <f t="shared" si="23"/>
        <v>47999.046731282666</v>
      </c>
      <c r="CR17" s="2929">
        <f t="shared" ref="CR17:DC17" si="41">CR93+CR141</f>
        <v>3971.4331414402218</v>
      </c>
      <c r="CS17" s="2929">
        <f t="shared" si="41"/>
        <v>3945.253141440222</v>
      </c>
      <c r="CT17" s="2929">
        <f t="shared" si="41"/>
        <v>3947.1531414402216</v>
      </c>
      <c r="CU17" s="2929">
        <f t="shared" si="41"/>
        <v>4152.284367440222</v>
      </c>
      <c r="CV17" s="2929">
        <f t="shared" si="41"/>
        <v>3946.9731414402218</v>
      </c>
      <c r="CW17" s="2929">
        <f t="shared" si="41"/>
        <v>3946.9731414402218</v>
      </c>
      <c r="CX17" s="2929">
        <f t="shared" si="41"/>
        <v>4054.6169494402216</v>
      </c>
      <c r="CY17" s="2930">
        <f t="shared" si="41"/>
        <v>4006.7731414402219</v>
      </c>
      <c r="CZ17" s="2930">
        <f t="shared" si="41"/>
        <v>4007.5731414402217</v>
      </c>
      <c r="DA17" s="2930">
        <f t="shared" si="41"/>
        <v>4006.5731414402217</v>
      </c>
      <c r="DB17" s="2930">
        <f t="shared" si="41"/>
        <v>4006.4731414402218</v>
      </c>
      <c r="DC17" s="2286">
        <f t="shared" si="41"/>
        <v>4006.9671414402219</v>
      </c>
      <c r="DD17" s="2766"/>
      <c r="DE17" s="2587"/>
      <c r="DF17" s="2587"/>
      <c r="DG17" s="1913">
        <f t="shared" si="14"/>
        <v>0.18040030374118121</v>
      </c>
      <c r="DH17" s="1913">
        <f t="shared" si="15"/>
        <v>-6.6892517335801593E-2</v>
      </c>
      <c r="DI17" s="1913">
        <f t="shared" si="16"/>
        <v>3.9866606227390022E-4</v>
      </c>
      <c r="DJ17" s="2968">
        <f t="shared" si="25"/>
        <v>7858.4299839999949</v>
      </c>
      <c r="DK17" s="2968">
        <f t="shared" si="26"/>
        <v>-3439.5796919999848</v>
      </c>
      <c r="DL17" s="2968">
        <f t="shared" si="17"/>
        <v>19.127965282663354</v>
      </c>
      <c r="DM17" s="2544"/>
      <c r="DN17" s="28"/>
      <c r="DO17" s="28"/>
      <c r="DP17" s="2603"/>
    </row>
    <row r="18" spans="2:120">
      <c r="B18" s="30" t="s">
        <v>63</v>
      </c>
      <c r="C18" s="31"/>
      <c r="D18" s="1333"/>
      <c r="E18" s="417"/>
      <c r="F18" s="417"/>
      <c r="G18" s="417"/>
      <c r="H18" s="417"/>
      <c r="I18" s="417"/>
      <c r="J18" s="417"/>
      <c r="K18" s="417"/>
      <c r="L18" s="417"/>
      <c r="M18" s="417"/>
      <c r="N18" s="417"/>
      <c r="O18" s="417"/>
      <c r="P18" s="417"/>
      <c r="Q18" s="1031">
        <f t="shared" si="18"/>
        <v>483999.98547099996</v>
      </c>
      <c r="R18" s="417">
        <f t="shared" ref="R18:AC18" si="42">R94</f>
        <v>43105.112013999998</v>
      </c>
      <c r="S18" s="417">
        <f t="shared" si="42"/>
        <v>43998.350915000003</v>
      </c>
      <c r="T18" s="417">
        <f t="shared" si="42"/>
        <v>41806.971897000003</v>
      </c>
      <c r="U18" s="417">
        <f t="shared" si="42"/>
        <v>35584.579238999999</v>
      </c>
      <c r="V18" s="417">
        <f t="shared" si="42"/>
        <v>37648.167332999998</v>
      </c>
      <c r="W18" s="417">
        <f t="shared" si="42"/>
        <v>30523.117059</v>
      </c>
      <c r="X18" s="417">
        <f t="shared" si="42"/>
        <v>29757.589748999999</v>
      </c>
      <c r="Y18" s="417">
        <f t="shared" si="42"/>
        <v>51057.503627999999</v>
      </c>
      <c r="Z18" s="417">
        <f t="shared" si="42"/>
        <v>38112.291375000001</v>
      </c>
      <c r="AA18" s="417">
        <f t="shared" si="42"/>
        <v>41598.217874000002</v>
      </c>
      <c r="AB18" s="417">
        <f t="shared" si="42"/>
        <v>48680.890015999998</v>
      </c>
      <c r="AC18" s="1036">
        <f t="shared" si="42"/>
        <v>42127.194371999998</v>
      </c>
      <c r="AD18" s="1498">
        <f>524725.166543-122</f>
        <v>524603.16654300003</v>
      </c>
      <c r="AE18" s="1052">
        <f t="shared" ref="AE18:AP18" si="43">AE94</f>
        <v>43031.800007999998</v>
      </c>
      <c r="AF18" s="1052">
        <f t="shared" si="43"/>
        <v>36204.685917000003</v>
      </c>
      <c r="AG18" s="1052">
        <f t="shared" si="43"/>
        <v>36678.753780999999</v>
      </c>
      <c r="AH18" s="1052">
        <f t="shared" si="43"/>
        <v>39733.485161999997</v>
      </c>
      <c r="AI18" s="1052">
        <f t="shared" si="43"/>
        <v>36132.010391999997</v>
      </c>
      <c r="AJ18" s="1052">
        <f t="shared" si="43"/>
        <v>37457.078500000003</v>
      </c>
      <c r="AK18" s="1052">
        <f t="shared" si="43"/>
        <v>34547.227576999998</v>
      </c>
      <c r="AL18" s="1052">
        <f t="shared" si="43"/>
        <v>57208.191301999999</v>
      </c>
      <c r="AM18" s="1052">
        <f t="shared" si="43"/>
        <v>50030.266527</v>
      </c>
      <c r="AN18" s="1052">
        <f t="shared" si="43"/>
        <v>64431.455967000002</v>
      </c>
      <c r="AO18" s="1052">
        <f t="shared" si="43"/>
        <v>48955.600170999998</v>
      </c>
      <c r="AP18" s="1152">
        <f t="shared" si="43"/>
        <v>40314.611238999998</v>
      </c>
      <c r="AQ18" s="1474">
        <v>511191.35451200005</v>
      </c>
      <c r="AR18" s="1344">
        <v>33593.378213000004</v>
      </c>
      <c r="AS18" s="417">
        <v>52812.164926999998</v>
      </c>
      <c r="AT18" s="417">
        <v>33684.164208000002</v>
      </c>
      <c r="AU18" s="417">
        <v>35028.893209000002</v>
      </c>
      <c r="AV18" s="417">
        <v>38114.122278000003</v>
      </c>
      <c r="AW18" s="417">
        <v>42559.491614999999</v>
      </c>
      <c r="AX18" s="417">
        <v>30976.084384999998</v>
      </c>
      <c r="AY18" s="417">
        <v>58386.100965999998</v>
      </c>
      <c r="AZ18" s="417">
        <v>34089.587435000001</v>
      </c>
      <c r="BA18" s="417">
        <v>77774.195485000004</v>
      </c>
      <c r="BB18" s="417">
        <v>41988.815813000001</v>
      </c>
      <c r="BC18" s="417">
        <v>32184.355978</v>
      </c>
      <c r="BD18" s="1031">
        <f t="shared" ref="BD18" si="44">SUM(BE18:BP18)</f>
        <v>469404.65484699997</v>
      </c>
      <c r="BE18" s="417">
        <f>무선!AS220</f>
        <v>33261.488632000001</v>
      </c>
      <c r="BF18" s="417">
        <f>무선!AT220</f>
        <v>56394.444568999999</v>
      </c>
      <c r="BG18" s="417">
        <f>무선!AU220</f>
        <v>34783.519862000001</v>
      </c>
      <c r="BH18" s="417">
        <f>무선!AV220</f>
        <v>31836.151550999999</v>
      </c>
      <c r="BI18" s="417">
        <f>무선!AW220</f>
        <v>33816.961080000001</v>
      </c>
      <c r="BJ18" s="417">
        <f>무선!AX220</f>
        <v>26659.198840000001</v>
      </c>
      <c r="BK18" s="417">
        <f>무선!AY220</f>
        <v>23031.366503000001</v>
      </c>
      <c r="BL18" s="417">
        <f>무선!AZ220</f>
        <v>63629.756194000001</v>
      </c>
      <c r="BM18" s="417">
        <f>무선!BA220</f>
        <v>26479.659497000001</v>
      </c>
      <c r="BN18" s="417">
        <f>무선!BB220</f>
        <v>76834.303264999995</v>
      </c>
      <c r="BO18" s="417">
        <f>무선!BC220</f>
        <v>34194.121783000002</v>
      </c>
      <c r="BP18" s="417">
        <f>무선!BD220</f>
        <v>28483.683070999999</v>
      </c>
      <c r="BQ18" s="1031">
        <f t="shared" si="21"/>
        <v>582553.33803900005</v>
      </c>
      <c r="BR18" s="417">
        <f>무선!BF220</f>
        <v>99807.680091999995</v>
      </c>
      <c r="BS18" s="417">
        <f>무선!BG220</f>
        <v>43912.201545999997</v>
      </c>
      <c r="BT18" s="417">
        <f>무선!BH220</f>
        <v>38210.199898999999</v>
      </c>
      <c r="BU18" s="417">
        <f>무선!BI220</f>
        <v>31569.318045</v>
      </c>
      <c r="BV18" s="417">
        <f>무선!BJ220</f>
        <v>26566.272388000001</v>
      </c>
      <c r="BW18" s="417">
        <f>무선!BK220</f>
        <v>46167.626222999999</v>
      </c>
      <c r="BX18" s="417">
        <f>무선!BL220</f>
        <v>56407.346847000001</v>
      </c>
      <c r="BY18" s="417">
        <f>무선!BM220</f>
        <v>38993.011116000001</v>
      </c>
      <c r="BZ18" s="417">
        <f>무선!BN220</f>
        <v>70364.603258999996</v>
      </c>
      <c r="CA18" s="417">
        <f>무선!BO220</f>
        <v>66313.772891000001</v>
      </c>
      <c r="CB18" s="417">
        <f>무선!BP220</f>
        <v>31672.314609000001</v>
      </c>
      <c r="CC18" s="1334">
        <f>무선!BQ220</f>
        <v>32568.991124</v>
      </c>
      <c r="CD18" s="1031">
        <f t="shared" si="22"/>
        <v>501271.152573</v>
      </c>
      <c r="CE18" s="1708">
        <f>무선!BS220</f>
        <v>38874.830182999998</v>
      </c>
      <c r="CF18" s="1708">
        <f>무선!BT220</f>
        <v>79057.613643000004</v>
      </c>
      <c r="CG18" s="1708">
        <f>무선!BU220</f>
        <v>38518.886523000001</v>
      </c>
      <c r="CH18" s="1708">
        <f>무선!BV220</f>
        <v>25663.170775999999</v>
      </c>
      <c r="CI18" s="1708">
        <f>무선!BW220</f>
        <v>30772.261553</v>
      </c>
      <c r="CJ18" s="1708">
        <f>무선!BX220</f>
        <v>32479.941639000001</v>
      </c>
      <c r="CK18" s="1708">
        <f>무선!BY220</f>
        <v>56204.739076999998</v>
      </c>
      <c r="CL18" s="1708">
        <f>무선!BZ220</f>
        <v>35789.968887000003</v>
      </c>
      <c r="CM18" s="1708">
        <f>무선!CA220</f>
        <v>62835.758573999999</v>
      </c>
      <c r="CN18" s="1708">
        <f>무선!CB220</f>
        <v>39672.068184000003</v>
      </c>
      <c r="CO18" s="1708">
        <f>무선!CC220</f>
        <v>35962.469528000001</v>
      </c>
      <c r="CP18" s="1334">
        <f>무선!CD220</f>
        <v>25439.444006000002</v>
      </c>
      <c r="CQ18" s="2575">
        <f t="shared" si="23"/>
        <v>555461.85309254797</v>
      </c>
      <c r="CR18" s="1029">
        <f t="shared" ref="CR18:DC18" si="45">CR94+CR142</f>
        <v>37586.812584755993</v>
      </c>
      <c r="CS18" s="1029">
        <f t="shared" si="45"/>
        <v>36530.661382271952</v>
      </c>
      <c r="CT18" s="1029">
        <f t="shared" si="45"/>
        <v>72630.842215002674</v>
      </c>
      <c r="CU18" s="1029">
        <f t="shared" si="45"/>
        <v>41435.916564016341</v>
      </c>
      <c r="CV18" s="1029">
        <f t="shared" si="45"/>
        <v>41670.909941908059</v>
      </c>
      <c r="CW18" s="1029">
        <f t="shared" si="45"/>
        <v>37001.174724885757</v>
      </c>
      <c r="CX18" s="1029">
        <f t="shared" si="45"/>
        <v>56204.743839521434</v>
      </c>
      <c r="CY18" s="1708">
        <f t="shared" si="45"/>
        <v>42792.08129480901</v>
      </c>
      <c r="CZ18" s="1708">
        <f t="shared" si="45"/>
        <v>67456.032716598042</v>
      </c>
      <c r="DA18" s="1708">
        <f t="shared" si="45"/>
        <v>44501.043854998366</v>
      </c>
      <c r="DB18" s="1708">
        <f t="shared" si="45"/>
        <v>39765.436829796265</v>
      </c>
      <c r="DC18" s="1334">
        <f t="shared" si="45"/>
        <v>37886.197143984187</v>
      </c>
      <c r="DD18" s="2766"/>
      <c r="DE18" s="2587"/>
      <c r="DF18" s="2587"/>
      <c r="DG18" s="2969">
        <f t="shared" si="14"/>
        <v>0.24104721166193022</v>
      </c>
      <c r="DH18" s="2969">
        <f t="shared" si="15"/>
        <v>-0.13952745638642017</v>
      </c>
      <c r="DI18" s="2969">
        <f t="shared" si="16"/>
        <v>0.10810656117231132</v>
      </c>
      <c r="DJ18" s="2968">
        <f t="shared" si="25"/>
        <v>113148.68319200008</v>
      </c>
      <c r="DK18" s="2968">
        <f t="shared" si="26"/>
        <v>-81282.185466000054</v>
      </c>
      <c r="DL18" s="2968">
        <f t="shared" si="17"/>
        <v>54190.700519547972</v>
      </c>
      <c r="DM18" s="2544"/>
      <c r="DN18" s="2982"/>
      <c r="DO18" s="2982"/>
    </row>
    <row r="19" spans="2:120">
      <c r="B19" s="30" t="s">
        <v>64</v>
      </c>
      <c r="C19" s="31"/>
      <c r="D19" s="32"/>
      <c r="E19" s="417"/>
      <c r="F19" s="417"/>
      <c r="G19" s="417"/>
      <c r="H19" s="417"/>
      <c r="I19" s="417"/>
      <c r="J19" s="417"/>
      <c r="K19" s="417"/>
      <c r="L19" s="417"/>
      <c r="M19" s="417"/>
      <c r="N19" s="417"/>
      <c r="O19" s="417"/>
      <c r="P19" s="417"/>
      <c r="Q19" s="1031">
        <f t="shared" si="18"/>
        <v>177195.7826564546</v>
      </c>
      <c r="R19" s="417">
        <f t="shared" ref="R19:AC19" si="46">R95</f>
        <v>13846.034781000002</v>
      </c>
      <c r="S19" s="417">
        <f t="shared" si="46"/>
        <v>13835.860752000001</v>
      </c>
      <c r="T19" s="417">
        <f t="shared" si="46"/>
        <v>14995.326979999991</v>
      </c>
      <c r="U19" s="417">
        <f t="shared" si="46"/>
        <v>14710.432122000006</v>
      </c>
      <c r="V19" s="417">
        <f t="shared" si="46"/>
        <v>14776.759625000006</v>
      </c>
      <c r="W19" s="417">
        <f t="shared" si="46"/>
        <v>14703.732153000001</v>
      </c>
      <c r="X19" s="417">
        <f t="shared" si="46"/>
        <v>14364.674621000006</v>
      </c>
      <c r="Y19" s="417">
        <f t="shared" si="46"/>
        <v>15216.319951000005</v>
      </c>
      <c r="Z19" s="417">
        <f t="shared" si="46"/>
        <v>14025.202424000003</v>
      </c>
      <c r="AA19" s="417">
        <f t="shared" si="46"/>
        <v>15910.059458999996</v>
      </c>
      <c r="AB19" s="417">
        <f t="shared" si="46"/>
        <v>16773.693338454548</v>
      </c>
      <c r="AC19" s="1036">
        <f t="shared" si="46"/>
        <v>14037.686450000001</v>
      </c>
      <c r="AD19" s="1498">
        <f>AD12-AD18</f>
        <v>185569.65839800006</v>
      </c>
      <c r="AE19" s="1052">
        <f t="shared" ref="AE19:AP19" si="47">AE95</f>
        <v>13694.766429999996</v>
      </c>
      <c r="AF19" s="1052">
        <f t="shared" si="47"/>
        <v>14493.04959599999</v>
      </c>
      <c r="AG19" s="1052">
        <f t="shared" si="47"/>
        <v>14282.227453000007</v>
      </c>
      <c r="AH19" s="1052">
        <f t="shared" si="47"/>
        <v>13749.465810000002</v>
      </c>
      <c r="AI19" s="1052">
        <f t="shared" si="47"/>
        <v>14972.417221000003</v>
      </c>
      <c r="AJ19" s="1052">
        <f t="shared" si="47"/>
        <v>15606.602019999998</v>
      </c>
      <c r="AK19" s="1052">
        <f t="shared" si="47"/>
        <v>15042.182536</v>
      </c>
      <c r="AL19" s="1052">
        <f t="shared" si="47"/>
        <v>14904.937482999994</v>
      </c>
      <c r="AM19" s="1052">
        <f t="shared" si="47"/>
        <v>15808.139643000002</v>
      </c>
      <c r="AN19" s="1052">
        <f t="shared" si="47"/>
        <v>16043.405719999995</v>
      </c>
      <c r="AO19" s="1052">
        <f t="shared" si="47"/>
        <v>15471.882139000001</v>
      </c>
      <c r="AP19" s="1053">
        <f t="shared" si="47"/>
        <v>21378.58234700001</v>
      </c>
      <c r="AQ19" s="1031">
        <v>217341.01072200006</v>
      </c>
      <c r="AR19" s="1344">
        <v>13005.370667999996</v>
      </c>
      <c r="AS19" s="417">
        <v>15864.866749000015</v>
      </c>
      <c r="AT19" s="417">
        <v>18201.444320999995</v>
      </c>
      <c r="AU19" s="417">
        <v>16506.812649</v>
      </c>
      <c r="AV19" s="417">
        <v>18121.842449999996</v>
      </c>
      <c r="AW19" s="417">
        <v>18347.927512000002</v>
      </c>
      <c r="AX19" s="417">
        <v>17658.087177000005</v>
      </c>
      <c r="AY19" s="417">
        <v>18100.049263000008</v>
      </c>
      <c r="AZ19" s="417">
        <v>18876.188326999996</v>
      </c>
      <c r="BA19" s="417">
        <v>18080.441712999993</v>
      </c>
      <c r="BB19" s="417">
        <v>16255.216219999995</v>
      </c>
      <c r="BC19" s="417">
        <v>28322.763673000001</v>
      </c>
      <c r="BD19" s="1031">
        <f>SUM(BE19:BP19)</f>
        <v>225729.81382100005</v>
      </c>
      <c r="BE19" s="417">
        <f t="shared" ref="BE19:BP19" si="48">BE12-BE18</f>
        <v>14175.759265000001</v>
      </c>
      <c r="BF19" s="417">
        <f t="shared" si="48"/>
        <v>17302.686682</v>
      </c>
      <c r="BG19" s="417">
        <f t="shared" si="48"/>
        <v>17266.085862</v>
      </c>
      <c r="BH19" s="417">
        <f t="shared" si="48"/>
        <v>17150.966650000006</v>
      </c>
      <c r="BI19" s="417">
        <f t="shared" si="48"/>
        <v>17272.966500000002</v>
      </c>
      <c r="BJ19" s="417">
        <f t="shared" si="48"/>
        <v>20567.883616000003</v>
      </c>
      <c r="BK19" s="417">
        <f t="shared" si="48"/>
        <v>18174.700474000008</v>
      </c>
      <c r="BL19" s="417">
        <f t="shared" si="48"/>
        <v>20904.664997999993</v>
      </c>
      <c r="BM19" s="417">
        <f t="shared" si="48"/>
        <v>20495.757612000001</v>
      </c>
      <c r="BN19" s="417">
        <f t="shared" si="48"/>
        <v>24834.985486000005</v>
      </c>
      <c r="BO19" s="417">
        <f t="shared" si="48"/>
        <v>17211.525069000003</v>
      </c>
      <c r="BP19" s="417">
        <f t="shared" si="48"/>
        <v>20371.831606999993</v>
      </c>
      <c r="BQ19" s="1031">
        <f t="shared" si="21"/>
        <v>224754.33324499999</v>
      </c>
      <c r="BR19" s="417">
        <f t="shared" ref="BR19:CC19" si="49">BR12-BR18</f>
        <v>19198.123677000011</v>
      </c>
      <c r="BS19" s="417">
        <f t="shared" si="49"/>
        <v>17573.992471000005</v>
      </c>
      <c r="BT19" s="417">
        <f t="shared" si="49"/>
        <v>17558.007973</v>
      </c>
      <c r="BU19" s="417">
        <f t="shared" si="49"/>
        <v>18482.358899999999</v>
      </c>
      <c r="BV19" s="417">
        <f t="shared" si="49"/>
        <v>16430.557301999997</v>
      </c>
      <c r="BW19" s="417">
        <f t="shared" si="49"/>
        <v>15790.372743</v>
      </c>
      <c r="BX19" s="417">
        <f t="shared" si="49"/>
        <v>19828.158889999999</v>
      </c>
      <c r="BY19" s="417">
        <f t="shared" si="49"/>
        <v>17809.920391</v>
      </c>
      <c r="BZ19" s="417">
        <f t="shared" si="49"/>
        <v>23248.078504000005</v>
      </c>
      <c r="CA19" s="417">
        <f t="shared" si="49"/>
        <v>21885.407237999985</v>
      </c>
      <c r="CB19" s="417">
        <f t="shared" si="49"/>
        <v>17815.740667999999</v>
      </c>
      <c r="CC19" s="1334">
        <f t="shared" si="49"/>
        <v>19133.614487999999</v>
      </c>
      <c r="CD19" s="1031">
        <f t="shared" si="22"/>
        <v>252186.87689200003</v>
      </c>
      <c r="CE19" s="1708">
        <f t="shared" ref="CE19:CP19" si="50">CE12-CE18</f>
        <v>17189.002729</v>
      </c>
      <c r="CF19" s="1708">
        <f t="shared" si="50"/>
        <v>21271.778814999998</v>
      </c>
      <c r="CG19" s="1708">
        <f t="shared" si="50"/>
        <v>18404.168754999999</v>
      </c>
      <c r="CH19" s="1708">
        <f t="shared" si="50"/>
        <v>19288.643313</v>
      </c>
      <c r="CI19" s="1708">
        <f t="shared" si="50"/>
        <v>20963.919524000001</v>
      </c>
      <c r="CJ19" s="1708">
        <f t="shared" si="50"/>
        <v>22016.005761999997</v>
      </c>
      <c r="CK19" s="1708">
        <f t="shared" si="50"/>
        <v>24816.098493000005</v>
      </c>
      <c r="CL19" s="1708">
        <f t="shared" si="50"/>
        <v>17965.495662999994</v>
      </c>
      <c r="CM19" s="1708">
        <f t="shared" si="50"/>
        <v>26449.135239999996</v>
      </c>
      <c r="CN19" s="1708">
        <f t="shared" si="50"/>
        <v>17569.466874999998</v>
      </c>
      <c r="CO19" s="1708">
        <f t="shared" si="50"/>
        <v>20975.610519000002</v>
      </c>
      <c r="CP19" s="1334">
        <f t="shared" si="50"/>
        <v>25277.551203999992</v>
      </c>
      <c r="CQ19" s="2575">
        <f t="shared" si="23"/>
        <v>260824.71461820911</v>
      </c>
      <c r="CR19" s="1029">
        <f>CR12-CR18</f>
        <v>20550.236015822178</v>
      </c>
      <c r="CS19" s="1029">
        <f>CS12-CS18</f>
        <v>19928.315991011987</v>
      </c>
      <c r="CT19" s="1029">
        <f>CT12-CT18</f>
        <v>22881.848294456038</v>
      </c>
      <c r="CU19" s="1029">
        <f>CU12-CU18</f>
        <v>21074.994290871655</v>
      </c>
      <c r="CV19" s="1029">
        <f>CV12-CV18</f>
        <v>20908.89692622787</v>
      </c>
      <c r="CW19" s="1029">
        <f t="shared" ref="CW19:DC19" si="51">CW12-CW18</f>
        <v>21767.286795353051</v>
      </c>
      <c r="CX19" s="1029">
        <f t="shared" si="51"/>
        <v>23870.00148018037</v>
      </c>
      <c r="CY19" s="1708">
        <f t="shared" si="51"/>
        <v>20951.259695291716</v>
      </c>
      <c r="CZ19" s="1708">
        <f t="shared" si="51"/>
        <v>25046.063347635107</v>
      </c>
      <c r="DA19" s="1708">
        <f t="shared" si="51"/>
        <v>21823.491332700331</v>
      </c>
      <c r="DB19" s="1708">
        <f t="shared" si="51"/>
        <v>19900.317844750847</v>
      </c>
      <c r="DC19" s="1334">
        <f t="shared" si="51"/>
        <v>22122.002603907938</v>
      </c>
      <c r="DD19" s="2766"/>
      <c r="DE19" s="2587"/>
      <c r="DF19" s="2587"/>
      <c r="DG19" s="1913">
        <f t="shared" si="14"/>
        <v>-4.3214520912757681E-3</v>
      </c>
      <c r="DH19" s="1913">
        <f t="shared" si="15"/>
        <v>0.12205568298029834</v>
      </c>
      <c r="DI19" s="1913">
        <f t="shared" si="16"/>
        <v>3.4251733605901613E-2</v>
      </c>
      <c r="DJ19" s="2968">
        <f t="shared" si="25"/>
        <v>-975.48057600005995</v>
      </c>
      <c r="DK19" s="2968">
        <f t="shared" si="26"/>
        <v>27432.543647000042</v>
      </c>
      <c r="DL19" s="2968">
        <f t="shared" si="17"/>
        <v>8637.8377262090798</v>
      </c>
      <c r="DM19" s="2544"/>
      <c r="DN19" s="2982"/>
      <c r="DO19" s="28"/>
    </row>
    <row r="20" spans="2:120">
      <c r="B20" s="30" t="s">
        <v>65</v>
      </c>
      <c r="C20" s="31"/>
      <c r="D20" s="32"/>
      <c r="E20" s="417"/>
      <c r="F20" s="417"/>
      <c r="G20" s="417"/>
      <c r="H20" s="417"/>
      <c r="I20" s="417"/>
      <c r="J20" s="417"/>
      <c r="K20" s="417"/>
      <c r="L20" s="417"/>
      <c r="M20" s="417"/>
      <c r="N20" s="417"/>
      <c r="O20" s="417"/>
      <c r="P20" s="417"/>
      <c r="Q20" s="1031">
        <f t="shared" si="18"/>
        <v>175469.49581600001</v>
      </c>
      <c r="R20" s="417">
        <f t="shared" ref="R20:AC20" si="52">R96</f>
        <v>14387.761242</v>
      </c>
      <c r="S20" s="417">
        <f t="shared" si="52"/>
        <v>13118.332056000001</v>
      </c>
      <c r="T20" s="417">
        <f t="shared" si="52"/>
        <v>15581.362487000002</v>
      </c>
      <c r="U20" s="417">
        <f t="shared" si="52"/>
        <v>13668.868354999999</v>
      </c>
      <c r="V20" s="417">
        <f t="shared" si="52"/>
        <v>13749.405343</v>
      </c>
      <c r="W20" s="417">
        <f t="shared" si="52"/>
        <v>15634.151275</v>
      </c>
      <c r="X20" s="417">
        <f t="shared" si="52"/>
        <v>13568.583323999999</v>
      </c>
      <c r="Y20" s="417">
        <f t="shared" si="52"/>
        <v>13192.859816</v>
      </c>
      <c r="Z20" s="417">
        <f t="shared" si="52"/>
        <v>14985.468045999998</v>
      </c>
      <c r="AA20" s="417">
        <f t="shared" si="52"/>
        <v>13803.137828999999</v>
      </c>
      <c r="AB20" s="417">
        <f t="shared" si="52"/>
        <v>15636.006673000002</v>
      </c>
      <c r="AC20" s="1036">
        <f t="shared" si="52"/>
        <v>18143.559369999999</v>
      </c>
      <c r="AD20" s="1498">
        <f>AD21+AD28+AD32+AD35+AD38</f>
        <v>181047.03710300001</v>
      </c>
      <c r="AE20" s="1052">
        <f t="shared" ref="AE20:AP20" si="53">AE96</f>
        <v>14106.043335000002</v>
      </c>
      <c r="AF20" s="1052">
        <f t="shared" si="53"/>
        <v>13982.145823999999</v>
      </c>
      <c r="AG20" s="1052">
        <f t="shared" si="53"/>
        <v>13548.619042999999</v>
      </c>
      <c r="AH20" s="1052">
        <f t="shared" si="53"/>
        <v>13541.365537000003</v>
      </c>
      <c r="AI20" s="1052">
        <f t="shared" si="53"/>
        <v>14192.744751999999</v>
      </c>
      <c r="AJ20" s="1052">
        <f t="shared" si="53"/>
        <v>14888.625869</v>
      </c>
      <c r="AK20" s="1052">
        <f t="shared" si="53"/>
        <v>14643.289099</v>
      </c>
      <c r="AL20" s="1052">
        <f t="shared" si="53"/>
        <v>14154.864293000001</v>
      </c>
      <c r="AM20" s="1052">
        <f t="shared" si="53"/>
        <v>15497.947887000002</v>
      </c>
      <c r="AN20" s="1052">
        <f t="shared" si="53"/>
        <v>15580.505952999996</v>
      </c>
      <c r="AO20" s="1052">
        <f t="shared" si="53"/>
        <v>15259.514337000004</v>
      </c>
      <c r="AP20" s="1053">
        <f t="shared" si="53"/>
        <v>21529.371174</v>
      </c>
      <c r="AQ20" s="1031">
        <v>209743.19074100003</v>
      </c>
      <c r="AR20" s="417">
        <v>12705.676277999999</v>
      </c>
      <c r="AS20" s="417">
        <v>15040.740152</v>
      </c>
      <c r="AT20" s="417">
        <v>15851.269624</v>
      </c>
      <c r="AU20" s="417">
        <v>15762.412844000002</v>
      </c>
      <c r="AV20" s="417">
        <v>16152.971172000001</v>
      </c>
      <c r="AW20" s="417">
        <v>16101.163135999999</v>
      </c>
      <c r="AX20" s="417">
        <v>17114.714292000001</v>
      </c>
      <c r="AY20" s="417">
        <v>17056.676652999999</v>
      </c>
      <c r="AZ20" s="417">
        <v>18677.537722000005</v>
      </c>
      <c r="BA20" s="417">
        <v>16613.841028999999</v>
      </c>
      <c r="BB20" s="417">
        <v>19259.266838</v>
      </c>
      <c r="BC20" s="417">
        <v>29406.921000999999</v>
      </c>
      <c r="BD20" s="1031">
        <f>BD21+BD28+BD32+BD35+BD38</f>
        <v>216683.13173000002</v>
      </c>
      <c r="BE20" s="417">
        <f>BE21+BE28+BE32+BE35+BE38</f>
        <v>13914.345133999999</v>
      </c>
      <c r="BF20" s="417">
        <f t="shared" ref="BF20:BP20" si="54">BF21+BF28+BF32+BF35+BF38</f>
        <v>16065.396771000002</v>
      </c>
      <c r="BG20" s="417">
        <f t="shared" si="54"/>
        <v>16130.594378000002</v>
      </c>
      <c r="BH20" s="417">
        <f t="shared" si="54"/>
        <v>16114.568655000001</v>
      </c>
      <c r="BI20" s="417">
        <f t="shared" si="54"/>
        <v>15622.467650000001</v>
      </c>
      <c r="BJ20" s="417">
        <f t="shared" si="54"/>
        <v>19236.782734</v>
      </c>
      <c r="BK20" s="417">
        <f t="shared" si="54"/>
        <v>17388.290607000003</v>
      </c>
      <c r="BL20" s="417">
        <f t="shared" si="54"/>
        <v>17410.716944</v>
      </c>
      <c r="BM20" s="417">
        <f t="shared" si="54"/>
        <v>20284.506839999998</v>
      </c>
      <c r="BN20" s="417">
        <f t="shared" si="54"/>
        <v>22468.714940999998</v>
      </c>
      <c r="BO20" s="417">
        <f t="shared" si="54"/>
        <v>20179.039945999997</v>
      </c>
      <c r="BP20" s="417">
        <f t="shared" si="54"/>
        <v>21867.707130000003</v>
      </c>
      <c r="BQ20" s="1031">
        <f t="shared" ref="BQ20:DC20" si="55">BQ21+BQ28+BQ32+BQ35+BQ38</f>
        <v>210285.29713099997</v>
      </c>
      <c r="BR20" s="417">
        <f t="shared" si="55"/>
        <v>17551.456575999997</v>
      </c>
      <c r="BS20" s="417">
        <f t="shared" si="55"/>
        <v>15885.872894</v>
      </c>
      <c r="BT20" s="417">
        <f t="shared" si="55"/>
        <v>14295.412745</v>
      </c>
      <c r="BU20" s="417">
        <f t="shared" si="55"/>
        <v>15745.023019</v>
      </c>
      <c r="BV20" s="417">
        <f t="shared" si="55"/>
        <v>14860.459906</v>
      </c>
      <c r="BW20" s="417">
        <f t="shared" si="55"/>
        <v>15691.262105</v>
      </c>
      <c r="BX20" s="417">
        <f t="shared" si="55"/>
        <v>17714.937465999999</v>
      </c>
      <c r="BY20" s="417">
        <f t="shared" si="55"/>
        <v>17447.382984</v>
      </c>
      <c r="BZ20" s="417">
        <f t="shared" si="55"/>
        <v>21444.287901</v>
      </c>
      <c r="CA20" s="417">
        <f t="shared" si="55"/>
        <v>22047.788322</v>
      </c>
      <c r="CB20" s="417">
        <f t="shared" si="55"/>
        <v>17612.359667000001</v>
      </c>
      <c r="CC20" s="1334">
        <f t="shared" si="55"/>
        <v>19989.053546000003</v>
      </c>
      <c r="CD20" s="1031">
        <f t="shared" si="55"/>
        <v>235845.461644</v>
      </c>
      <c r="CE20" s="1708">
        <f t="shared" si="55"/>
        <v>17586.780827999999</v>
      </c>
      <c r="CF20" s="1708">
        <f t="shared" si="55"/>
        <v>16607.569453</v>
      </c>
      <c r="CG20" s="1708">
        <f t="shared" si="55"/>
        <v>16388.899436</v>
      </c>
      <c r="CH20" s="1708">
        <f t="shared" si="55"/>
        <v>16819.889910000002</v>
      </c>
      <c r="CI20" s="1708">
        <f t="shared" si="55"/>
        <v>17542.495650999997</v>
      </c>
      <c r="CJ20" s="1708">
        <f t="shared" si="55"/>
        <v>19514.809957999998</v>
      </c>
      <c r="CK20" s="1708">
        <f t="shared" si="55"/>
        <v>20672.965192000003</v>
      </c>
      <c r="CL20" s="1708">
        <f t="shared" si="55"/>
        <v>17643.204989999998</v>
      </c>
      <c r="CM20" s="1708">
        <f t="shared" si="55"/>
        <v>24404.308403000003</v>
      </c>
      <c r="CN20" s="1708">
        <f t="shared" si="55"/>
        <v>19400.156555000001</v>
      </c>
      <c r="CO20" s="1708">
        <f t="shared" si="55"/>
        <v>21800.48287199999</v>
      </c>
      <c r="CP20" s="1334">
        <f t="shared" si="55"/>
        <v>27463.898396000004</v>
      </c>
      <c r="CQ20" s="2575">
        <f t="shared" si="55"/>
        <v>243673.71461820882</v>
      </c>
      <c r="CR20" s="1029">
        <f>CR21+CR28+CR32+CR35+CR38</f>
        <v>18450.198750381911</v>
      </c>
      <c r="CS20" s="1029">
        <f>CS21+CS28+CS32+CS35+CS38</f>
        <v>18192.143746272341</v>
      </c>
      <c r="CT20" s="1029">
        <f>CT21+CT28+CT32+CT35+CT38</f>
        <v>18975.469163837493</v>
      </c>
      <c r="CU20" s="1029">
        <f>CU21+CU28+CU32+CU35+CU38</f>
        <v>18744.094536992183</v>
      </c>
      <c r="CV20" s="1029">
        <f>CV21+CV28+CV32+CV35+CV38</f>
        <v>18633.318878542323</v>
      </c>
      <c r="CW20" s="1029">
        <f t="shared" ref="CW20" si="56">CW21+CW28+CW32+CW35+CW38</f>
        <v>20211.489230355597</v>
      </c>
      <c r="CX20" s="1029">
        <f t="shared" si="55"/>
        <v>19675.362071273565</v>
      </c>
      <c r="CY20" s="1708">
        <f t="shared" si="55"/>
        <v>19286.902867341756</v>
      </c>
      <c r="CZ20" s="1708">
        <f t="shared" si="55"/>
        <v>24718.368671919339</v>
      </c>
      <c r="DA20" s="1708">
        <f t="shared" si="55"/>
        <v>20322.061015301595</v>
      </c>
      <c r="DB20" s="1708">
        <f t="shared" si="55"/>
        <v>20512.080817620841</v>
      </c>
      <c r="DC20" s="1334">
        <f t="shared" si="55"/>
        <v>25952.224868369864</v>
      </c>
      <c r="DD20" s="2766"/>
      <c r="DE20" s="2587"/>
      <c r="DF20" s="2587"/>
      <c r="DG20" s="1913">
        <f t="shared" si="14"/>
        <v>-2.9526223605500279E-2</v>
      </c>
      <c r="DH20" s="1913">
        <f t="shared" si="15"/>
        <v>0.12154993649925494</v>
      </c>
      <c r="DI20" s="1913">
        <f t="shared" si="16"/>
        <v>3.3192298548552435E-2</v>
      </c>
      <c r="DJ20" s="2968">
        <f t="shared" si="25"/>
        <v>-6397.8345990000525</v>
      </c>
      <c r="DK20" s="2968">
        <f t="shared" si="26"/>
        <v>25560.164513000025</v>
      </c>
      <c r="DL20" s="2968">
        <f t="shared" si="17"/>
        <v>7828.2529742088227</v>
      </c>
      <c r="DM20" s="2544"/>
      <c r="DN20" s="28"/>
      <c r="DO20" s="28"/>
    </row>
    <row r="21" spans="2:120">
      <c r="B21" s="33" t="s">
        <v>66</v>
      </c>
      <c r="C21" s="34"/>
      <c r="D21" s="35"/>
      <c r="E21" s="1335"/>
      <c r="F21" s="1335"/>
      <c r="G21" s="1335"/>
      <c r="H21" s="1335"/>
      <c r="I21" s="1335"/>
      <c r="J21" s="1335"/>
      <c r="K21" s="1335"/>
      <c r="L21" s="1335"/>
      <c r="M21" s="1335"/>
      <c r="N21" s="1335"/>
      <c r="O21" s="1335"/>
      <c r="P21" s="1335"/>
      <c r="Q21" s="1345">
        <f t="shared" si="18"/>
        <v>108405.05044100001</v>
      </c>
      <c r="R21" s="1335">
        <f t="shared" ref="R21:AC21" si="57">R97</f>
        <v>8697.2387689999996</v>
      </c>
      <c r="S21" s="1335">
        <f t="shared" si="57"/>
        <v>8477.4465579999996</v>
      </c>
      <c r="T21" s="1335">
        <f t="shared" si="57"/>
        <v>10852.852195000001</v>
      </c>
      <c r="U21" s="1335">
        <f t="shared" si="57"/>
        <v>8928.2044129999995</v>
      </c>
      <c r="V21" s="1335">
        <f t="shared" si="57"/>
        <v>8528.3798650000008</v>
      </c>
      <c r="W21" s="1335">
        <f t="shared" si="57"/>
        <v>10500.919845999999</v>
      </c>
      <c r="X21" s="1335">
        <f t="shared" si="57"/>
        <v>7916.4886090000009</v>
      </c>
      <c r="Y21" s="1335">
        <f t="shared" si="57"/>
        <v>7847.3211300000003</v>
      </c>
      <c r="Z21" s="1335">
        <f t="shared" si="57"/>
        <v>10341.392755999999</v>
      </c>
      <c r="AA21" s="1335">
        <f t="shared" si="57"/>
        <v>7677.9283310000001</v>
      </c>
      <c r="AB21" s="1335">
        <f t="shared" si="57"/>
        <v>7749.9529090000005</v>
      </c>
      <c r="AC21" s="1074">
        <f t="shared" si="57"/>
        <v>10886.925060000001</v>
      </c>
      <c r="AD21" s="1499">
        <v>105973.21813199999</v>
      </c>
      <c r="AE21" s="1054">
        <f t="shared" ref="AE21:AP21" si="58">AE97</f>
        <v>8335.885948000001</v>
      </c>
      <c r="AF21" s="1054">
        <f t="shared" si="58"/>
        <v>8667.101376999999</v>
      </c>
      <c r="AG21" s="1054">
        <f t="shared" si="58"/>
        <v>8382.546307999999</v>
      </c>
      <c r="AH21" s="1054">
        <f t="shared" si="58"/>
        <v>8596.4488750000019</v>
      </c>
      <c r="AI21" s="1054">
        <f t="shared" si="58"/>
        <v>8631.5302210000009</v>
      </c>
      <c r="AJ21" s="1054">
        <f t="shared" si="58"/>
        <v>9137.5866850000002</v>
      </c>
      <c r="AK21" s="1054">
        <f t="shared" si="58"/>
        <v>8536.4691279999988</v>
      </c>
      <c r="AL21" s="1054">
        <f t="shared" si="58"/>
        <v>8721.6810949999999</v>
      </c>
      <c r="AM21" s="1054">
        <f t="shared" si="58"/>
        <v>9524.9118540000018</v>
      </c>
      <c r="AN21" s="1054">
        <f t="shared" si="58"/>
        <v>8555.9405039999965</v>
      </c>
      <c r="AO21" s="1054">
        <f t="shared" si="58"/>
        <v>8386.4113060000018</v>
      </c>
      <c r="AP21" s="1055">
        <f t="shared" si="58"/>
        <v>10496.704830999999</v>
      </c>
      <c r="AQ21" s="1345">
        <v>116741.53619900002</v>
      </c>
      <c r="AR21" s="1335">
        <v>8472.4803250000004</v>
      </c>
      <c r="AS21" s="1335">
        <v>8666.7534720000003</v>
      </c>
      <c r="AT21" s="1335">
        <v>8803.9768409999997</v>
      </c>
      <c r="AU21" s="1335">
        <v>8916.7537690000008</v>
      </c>
      <c r="AV21" s="1335">
        <v>9398.0740710000009</v>
      </c>
      <c r="AW21" s="1335">
        <v>9580.8535520000005</v>
      </c>
      <c r="AX21" s="1335">
        <v>9741.7820970000012</v>
      </c>
      <c r="AY21" s="1335">
        <v>9370.2486449999997</v>
      </c>
      <c r="AZ21" s="1335">
        <v>10521.706279000002</v>
      </c>
      <c r="BA21" s="1335">
        <v>9447.6430509999991</v>
      </c>
      <c r="BB21" s="1335">
        <v>13231.429048</v>
      </c>
      <c r="BC21" s="1335">
        <v>10589.835048999998</v>
      </c>
      <c r="BD21" s="1345">
        <f t="shared" ref="BD21:BE21" si="59">SUM(BD22:BD27)</f>
        <v>121040.677348</v>
      </c>
      <c r="BE21" s="1335">
        <f t="shared" si="59"/>
        <v>9509.1647929999999</v>
      </c>
      <c r="BF21" s="1335">
        <f t="shared" ref="BF21:BP21" si="60">SUM(BF22:BF27)</f>
        <v>9474.3658670000004</v>
      </c>
      <c r="BG21" s="1335">
        <f t="shared" si="60"/>
        <v>9914.9542419999998</v>
      </c>
      <c r="BH21" s="1335">
        <f t="shared" si="60"/>
        <v>10362.954842000001</v>
      </c>
      <c r="BI21" s="1335">
        <f t="shared" si="60"/>
        <v>9783.7381729999997</v>
      </c>
      <c r="BJ21" s="1335">
        <f t="shared" si="60"/>
        <v>9541.7562529999996</v>
      </c>
      <c r="BK21" s="1335">
        <f t="shared" si="60"/>
        <v>9855.429811</v>
      </c>
      <c r="BL21" s="1335">
        <f t="shared" si="60"/>
        <v>9465.6709389999996</v>
      </c>
      <c r="BM21" s="1335">
        <f t="shared" si="60"/>
        <v>10330.857765999997</v>
      </c>
      <c r="BN21" s="1335">
        <f t="shared" si="60"/>
        <v>9479.7285789999987</v>
      </c>
      <c r="BO21" s="1335">
        <f t="shared" si="60"/>
        <v>13365.885574</v>
      </c>
      <c r="BP21" s="1335">
        <f t="shared" si="60"/>
        <v>9956.1705090000014</v>
      </c>
      <c r="BQ21" s="1345">
        <f t="shared" ref="BQ21:DC21" si="61">SUM(BQ22:BQ27)</f>
        <v>127111.47254299998</v>
      </c>
      <c r="BR21" s="1777">
        <f t="shared" si="61"/>
        <v>9183.6856349999998</v>
      </c>
      <c r="BS21" s="1777">
        <f t="shared" si="61"/>
        <v>10296.958436000001</v>
      </c>
      <c r="BT21" s="1777">
        <f t="shared" si="61"/>
        <v>9263.2131449999997</v>
      </c>
      <c r="BU21" s="1777">
        <f t="shared" si="61"/>
        <v>10114.978487</v>
      </c>
      <c r="BV21" s="1777">
        <f t="shared" si="61"/>
        <v>9894.5004819999995</v>
      </c>
      <c r="BW21" s="1777">
        <f t="shared" si="61"/>
        <v>10707.639431</v>
      </c>
      <c r="BX21" s="1777">
        <f t="shared" si="61"/>
        <v>9828.0715110000001</v>
      </c>
      <c r="BY21" s="1777">
        <f t="shared" si="61"/>
        <v>10400.814096</v>
      </c>
      <c r="BZ21" s="1777">
        <f t="shared" si="61"/>
        <v>12621.854271000002</v>
      </c>
      <c r="CA21" s="1777">
        <f t="shared" si="61"/>
        <v>11774.809623000001</v>
      </c>
      <c r="CB21" s="1777">
        <f t="shared" si="61"/>
        <v>10317.917493000001</v>
      </c>
      <c r="CC21" s="1778">
        <f t="shared" si="61"/>
        <v>12707.029933000002</v>
      </c>
      <c r="CD21" s="1345">
        <f t="shared" si="61"/>
        <v>140784.40513200001</v>
      </c>
      <c r="CE21" s="1777">
        <f t="shared" si="61"/>
        <v>10371.189968000001</v>
      </c>
      <c r="CF21" s="1777">
        <f t="shared" si="61"/>
        <v>10180.097018000002</v>
      </c>
      <c r="CG21" s="1777">
        <f t="shared" si="61"/>
        <v>11476.275209999998</v>
      </c>
      <c r="CH21" s="1777">
        <f t="shared" si="61"/>
        <v>10992.785092000002</v>
      </c>
      <c r="CI21" s="1777">
        <f t="shared" si="61"/>
        <v>10815.639519999997</v>
      </c>
      <c r="CJ21" s="1777">
        <f t="shared" si="61"/>
        <v>12274.480252999998</v>
      </c>
      <c r="CK21" s="1777">
        <f t="shared" si="61"/>
        <v>11210.600040000001</v>
      </c>
      <c r="CL21" s="1777">
        <f t="shared" si="61"/>
        <v>11564.040539</v>
      </c>
      <c r="CM21" s="1777">
        <f t="shared" si="61"/>
        <v>14365.985110000001</v>
      </c>
      <c r="CN21" s="1777">
        <f t="shared" si="61"/>
        <v>12528.809217</v>
      </c>
      <c r="CO21" s="1777">
        <f t="shared" si="61"/>
        <v>10647.823278</v>
      </c>
      <c r="CP21" s="1778">
        <f t="shared" si="61"/>
        <v>14356.679886999998</v>
      </c>
      <c r="CQ21" s="2579">
        <f t="shared" si="61"/>
        <v>147785.13399853924</v>
      </c>
      <c r="CR21" s="2577">
        <f>SUM(CR22:CR27)</f>
        <v>11028.934106342131</v>
      </c>
      <c r="CS21" s="2577">
        <f>SUM(CS22:CS27)</f>
        <v>11229.660590360396</v>
      </c>
      <c r="CT21" s="2577">
        <f>SUM(CT22:CT27)</f>
        <v>11560.545947506114</v>
      </c>
      <c r="CU21" s="2577">
        <f>SUM(CU22:CU27)</f>
        <v>11286.279334272902</v>
      </c>
      <c r="CV21" s="2577">
        <f>SUM(CV22:CV27)</f>
        <v>11141.703448080345</v>
      </c>
      <c r="CW21" s="2577">
        <f t="shared" ref="CW21" si="62">SUM(CW22:CW27)</f>
        <v>12325.512311034559</v>
      </c>
      <c r="CX21" s="2577">
        <f t="shared" si="61"/>
        <v>11363.698209232767</v>
      </c>
      <c r="CY21" s="1912">
        <f t="shared" si="61"/>
        <v>11727.629904654896</v>
      </c>
      <c r="CZ21" s="1912">
        <f t="shared" si="61"/>
        <v>16105.986710561414</v>
      </c>
      <c r="DA21" s="1912">
        <f t="shared" si="61"/>
        <v>11904.156193205794</v>
      </c>
      <c r="DB21" s="1912">
        <f t="shared" si="61"/>
        <v>11561.291455751802</v>
      </c>
      <c r="DC21" s="2290">
        <f t="shared" si="61"/>
        <v>16549.735787536116</v>
      </c>
      <c r="DD21" s="2766"/>
      <c r="DE21" s="2587"/>
      <c r="DF21" s="2587"/>
      <c r="DG21" s="1913">
        <f t="shared" si="14"/>
        <v>5.015500018680541E-2</v>
      </c>
      <c r="DH21" s="1913">
        <f t="shared" si="15"/>
        <v>0.1075664715029927</v>
      </c>
      <c r="DI21" s="2969">
        <f t="shared" si="16"/>
        <v>4.9726593367889871E-2</v>
      </c>
      <c r="DJ21" s="2968">
        <f t="shared" si="25"/>
        <v>6070.7951949999842</v>
      </c>
      <c r="DK21" s="2968">
        <f t="shared" si="26"/>
        <v>13672.932589000033</v>
      </c>
      <c r="DL21" s="2968">
        <f t="shared" si="17"/>
        <v>7000.7288665392261</v>
      </c>
      <c r="DM21" s="2544"/>
      <c r="DN21" s="2982"/>
      <c r="DO21" s="2982"/>
    </row>
    <row r="22" spans="2:120">
      <c r="B22" s="40" t="s">
        <v>67</v>
      </c>
      <c r="C22" s="41"/>
      <c r="D22" s="66"/>
      <c r="E22" s="1340"/>
      <c r="F22" s="1340"/>
      <c r="G22" s="1340"/>
      <c r="H22" s="1340"/>
      <c r="I22" s="1340"/>
      <c r="J22" s="1340"/>
      <c r="K22" s="1340"/>
      <c r="L22" s="1340"/>
      <c r="M22" s="1340"/>
      <c r="N22" s="1340"/>
      <c r="O22" s="1340"/>
      <c r="P22" s="1340"/>
      <c r="Q22" s="64">
        <f t="shared" si="18"/>
        <v>13079.927830000002</v>
      </c>
      <c r="R22" s="1340">
        <f t="shared" ref="R22:AC22" si="63">R98</f>
        <v>732.41953000000001</v>
      </c>
      <c r="S22" s="1340">
        <f t="shared" si="63"/>
        <v>792.56667000000016</v>
      </c>
      <c r="T22" s="1340">
        <f t="shared" si="63"/>
        <v>1863.2813169999999</v>
      </c>
      <c r="U22" s="1340">
        <f t="shared" si="63"/>
        <v>782.00269000000003</v>
      </c>
      <c r="V22" s="1340">
        <f t="shared" si="63"/>
        <v>795.40254000000016</v>
      </c>
      <c r="W22" s="1340">
        <f t="shared" si="63"/>
        <v>1574.1420969999999</v>
      </c>
      <c r="X22" s="1340">
        <f t="shared" si="63"/>
        <v>782.30636000000015</v>
      </c>
      <c r="Y22" s="1340">
        <f t="shared" si="63"/>
        <v>768.39486000000022</v>
      </c>
      <c r="Z22" s="1340">
        <f t="shared" si="63"/>
        <v>1586.8999720000002</v>
      </c>
      <c r="AA22" s="1340">
        <f t="shared" si="63"/>
        <v>767.20498000000009</v>
      </c>
      <c r="AB22" s="1340">
        <f t="shared" si="63"/>
        <v>782.43061000000012</v>
      </c>
      <c r="AC22" s="1341">
        <f t="shared" si="63"/>
        <v>1852.8762039999997</v>
      </c>
      <c r="AD22" s="1119">
        <v>13537.893889999999</v>
      </c>
      <c r="AE22" s="1058">
        <f t="shared" ref="AE22:AP22" si="64">AE98</f>
        <v>1091.41236</v>
      </c>
      <c r="AF22" s="1058">
        <f t="shared" si="64"/>
        <v>1134.5267899999999</v>
      </c>
      <c r="AG22" s="1058">
        <f t="shared" si="64"/>
        <v>994.25001999999984</v>
      </c>
      <c r="AH22" s="1058">
        <f t="shared" si="64"/>
        <v>1102.33527</v>
      </c>
      <c r="AI22" s="1058">
        <f t="shared" si="64"/>
        <v>1109.3111700000002</v>
      </c>
      <c r="AJ22" s="1058">
        <f t="shared" si="64"/>
        <v>1089.90741</v>
      </c>
      <c r="AK22" s="1058">
        <f t="shared" si="64"/>
        <v>1053.570408</v>
      </c>
      <c r="AL22" s="1058">
        <f t="shared" si="64"/>
        <v>1091.3761840000002</v>
      </c>
      <c r="AM22" s="1058">
        <f t="shared" si="64"/>
        <v>1135.1577040000002</v>
      </c>
      <c r="AN22" s="1058">
        <f t="shared" si="64"/>
        <v>1099.5699140000002</v>
      </c>
      <c r="AO22" s="1058">
        <f t="shared" si="64"/>
        <v>1119.0637839999999</v>
      </c>
      <c r="AP22" s="1059">
        <f t="shared" si="64"/>
        <v>1517.4128760000003</v>
      </c>
      <c r="AQ22" s="64">
        <v>13620.726559999997</v>
      </c>
      <c r="AR22" s="1340">
        <v>1116.5374660000002</v>
      </c>
      <c r="AS22" s="1340">
        <v>1103.2752959999998</v>
      </c>
      <c r="AT22" s="1340">
        <v>699.43365600000004</v>
      </c>
      <c r="AU22" s="1340">
        <v>1097.807016</v>
      </c>
      <c r="AV22" s="1340">
        <v>1104.3066359999998</v>
      </c>
      <c r="AW22" s="1340">
        <v>1108.643996</v>
      </c>
      <c r="AX22" s="1340">
        <v>1069.060669</v>
      </c>
      <c r="AY22" s="1340">
        <v>1082.247091</v>
      </c>
      <c r="AZ22" s="1340">
        <v>1100.5700109999998</v>
      </c>
      <c r="BA22" s="1340">
        <v>1073.5689509999997</v>
      </c>
      <c r="BB22" s="1340">
        <v>1480.1338909999999</v>
      </c>
      <c r="BC22" s="1340">
        <v>1585.141881</v>
      </c>
      <c r="BD22" s="64">
        <f>SUM(BE22:BP22)</f>
        <v>14910.462000000001</v>
      </c>
      <c r="BE22" s="1340">
        <f>인건비!AT29</f>
        <v>1155.56203</v>
      </c>
      <c r="BF22" s="1340">
        <f>인건비!AU29</f>
        <v>1154.95865</v>
      </c>
      <c r="BG22" s="1340">
        <f>인건비!AV29</f>
        <v>896.16154000000017</v>
      </c>
      <c r="BH22" s="1340">
        <f>인건비!AW29</f>
        <v>1157.8665300000002</v>
      </c>
      <c r="BI22" s="1340">
        <f>인건비!AX29</f>
        <v>1177.5984100000001</v>
      </c>
      <c r="BJ22" s="1340">
        <f>인건비!AY29</f>
        <v>1169.5172699999998</v>
      </c>
      <c r="BK22" s="1340">
        <f>인건비!AZ29</f>
        <v>1459.0689239999997</v>
      </c>
      <c r="BL22" s="1340">
        <f>인건비!BA29</f>
        <v>1177.6672699999999</v>
      </c>
      <c r="BM22" s="1340">
        <f>인건비!BB29</f>
        <v>1195.3349699999999</v>
      </c>
      <c r="BN22" s="1340">
        <f>인건비!BC29</f>
        <v>1182.1812800000002</v>
      </c>
      <c r="BO22" s="1340">
        <f>인건비!BD29</f>
        <v>1295.16617</v>
      </c>
      <c r="BP22" s="1340">
        <f>인건비!BE29</f>
        <v>1889.3789560000002</v>
      </c>
      <c r="BQ22" s="64">
        <f t="shared" ref="BQ22:BQ27" si="65">SUM(BR22:CC22)</f>
        <v>14763.337839999997</v>
      </c>
      <c r="BR22" s="1781">
        <f>인건비!BG29</f>
        <v>1324.7113079999999</v>
      </c>
      <c r="BS22" s="1781">
        <f>인건비!BH29</f>
        <v>1351.2224679999997</v>
      </c>
      <c r="BT22" s="1781">
        <f>인건비!BI29</f>
        <v>688.47385799999984</v>
      </c>
      <c r="BU22" s="1781">
        <f>인건비!BJ29</f>
        <v>1308.6766680000001</v>
      </c>
      <c r="BV22" s="1781">
        <f>인건비!BK29</f>
        <v>1312.292038</v>
      </c>
      <c r="BW22" s="1781">
        <f>인건비!BL29</f>
        <v>1306.9141780000002</v>
      </c>
      <c r="BX22" s="1781">
        <f>인건비!BM29</f>
        <v>1215.1461219999999</v>
      </c>
      <c r="BY22" s="1781">
        <f>인건비!BN29</f>
        <v>1228.1721640000003</v>
      </c>
      <c r="BZ22" s="1781">
        <f>인건비!BO29</f>
        <v>1242.0570839999998</v>
      </c>
      <c r="CA22" s="1781">
        <f>인건비!BP29</f>
        <v>1447.1241440000001</v>
      </c>
      <c r="CB22" s="1781">
        <f>인건비!BQ29</f>
        <v>1166.3180540000001</v>
      </c>
      <c r="CC22" s="1782">
        <f>인건비!BR29</f>
        <v>1172.229754</v>
      </c>
      <c r="CD22" s="1710">
        <f t="shared" ref="CD22:CD27" si="66">SUM(CE22:CP22)</f>
        <v>17537.095530000002</v>
      </c>
      <c r="CE22" s="1930">
        <f>인건비!BT29</f>
        <v>1258.446064</v>
      </c>
      <c r="CF22" s="1930">
        <f>인건비!BU29</f>
        <v>1311.497554</v>
      </c>
      <c r="CG22" s="1930">
        <f>인건비!BV29</f>
        <v>1665.147254</v>
      </c>
      <c r="CH22" s="1930">
        <f>인건비!BW29</f>
        <v>1332.2243939999998</v>
      </c>
      <c r="CI22" s="1930">
        <f>인건비!BX29</f>
        <v>1320.5953239999999</v>
      </c>
      <c r="CJ22" s="1930">
        <f>인건비!BY29</f>
        <v>1333.4174239999998</v>
      </c>
      <c r="CK22" s="1930">
        <f>인건비!BZ29</f>
        <v>1353.3149440000004</v>
      </c>
      <c r="CL22" s="1930">
        <f>인건비!CA29</f>
        <v>1329.2281439999999</v>
      </c>
      <c r="CM22" s="1930">
        <f>인건비!CB29</f>
        <v>1357.3013239999996</v>
      </c>
      <c r="CN22" s="1930">
        <f>인건비!CC29</f>
        <v>1661.2105639999997</v>
      </c>
      <c r="CO22" s="1930">
        <f>인건비!CD29</f>
        <v>1388.4506940000001</v>
      </c>
      <c r="CP22" s="1931">
        <f>인건비!CE29</f>
        <v>2226.2618459999999</v>
      </c>
      <c r="CQ22" s="2580">
        <f t="shared" ref="CQ22:CQ27" si="67">SUM(CR22:DC22)</f>
        <v>18912.697761681789</v>
      </c>
      <c r="CR22" s="2929">
        <f t="shared" ref="CR22:DC22" si="68">CR98+CR146</f>
        <v>1390.8656975883146</v>
      </c>
      <c r="CS22" s="2929">
        <f t="shared" si="68"/>
        <v>1425.4746618697238</v>
      </c>
      <c r="CT22" s="2929">
        <f t="shared" si="68"/>
        <v>1801.3358338802234</v>
      </c>
      <c r="CU22" s="2929">
        <f t="shared" si="68"/>
        <v>1441.1839757215641</v>
      </c>
      <c r="CV22" s="2929">
        <f t="shared" si="68"/>
        <v>1428.6037907226814</v>
      </c>
      <c r="CW22" s="2929">
        <f t="shared" si="68"/>
        <v>1442.4745809126255</v>
      </c>
      <c r="CX22" s="2929">
        <f t="shared" si="68"/>
        <v>1503.8564779727374</v>
      </c>
      <c r="CY22" s="2930">
        <f t="shared" si="68"/>
        <v>1503.8564779727374</v>
      </c>
      <c r="CZ22" s="2930">
        <f t="shared" si="68"/>
        <v>1603.47683112296</v>
      </c>
      <c r="DA22" s="2930">
        <f t="shared" si="68"/>
        <v>1523.8564779727401</v>
      </c>
      <c r="DB22" s="2930">
        <f t="shared" si="68"/>
        <v>1423.8564779727401</v>
      </c>
      <c r="DC22" s="2286">
        <f t="shared" si="68"/>
        <v>2423.8564779727403</v>
      </c>
      <c r="DD22" s="2766"/>
      <c r="DE22" s="2587"/>
      <c r="DF22" s="2587"/>
      <c r="DG22" s="1913">
        <f t="shared" si="14"/>
        <v>-9.8671764831971265E-3</v>
      </c>
      <c r="DH22" s="1913">
        <f t="shared" si="15"/>
        <v>0.18788147504724484</v>
      </c>
      <c r="DI22" s="2969">
        <f t="shared" si="16"/>
        <v>7.8439569957784672E-2</v>
      </c>
      <c r="DJ22" s="2968">
        <f t="shared" si="25"/>
        <v>-147.12416000000485</v>
      </c>
      <c r="DK22" s="2968">
        <f t="shared" si="26"/>
        <v>2773.7576900000058</v>
      </c>
      <c r="DL22" s="2968">
        <f t="shared" si="17"/>
        <v>1375.6022316817871</v>
      </c>
      <c r="DM22" s="2544"/>
      <c r="DN22" s="2982"/>
      <c r="DO22" s="2982"/>
      <c r="DP22" s="2603"/>
    </row>
    <row r="23" spans="2:120">
      <c r="B23" s="40" t="s">
        <v>68</v>
      </c>
      <c r="C23" s="42"/>
      <c r="D23" s="797"/>
      <c r="E23" s="1340"/>
      <c r="F23" s="1340"/>
      <c r="G23" s="1340"/>
      <c r="H23" s="1340"/>
      <c r="I23" s="1340"/>
      <c r="J23" s="1340"/>
      <c r="K23" s="1340"/>
      <c r="L23" s="1340"/>
      <c r="M23" s="1340"/>
      <c r="N23" s="1340"/>
      <c r="O23" s="1340"/>
      <c r="P23" s="1340"/>
      <c r="Q23" s="64">
        <f t="shared" si="18"/>
        <v>67307.359280000004</v>
      </c>
      <c r="R23" s="1340">
        <f t="shared" ref="R23:AC23" si="69">R99</f>
        <v>5521.9263899999996</v>
      </c>
      <c r="S23" s="1340">
        <f t="shared" si="69"/>
        <v>5484.5402700000004</v>
      </c>
      <c r="T23" s="1340">
        <f t="shared" si="69"/>
        <v>6874.0137800000011</v>
      </c>
      <c r="U23" s="1340">
        <f t="shared" si="69"/>
        <v>5470.7390599999999</v>
      </c>
      <c r="V23" s="1340">
        <f t="shared" si="69"/>
        <v>5286.5701300000001</v>
      </c>
      <c r="W23" s="1340">
        <f t="shared" si="69"/>
        <v>6568.0286399999995</v>
      </c>
      <c r="X23" s="1340">
        <f t="shared" si="69"/>
        <v>4989.1524900000004</v>
      </c>
      <c r="Y23" s="1340">
        <f t="shared" si="69"/>
        <v>5025.3630599999997</v>
      </c>
      <c r="Z23" s="1340">
        <f t="shared" si="69"/>
        <v>6346.7262000000001</v>
      </c>
      <c r="AA23" s="1340">
        <f t="shared" si="69"/>
        <v>4918.25342</v>
      </c>
      <c r="AB23" s="1340">
        <f t="shared" si="69"/>
        <v>4935.5825100000002</v>
      </c>
      <c r="AC23" s="1341">
        <f t="shared" si="69"/>
        <v>5886.4633300000023</v>
      </c>
      <c r="AD23" s="1119">
        <v>63250.941449999991</v>
      </c>
      <c r="AE23" s="1058">
        <f t="shared" ref="AE23:AP23" si="70">AE99</f>
        <v>5319.6061030000001</v>
      </c>
      <c r="AF23" s="1058">
        <f t="shared" si="70"/>
        <v>5500.1339230000003</v>
      </c>
      <c r="AG23" s="1058">
        <f t="shared" si="70"/>
        <v>5382.3584129999999</v>
      </c>
      <c r="AH23" s="1058">
        <f t="shared" si="70"/>
        <v>5460.4270410000008</v>
      </c>
      <c r="AI23" s="1058">
        <f t="shared" si="70"/>
        <v>5330.5585300000002</v>
      </c>
      <c r="AJ23" s="1058">
        <f t="shared" si="70"/>
        <v>5296.3631100000002</v>
      </c>
      <c r="AK23" s="1058">
        <f t="shared" si="70"/>
        <v>5262.6072599999989</v>
      </c>
      <c r="AL23" s="1058">
        <f t="shared" si="70"/>
        <v>5254.8808099999987</v>
      </c>
      <c r="AM23" s="1058">
        <f t="shared" si="70"/>
        <v>5231.1083399999998</v>
      </c>
      <c r="AN23" s="1058">
        <f t="shared" si="70"/>
        <v>5177.0641599999981</v>
      </c>
      <c r="AO23" s="1058">
        <f t="shared" si="70"/>
        <v>5139.4434200000005</v>
      </c>
      <c r="AP23" s="1059">
        <f t="shared" si="70"/>
        <v>4896.390339999999</v>
      </c>
      <c r="AQ23" s="64">
        <v>65842.601630999998</v>
      </c>
      <c r="AR23" s="1340">
        <v>5186.8304100000005</v>
      </c>
      <c r="AS23" s="1340">
        <v>5285.83392</v>
      </c>
      <c r="AT23" s="1340">
        <v>5317.0178099999994</v>
      </c>
      <c r="AU23" s="1340">
        <v>5213.2141970000002</v>
      </c>
      <c r="AV23" s="1340">
        <v>5197.2661270000008</v>
      </c>
      <c r="AW23" s="1340">
        <v>5206.8878269999996</v>
      </c>
      <c r="AX23" s="1340">
        <v>5195.6852330000002</v>
      </c>
      <c r="AY23" s="1340">
        <v>5244.8744839999999</v>
      </c>
      <c r="AZ23" s="1340">
        <v>5256.6400340000009</v>
      </c>
      <c r="BA23" s="1340">
        <v>5252.9707149999995</v>
      </c>
      <c r="BB23" s="1340">
        <v>7567.8116170000012</v>
      </c>
      <c r="BC23" s="1340">
        <v>5917.5692569999992</v>
      </c>
      <c r="BD23" s="64">
        <f>SUM(BE23:BP23)</f>
        <v>67415.661918999991</v>
      </c>
      <c r="BE23" s="1340">
        <f>인건비!AT30</f>
        <v>5524.7868219999991</v>
      </c>
      <c r="BF23" s="1340">
        <f>인건비!AU30</f>
        <v>5575.3811730000007</v>
      </c>
      <c r="BG23" s="1340">
        <f>인건비!AV30</f>
        <v>5547.5005029999993</v>
      </c>
      <c r="BH23" s="1340">
        <f>인건비!AW30</f>
        <v>5745.7358610000001</v>
      </c>
      <c r="BI23" s="1340">
        <f>인건비!AX30</f>
        <v>5548.9957399999994</v>
      </c>
      <c r="BJ23" s="1340">
        <f>인건비!AY30</f>
        <v>5526.7987899999998</v>
      </c>
      <c r="BK23" s="1340">
        <f>인건비!AZ30</f>
        <v>5462.6340699999992</v>
      </c>
      <c r="BL23" s="1340">
        <f>인건비!BA30</f>
        <v>5519.4557599999989</v>
      </c>
      <c r="BM23" s="1340">
        <f>인건비!BB30</f>
        <v>5439.9589199999982</v>
      </c>
      <c r="BN23" s="1340">
        <f>인건비!BC30</f>
        <v>5452.1774199999982</v>
      </c>
      <c r="BO23" s="1340">
        <f>인건비!BD30</f>
        <v>6591.1193400000002</v>
      </c>
      <c r="BP23" s="1340">
        <f>인건비!BE30</f>
        <v>5481.1175200000016</v>
      </c>
      <c r="BQ23" s="64">
        <f t="shared" si="65"/>
        <v>70814.329830000002</v>
      </c>
      <c r="BR23" s="1781">
        <f>인건비!BG30+인건비!BG31</f>
        <v>5530.9239099999995</v>
      </c>
      <c r="BS23" s="1781">
        <f>인건비!BH30+인건비!BH31</f>
        <v>5641.25306</v>
      </c>
      <c r="BT23" s="1781">
        <f>인건비!BI30+인건비!BI31</f>
        <v>5588.7795099999994</v>
      </c>
      <c r="BU23" s="1781">
        <f>인건비!BJ30+인건비!BJ31</f>
        <v>5728.7207699999999</v>
      </c>
      <c r="BV23" s="1781">
        <f>인건비!BK30+인건비!BK31</f>
        <v>5712.7677700000004</v>
      </c>
      <c r="BW23" s="1781">
        <f>인건비!BL30+인건비!BL31</f>
        <v>5710.7292900000002</v>
      </c>
      <c r="BX23" s="1781">
        <f>인건비!BM30+인건비!BM31</f>
        <v>5701.9205400000001</v>
      </c>
      <c r="BY23" s="1781">
        <f>인건비!BN30+인건비!BN31</f>
        <v>5789.4881099999993</v>
      </c>
      <c r="BZ23" s="1781">
        <f>인건비!BO30+인건비!BO31</f>
        <v>5732.0979100000004</v>
      </c>
      <c r="CA23" s="1781">
        <f>인건비!BP30+인건비!BP31</f>
        <v>7091.6484499999997</v>
      </c>
      <c r="CB23" s="1781">
        <f>인건비!BQ30+인건비!BQ31</f>
        <v>5990.8036800000009</v>
      </c>
      <c r="CC23" s="1782">
        <f>인건비!BR30+인건비!BR31</f>
        <v>6595.1968300000008</v>
      </c>
      <c r="CD23" s="1710">
        <f t="shared" si="66"/>
        <v>75411.306813000003</v>
      </c>
      <c r="CE23" s="1930">
        <f>인건비!BT30+인건비!BT31</f>
        <v>6133.5573199999999</v>
      </c>
      <c r="CF23" s="1930">
        <f>인건비!BU30+인건비!BU31</f>
        <v>6253.0501200000008</v>
      </c>
      <c r="CG23" s="1930">
        <f>인건비!BV30+인건비!BV31</f>
        <v>6264.8889829999989</v>
      </c>
      <c r="CH23" s="1930">
        <f>인건비!BW30+인건비!BW31</f>
        <v>6301.6875800000007</v>
      </c>
      <c r="CI23" s="1930">
        <f>인건비!BX30+인건비!BX31</f>
        <v>6206.6479199999976</v>
      </c>
      <c r="CJ23" s="1930">
        <f>인건비!BY30+인건비!BY31</f>
        <v>6162.3232999999982</v>
      </c>
      <c r="CK23" s="1930">
        <f>인건비!BZ30+인건비!BZ31</f>
        <v>6110.6272499999995</v>
      </c>
      <c r="CL23" s="1930">
        <f>인건비!CA30+인건비!CA31</f>
        <v>6095.6246499999997</v>
      </c>
      <c r="CM23" s="1930">
        <f>인건비!CB30+인건비!CB31</f>
        <v>6069.0385800000004</v>
      </c>
      <c r="CN23" s="1930">
        <f>인건비!CC30+인건비!CC31</f>
        <v>7511.1837500000011</v>
      </c>
      <c r="CO23" s="1930">
        <f>인건비!CD30+인건비!CD31</f>
        <v>6123.0078199999998</v>
      </c>
      <c r="CP23" s="1931">
        <f>인건비!CE30+인건비!CE31</f>
        <v>6179.669539999999</v>
      </c>
      <c r="CQ23" s="2580">
        <f t="shared" si="67"/>
        <v>78841.411682754231</v>
      </c>
      <c r="CR23" s="2929">
        <f t="shared" ref="CR23:DC23" si="71">CR99+CR147</f>
        <v>6405.4959071797575</v>
      </c>
      <c r="CS23" s="2929">
        <f t="shared" si="71"/>
        <v>6349.1688570904134</v>
      </c>
      <c r="CT23" s="2929">
        <f t="shared" si="71"/>
        <v>6376.7618528448675</v>
      </c>
      <c r="CU23" s="2929">
        <f t="shared" si="71"/>
        <v>6343.4948439440695</v>
      </c>
      <c r="CV23" s="2929">
        <f t="shared" si="71"/>
        <v>6357.9446420480426</v>
      </c>
      <c r="CW23" s="2929">
        <f t="shared" si="71"/>
        <v>6362.8470258834996</v>
      </c>
      <c r="CX23" s="2929">
        <f t="shared" si="71"/>
        <v>6426.9049491938304</v>
      </c>
      <c r="CY23" s="2930">
        <f t="shared" si="71"/>
        <v>6412.2024463224316</v>
      </c>
      <c r="CZ23" s="2930">
        <f t="shared" si="71"/>
        <v>8048.3199344855293</v>
      </c>
      <c r="DA23" s="2930">
        <f t="shared" si="71"/>
        <v>6627.9231587030699</v>
      </c>
      <c r="DB23" s="2930">
        <f t="shared" si="71"/>
        <v>6565.1740325293595</v>
      </c>
      <c r="DC23" s="2286">
        <f t="shared" si="71"/>
        <v>6565.1740325293595</v>
      </c>
      <c r="DD23" s="2766"/>
      <c r="DE23" s="2587"/>
      <c r="DF23" s="2587"/>
      <c r="DG23" s="1913">
        <f t="shared" si="14"/>
        <v>5.0413625176350285E-2</v>
      </c>
      <c r="DH23" s="1913">
        <f t="shared" si="15"/>
        <v>6.4915914533621999E-2</v>
      </c>
      <c r="DI23" s="2969">
        <f t="shared" si="16"/>
        <v>4.5485286155562576E-2</v>
      </c>
      <c r="DJ23" s="2968">
        <f t="shared" si="25"/>
        <v>3398.6679110000114</v>
      </c>
      <c r="DK23" s="2968">
        <f t="shared" si="26"/>
        <v>4596.9769830000005</v>
      </c>
      <c r="DL23" s="2968">
        <f t="shared" si="17"/>
        <v>3430.1048697542283</v>
      </c>
      <c r="DM23" s="2544"/>
      <c r="DN23" s="2982"/>
      <c r="DO23" s="28"/>
    </row>
    <row r="24" spans="2:120">
      <c r="B24" s="40" t="s">
        <v>438</v>
      </c>
      <c r="C24" s="42"/>
      <c r="D24" s="797"/>
      <c r="E24" s="1340"/>
      <c r="F24" s="1340"/>
      <c r="G24" s="1340"/>
      <c r="H24" s="1340"/>
      <c r="I24" s="1340"/>
      <c r="J24" s="1340"/>
      <c r="K24" s="1340"/>
      <c r="L24" s="1340"/>
      <c r="M24" s="1340"/>
      <c r="N24" s="1340"/>
      <c r="O24" s="1340"/>
      <c r="P24" s="1340"/>
      <c r="Q24" s="64">
        <f>SUM(R24:AC24)</f>
        <v>0</v>
      </c>
      <c r="R24" s="1340"/>
      <c r="S24" s="1340"/>
      <c r="T24" s="1340"/>
      <c r="U24" s="1340"/>
      <c r="V24" s="1340"/>
      <c r="W24" s="1340"/>
      <c r="X24" s="1340"/>
      <c r="Y24" s="1340"/>
      <c r="Z24" s="1340"/>
      <c r="AA24" s="1340"/>
      <c r="AB24" s="1340"/>
      <c r="AC24" s="1341"/>
      <c r="AD24" s="64">
        <f>SUM(AE24:AP24)</f>
        <v>0</v>
      </c>
      <c r="AE24" s="1058"/>
      <c r="AF24" s="1058"/>
      <c r="AG24" s="1058"/>
      <c r="AH24" s="1058"/>
      <c r="AI24" s="1058"/>
      <c r="AJ24" s="1058"/>
      <c r="AK24" s="1058"/>
      <c r="AL24" s="1058"/>
      <c r="AM24" s="1058"/>
      <c r="AN24" s="1058"/>
      <c r="AO24" s="1058"/>
      <c r="AP24" s="1059"/>
      <c r="AQ24" s="64">
        <v>1840</v>
      </c>
      <c r="AR24" s="1340">
        <v>0</v>
      </c>
      <c r="AS24" s="1340">
        <v>0</v>
      </c>
      <c r="AT24" s="1340">
        <v>0</v>
      </c>
      <c r="AU24" s="1340">
        <v>0</v>
      </c>
      <c r="AV24" s="1340">
        <v>0</v>
      </c>
      <c r="AW24" s="1340">
        <v>0</v>
      </c>
      <c r="AX24" s="1340">
        <v>0</v>
      </c>
      <c r="AY24" s="1340">
        <v>0</v>
      </c>
      <c r="AZ24" s="1340">
        <v>0</v>
      </c>
      <c r="BA24" s="1340">
        <v>0</v>
      </c>
      <c r="BB24" s="1340">
        <v>1840</v>
      </c>
      <c r="BC24" s="1340">
        <v>0</v>
      </c>
      <c r="BD24" s="64">
        <f t="shared" ref="BD24" si="72">SUM(BE24:BP24)</f>
        <v>2363.4</v>
      </c>
      <c r="BE24" s="1340">
        <f>인건비!AT32</f>
        <v>0</v>
      </c>
      <c r="BF24" s="1340">
        <f>인건비!AU32</f>
        <v>0</v>
      </c>
      <c r="BG24" s="1340">
        <f>인건비!AV32</f>
        <v>0</v>
      </c>
      <c r="BH24" s="1340">
        <f>인건비!AW32</f>
        <v>0</v>
      </c>
      <c r="BI24" s="1340">
        <f>인건비!AX32</f>
        <v>0</v>
      </c>
      <c r="BJ24" s="1340">
        <f>인건비!AY32</f>
        <v>0</v>
      </c>
      <c r="BK24" s="1340">
        <f>인건비!AZ32</f>
        <v>0</v>
      </c>
      <c r="BL24" s="1340">
        <f>인건비!BA32</f>
        <v>0</v>
      </c>
      <c r="BM24" s="1340">
        <f>인건비!BB32</f>
        <v>0</v>
      </c>
      <c r="BN24" s="1340">
        <f>인건비!BC32</f>
        <v>0</v>
      </c>
      <c r="BO24" s="1340">
        <f>인건비!BD32</f>
        <v>2363.4</v>
      </c>
      <c r="BP24" s="1340">
        <f>인건비!BE32</f>
        <v>0</v>
      </c>
      <c r="BQ24" s="64">
        <f t="shared" si="65"/>
        <v>2357.4</v>
      </c>
      <c r="BR24" s="1781">
        <f>인건비!BG32</f>
        <v>0</v>
      </c>
      <c r="BS24" s="1781">
        <f>인건비!BH32</f>
        <v>0</v>
      </c>
      <c r="BT24" s="1781">
        <f>인건비!BI32</f>
        <v>0</v>
      </c>
      <c r="BU24" s="1781">
        <f>인건비!BJ32</f>
        <v>0</v>
      </c>
      <c r="BV24" s="1781">
        <f>인건비!BK32</f>
        <v>0</v>
      </c>
      <c r="BW24" s="1781">
        <f>인건비!BL32</f>
        <v>578.4</v>
      </c>
      <c r="BX24" s="1781">
        <f>인건비!BM32</f>
        <v>0</v>
      </c>
      <c r="BY24" s="1781">
        <f>인건비!BN32</f>
        <v>0</v>
      </c>
      <c r="BZ24" s="1781">
        <f>인건비!BO32</f>
        <v>1779</v>
      </c>
      <c r="CA24" s="1781">
        <f>인건비!BP32</f>
        <v>0</v>
      </c>
      <c r="CB24" s="1781">
        <f>인건비!BQ32</f>
        <v>0</v>
      </c>
      <c r="CC24" s="1782">
        <f>인건비!BR32</f>
        <v>0</v>
      </c>
      <c r="CD24" s="1710">
        <f t="shared" si="66"/>
        <v>2896.5</v>
      </c>
      <c r="CE24" s="1930">
        <f>인건비!BT32</f>
        <v>0</v>
      </c>
      <c r="CF24" s="1930">
        <f>인건비!BU32</f>
        <v>0</v>
      </c>
      <c r="CG24" s="1930">
        <f>인건비!BV32</f>
        <v>0</v>
      </c>
      <c r="CH24" s="1930">
        <f>인건비!BW32</f>
        <v>0</v>
      </c>
      <c r="CI24" s="1930">
        <f>인건비!BX32</f>
        <v>0</v>
      </c>
      <c r="CJ24" s="1930">
        <f>인건비!BY32</f>
        <v>0</v>
      </c>
      <c r="CK24" s="1930">
        <f>인건비!BZ32</f>
        <v>0</v>
      </c>
      <c r="CL24" s="1930">
        <f>인건비!CA32</f>
        <v>0</v>
      </c>
      <c r="CM24" s="1930">
        <f>인건비!CB32</f>
        <v>2895</v>
      </c>
      <c r="CN24" s="1930">
        <f>인건비!CC32</f>
        <v>1.5</v>
      </c>
      <c r="CO24" s="1930">
        <f>인건비!CD32</f>
        <v>0</v>
      </c>
      <c r="CP24" s="1931">
        <f>인건비!CE32</f>
        <v>0</v>
      </c>
      <c r="CQ24" s="2580">
        <f t="shared" si="67"/>
        <v>3000</v>
      </c>
      <c r="CR24" s="2929">
        <f t="shared" ref="CR24:DC24" si="73">CR100+CR148</f>
        <v>0</v>
      </c>
      <c r="CS24" s="2929">
        <f t="shared" si="73"/>
        <v>0</v>
      </c>
      <c r="CT24" s="2929">
        <f t="shared" si="73"/>
        <v>0</v>
      </c>
      <c r="CU24" s="2929">
        <f t="shared" si="73"/>
        <v>0</v>
      </c>
      <c r="CV24" s="2929">
        <f t="shared" si="73"/>
        <v>0</v>
      </c>
      <c r="CW24" s="2929">
        <f t="shared" si="73"/>
        <v>0</v>
      </c>
      <c r="CX24" s="2929">
        <f t="shared" si="73"/>
        <v>0</v>
      </c>
      <c r="CY24" s="2930">
        <f t="shared" si="73"/>
        <v>0</v>
      </c>
      <c r="CZ24" s="2930">
        <f t="shared" si="73"/>
        <v>3000</v>
      </c>
      <c r="DA24" s="2930">
        <f t="shared" si="73"/>
        <v>0</v>
      </c>
      <c r="DB24" s="2930">
        <f t="shared" si="73"/>
        <v>0</v>
      </c>
      <c r="DC24" s="2286">
        <f t="shared" si="73"/>
        <v>0</v>
      </c>
      <c r="DD24" s="2766"/>
      <c r="DE24" s="2587"/>
      <c r="DF24" s="2587"/>
      <c r="DG24" s="1913">
        <f t="shared" si="14"/>
        <v>-2.5387154100025011E-3</v>
      </c>
      <c r="DH24" s="1913">
        <f t="shared" si="15"/>
        <v>0.2286841435479765</v>
      </c>
      <c r="DI24" s="1913">
        <f t="shared" si="16"/>
        <v>3.5732780942516751E-2</v>
      </c>
      <c r="DJ24" s="2968">
        <f t="shared" si="25"/>
        <v>-6</v>
      </c>
      <c r="DK24" s="2968">
        <f t="shared" si="26"/>
        <v>539.09999999999991</v>
      </c>
      <c r="DL24" s="2968">
        <f t="shared" si="17"/>
        <v>103.5</v>
      </c>
      <c r="DM24" s="2544"/>
      <c r="DN24" s="2982"/>
      <c r="DO24" s="28"/>
    </row>
    <row r="25" spans="2:120">
      <c r="B25" s="40" t="s">
        <v>69</v>
      </c>
      <c r="C25" s="41"/>
      <c r="D25" s="66"/>
      <c r="E25" s="1340"/>
      <c r="F25" s="1340"/>
      <c r="G25" s="1340"/>
      <c r="H25" s="1340"/>
      <c r="I25" s="1340"/>
      <c r="J25" s="1340"/>
      <c r="K25" s="1340"/>
      <c r="L25" s="1340"/>
      <c r="M25" s="1340"/>
      <c r="N25" s="1340"/>
      <c r="O25" s="1340"/>
      <c r="P25" s="1340"/>
      <c r="Q25" s="64">
        <f t="shared" ref="Q25:Q52" si="74">Q101</f>
        <v>317.32509800000003</v>
      </c>
      <c r="R25" s="1340">
        <f t="shared" ref="R25:AP25" si="75">R101</f>
        <v>0</v>
      </c>
      <c r="S25" s="1340">
        <f t="shared" si="75"/>
        <v>0</v>
      </c>
      <c r="T25" s="1340">
        <f t="shared" si="75"/>
        <v>13.675269</v>
      </c>
      <c r="U25" s="1340">
        <f t="shared" si="75"/>
        <v>0</v>
      </c>
      <c r="V25" s="1340">
        <f t="shared" si="75"/>
        <v>0</v>
      </c>
      <c r="W25" s="1340">
        <f t="shared" si="75"/>
        <v>15.875268999999999</v>
      </c>
      <c r="X25" s="1340">
        <f t="shared" si="75"/>
        <v>1.3</v>
      </c>
      <c r="Y25" s="1340">
        <f t="shared" si="75"/>
        <v>0.4</v>
      </c>
      <c r="Z25" s="1340">
        <f t="shared" si="75"/>
        <v>13.775269</v>
      </c>
      <c r="AA25" s="1340">
        <f t="shared" si="75"/>
        <v>5.74E-2</v>
      </c>
      <c r="AB25" s="1340">
        <f t="shared" si="75"/>
        <v>0.58972000000000002</v>
      </c>
      <c r="AC25" s="1341">
        <f t="shared" si="75"/>
        <v>271.65217100000001</v>
      </c>
      <c r="AD25" s="1119">
        <v>396.97131899999994</v>
      </c>
      <c r="AE25" s="1058">
        <f t="shared" si="75"/>
        <v>8.8021360000000008</v>
      </c>
      <c r="AF25" s="1058">
        <f t="shared" si="75"/>
        <v>8.8021360000000008</v>
      </c>
      <c r="AG25" s="1058">
        <f t="shared" si="75"/>
        <v>10.602136</v>
      </c>
      <c r="AH25" s="1058">
        <f t="shared" si="75"/>
        <v>10.962135999999999</v>
      </c>
      <c r="AI25" s="1058">
        <f t="shared" si="75"/>
        <v>10.602136</v>
      </c>
      <c r="AJ25" s="1058">
        <f t="shared" si="75"/>
        <v>12.282135999999999</v>
      </c>
      <c r="AK25" s="1058">
        <f t="shared" si="75"/>
        <v>10.362136</v>
      </c>
      <c r="AL25" s="1058">
        <f t="shared" si="75"/>
        <v>10.122135999999999</v>
      </c>
      <c r="AM25" s="1058">
        <f t="shared" si="75"/>
        <v>8.8021360000000008</v>
      </c>
      <c r="AN25" s="1058">
        <f t="shared" si="75"/>
        <v>263.13036499999998</v>
      </c>
      <c r="AO25" s="1058">
        <f t="shared" si="75"/>
        <v>10.602136</v>
      </c>
      <c r="AP25" s="1059">
        <f t="shared" si="75"/>
        <v>31.899594</v>
      </c>
      <c r="AQ25" s="64">
        <v>741.52122900000006</v>
      </c>
      <c r="AR25" s="1340">
        <v>8.7593619999999994</v>
      </c>
      <c r="AS25" s="1340">
        <v>160.15936199999999</v>
      </c>
      <c r="AT25" s="1340">
        <v>16.739362</v>
      </c>
      <c r="AU25" s="1340">
        <v>22.444362000000002</v>
      </c>
      <c r="AV25" s="1340">
        <v>13.679361999999999</v>
      </c>
      <c r="AW25" s="1340">
        <v>11.039362000000001</v>
      </c>
      <c r="AX25" s="1340">
        <v>11.039362000000001</v>
      </c>
      <c r="AY25" s="1340">
        <v>96.358536000000001</v>
      </c>
      <c r="AZ25" s="1340">
        <v>10.439361999999999</v>
      </c>
      <c r="BA25" s="1340">
        <v>216.57811699999999</v>
      </c>
      <c r="BB25" s="1340">
        <v>14.279362000000001</v>
      </c>
      <c r="BC25" s="1340">
        <v>160.00531799999999</v>
      </c>
      <c r="BD25" s="64">
        <f t="shared" ref="BD25:BD26" si="76">SUM(BE25:BP25)</f>
        <v>806.359106</v>
      </c>
      <c r="BE25" s="1340">
        <f>인건비!AT34</f>
        <v>9.0370430000000006</v>
      </c>
      <c r="BF25" s="1340">
        <f>인건비!AU34</f>
        <v>135.26564300000001</v>
      </c>
      <c r="BG25" s="1340">
        <f>인건비!AV34</f>
        <v>11.977043</v>
      </c>
      <c r="BH25" s="1340">
        <f>인건비!AW34</f>
        <v>131.93751900000001</v>
      </c>
      <c r="BI25" s="1340">
        <f>인건비!AX34</f>
        <v>10.357043000000001</v>
      </c>
      <c r="BJ25" s="1340">
        <f>인건비!AY34</f>
        <v>10.597042999999999</v>
      </c>
      <c r="BK25" s="1340">
        <f>인건비!AZ34</f>
        <v>10.477043</v>
      </c>
      <c r="BL25" s="1340">
        <f>인건비!BA34</f>
        <v>82.647042999999996</v>
      </c>
      <c r="BM25" s="1340">
        <f>인건비!BB34</f>
        <v>10.597042999999999</v>
      </c>
      <c r="BN25" s="1340">
        <f>인건비!BC34</f>
        <v>155.57009199999999</v>
      </c>
      <c r="BO25" s="1340">
        <f>인건비!BD34</f>
        <v>18.464724</v>
      </c>
      <c r="BP25" s="1340">
        <f>인건비!BE34</f>
        <v>219.431827</v>
      </c>
      <c r="BQ25" s="64">
        <f t="shared" si="65"/>
        <v>707.798631</v>
      </c>
      <c r="BR25" s="1781">
        <f>인건비!BG34</f>
        <v>10.320023000000001</v>
      </c>
      <c r="BS25" s="1781">
        <f>인건비!BH34</f>
        <v>15.840023</v>
      </c>
      <c r="BT25" s="1781">
        <f>인건비!BI34</f>
        <v>15.840023</v>
      </c>
      <c r="BU25" s="1781">
        <f>인건비!BJ34</f>
        <v>136.77819600000001</v>
      </c>
      <c r="BV25" s="1781">
        <f>인건비!BK34</f>
        <v>15.840023</v>
      </c>
      <c r="BW25" s="1781">
        <f>인건비!BL34</f>
        <v>16.240023000000001</v>
      </c>
      <c r="BX25" s="1781">
        <f>인건비!BM34</f>
        <v>8.6400229999999993</v>
      </c>
      <c r="BY25" s="1781">
        <f>인건비!BN34</f>
        <v>32.833488000000003</v>
      </c>
      <c r="BZ25" s="1781">
        <f>인건비!BO34</f>
        <v>139.832527</v>
      </c>
      <c r="CA25" s="1781">
        <f>인건비!BP34</f>
        <v>21.840022999999999</v>
      </c>
      <c r="CB25" s="1781">
        <f>인건비!BQ34</f>
        <v>151.93151700000001</v>
      </c>
      <c r="CC25" s="1782">
        <f>인건비!BR34</f>
        <v>141.862742</v>
      </c>
      <c r="CD25" s="1710">
        <f t="shared" si="66"/>
        <v>699.44121100000007</v>
      </c>
      <c r="CE25" s="1930">
        <f>인건비!BT34</f>
        <v>115.603053</v>
      </c>
      <c r="CF25" s="1930">
        <f>인건비!BU34</f>
        <v>11.543053</v>
      </c>
      <c r="CG25" s="1930">
        <f>인건비!BV34</f>
        <v>9.7430529999999997</v>
      </c>
      <c r="CH25" s="1930">
        <f>인건비!BW34</f>
        <v>30.543053</v>
      </c>
      <c r="CI25" s="1930">
        <f>인건비!BX34</f>
        <v>8.6430530000000001</v>
      </c>
      <c r="CJ25" s="1930">
        <f>인건비!BY34</f>
        <v>21.243053</v>
      </c>
      <c r="CK25" s="1930">
        <f>인건비!BZ34</f>
        <v>10.143053</v>
      </c>
      <c r="CL25" s="1930">
        <f>인건비!CA34</f>
        <v>8.5430530000000005</v>
      </c>
      <c r="CM25" s="1930">
        <f>인건비!CB34</f>
        <v>42.693052999999999</v>
      </c>
      <c r="CN25" s="1930">
        <f>인건비!CC34</f>
        <v>17.043053</v>
      </c>
      <c r="CO25" s="1930">
        <f>인건비!CD34</f>
        <v>27.643052999999998</v>
      </c>
      <c r="CP25" s="1931">
        <f>인건비!CE34</f>
        <v>396.05762800000002</v>
      </c>
      <c r="CQ25" s="2580">
        <f t="shared" si="67"/>
        <v>710.47573507999959</v>
      </c>
      <c r="CR25" s="2929">
        <f t="shared" ref="CR25:DC25" si="77">CR101+CR149</f>
        <v>19.904477923333335</v>
      </c>
      <c r="CS25" s="2929">
        <f t="shared" si="77"/>
        <v>71.522677923333347</v>
      </c>
      <c r="CT25" s="2929">
        <f t="shared" si="77"/>
        <v>69.668677923333348</v>
      </c>
      <c r="CU25" s="2929">
        <f t="shared" si="77"/>
        <v>41.092677923333326</v>
      </c>
      <c r="CV25" s="2929">
        <f t="shared" si="77"/>
        <v>38.535677923333331</v>
      </c>
      <c r="CW25" s="2929">
        <f t="shared" si="77"/>
        <v>31.513677923333336</v>
      </c>
      <c r="CX25" s="2929">
        <f t="shared" si="77"/>
        <v>43.506311256666663</v>
      </c>
      <c r="CY25" s="2930">
        <f t="shared" si="77"/>
        <v>43.506311256666663</v>
      </c>
      <c r="CZ25" s="2930">
        <f t="shared" si="77"/>
        <v>43.506311256666663</v>
      </c>
      <c r="DA25" s="2930">
        <f t="shared" si="77"/>
        <v>43.506311256666663</v>
      </c>
      <c r="DB25" s="2930">
        <f t="shared" si="77"/>
        <v>43.506311256666663</v>
      </c>
      <c r="DC25" s="2286">
        <f t="shared" si="77"/>
        <v>220.70631125666631</v>
      </c>
      <c r="DD25" s="2766"/>
      <c r="DE25" s="2587"/>
      <c r="DF25" s="2587"/>
      <c r="DG25" s="1913">
        <f t="shared" si="14"/>
        <v>-0.12222900971369444</v>
      </c>
      <c r="DH25" s="1913">
        <f t="shared" si="15"/>
        <v>-1.1807623855096039E-2</v>
      </c>
      <c r="DI25" s="1913">
        <f t="shared" si="16"/>
        <v>1.5776199495341814E-2</v>
      </c>
      <c r="DJ25" s="2968">
        <f t="shared" si="25"/>
        <v>-98.560474999999997</v>
      </c>
      <c r="DK25" s="2968">
        <f t="shared" si="26"/>
        <v>-8.3574199999999337</v>
      </c>
      <c r="DL25" s="2968">
        <f t="shared" si="17"/>
        <v>11.034524079999528</v>
      </c>
      <c r="DM25" s="2544"/>
      <c r="DN25" s="2982"/>
      <c r="DO25" s="28"/>
    </row>
    <row r="26" spans="2:120">
      <c r="B26" s="40" t="s">
        <v>70</v>
      </c>
      <c r="C26" s="41"/>
      <c r="D26" s="66"/>
      <c r="E26" s="1340"/>
      <c r="F26" s="1340"/>
      <c r="G26" s="1340"/>
      <c r="H26" s="1340"/>
      <c r="I26" s="1340"/>
      <c r="J26" s="1340"/>
      <c r="K26" s="1340"/>
      <c r="L26" s="1340"/>
      <c r="M26" s="1340"/>
      <c r="N26" s="1340"/>
      <c r="O26" s="1340"/>
      <c r="P26" s="1340"/>
      <c r="Q26" s="64">
        <f t="shared" si="74"/>
        <v>7981.6238729999995</v>
      </c>
      <c r="R26" s="1340">
        <f t="shared" ref="R26:AP26" si="78">R102</f>
        <v>711.13694999999996</v>
      </c>
      <c r="S26" s="1340">
        <f t="shared" si="78"/>
        <v>711.13694999999996</v>
      </c>
      <c r="T26" s="1340">
        <f t="shared" si="78"/>
        <v>561.13694999999996</v>
      </c>
      <c r="U26" s="1340">
        <f t="shared" si="78"/>
        <v>661.13694999999996</v>
      </c>
      <c r="V26" s="1340">
        <f t="shared" si="78"/>
        <v>661.13694999999996</v>
      </c>
      <c r="W26" s="1340">
        <f t="shared" si="78"/>
        <v>661.13694999999996</v>
      </c>
      <c r="X26" s="1340">
        <f t="shared" si="78"/>
        <v>661.13694999999996</v>
      </c>
      <c r="Y26" s="1340">
        <f t="shared" si="78"/>
        <v>661.13694999999996</v>
      </c>
      <c r="Z26" s="1340">
        <f t="shared" si="78"/>
        <v>661.13694999999996</v>
      </c>
      <c r="AA26" s="1340">
        <f t="shared" si="78"/>
        <v>661.13694999999996</v>
      </c>
      <c r="AB26" s="1340">
        <f t="shared" si="78"/>
        <v>661.13694999999996</v>
      </c>
      <c r="AC26" s="1341">
        <f t="shared" si="78"/>
        <v>709.11742300000003</v>
      </c>
      <c r="AD26" s="1119">
        <v>8056.1611250000014</v>
      </c>
      <c r="AE26" s="1058">
        <f t="shared" si="78"/>
        <v>639.63320599999997</v>
      </c>
      <c r="AF26" s="1058">
        <f t="shared" si="78"/>
        <v>639.63320599999997</v>
      </c>
      <c r="AG26" s="1058">
        <f t="shared" si="78"/>
        <v>639.63320599999997</v>
      </c>
      <c r="AH26" s="1058">
        <f t="shared" si="78"/>
        <v>639.63320599999997</v>
      </c>
      <c r="AI26" s="1058">
        <f t="shared" si="78"/>
        <v>639.63320599999997</v>
      </c>
      <c r="AJ26" s="1058">
        <f t="shared" si="78"/>
        <v>639.63320599999997</v>
      </c>
      <c r="AK26" s="1058">
        <f t="shared" si="78"/>
        <v>639.63320599999997</v>
      </c>
      <c r="AL26" s="1058">
        <f t="shared" si="78"/>
        <v>639.63320599999997</v>
      </c>
      <c r="AM26" s="1058">
        <f t="shared" si="78"/>
        <v>639.63320599999997</v>
      </c>
      <c r="AN26" s="1058">
        <f t="shared" si="78"/>
        <v>639.63320599999997</v>
      </c>
      <c r="AO26" s="1058">
        <f t="shared" si="78"/>
        <v>639.63320599999997</v>
      </c>
      <c r="AP26" s="1059">
        <f t="shared" si="78"/>
        <v>1020.195859</v>
      </c>
      <c r="AQ26" s="64">
        <v>7904.7270640000015</v>
      </c>
      <c r="AR26" s="1340">
        <v>677.14462100000003</v>
      </c>
      <c r="AS26" s="1340">
        <v>677.14462100000003</v>
      </c>
      <c r="AT26" s="1340">
        <v>677.14462100000003</v>
      </c>
      <c r="AU26" s="1340">
        <v>677.14462100000003</v>
      </c>
      <c r="AV26" s="1340">
        <v>677.14462100000003</v>
      </c>
      <c r="AW26" s="1340">
        <v>677.14462100000003</v>
      </c>
      <c r="AX26" s="1340">
        <v>677.14462100000003</v>
      </c>
      <c r="AY26" s="1340">
        <v>677.14462100000003</v>
      </c>
      <c r="AZ26" s="1340">
        <v>677.14462100000003</v>
      </c>
      <c r="BA26" s="1340">
        <v>677.14462100000003</v>
      </c>
      <c r="BB26" s="1340">
        <v>677.14462100000003</v>
      </c>
      <c r="BC26" s="1340">
        <v>456.136233</v>
      </c>
      <c r="BD26" s="64">
        <f t="shared" si="76"/>
        <v>7219.9387460000016</v>
      </c>
      <c r="BE26" s="1340">
        <f>인건비!AT36</f>
        <v>668.26682400000004</v>
      </c>
      <c r="BF26" s="1340">
        <f>인건비!AU36</f>
        <v>668.26682400000004</v>
      </c>
      <c r="BG26" s="1340">
        <f>인건비!AV36</f>
        <v>668.26682400000004</v>
      </c>
      <c r="BH26" s="1340">
        <f>인건비!AW36</f>
        <v>668.26682400000004</v>
      </c>
      <c r="BI26" s="1340">
        <f>인건비!AX36</f>
        <v>668.26682400000004</v>
      </c>
      <c r="BJ26" s="1340">
        <f>인건비!AY36</f>
        <v>668.26682400000004</v>
      </c>
      <c r="BK26" s="1340">
        <f>인건비!AZ36</f>
        <v>668.26682400000004</v>
      </c>
      <c r="BL26" s="1340">
        <f>인건비!BA36</f>
        <v>668.26682400000004</v>
      </c>
      <c r="BM26" s="1340">
        <f>인건비!BB36</f>
        <v>668.26682400000004</v>
      </c>
      <c r="BN26" s="1340">
        <f>인건비!BC36</f>
        <v>668.26682400000004</v>
      </c>
      <c r="BO26" s="1340">
        <f>인건비!BD36</f>
        <v>668.26682400000004</v>
      </c>
      <c r="BP26" s="1340">
        <f>인건비!BE36</f>
        <v>-130.996318</v>
      </c>
      <c r="BQ26" s="64">
        <f t="shared" si="65"/>
        <v>8364.7090190000017</v>
      </c>
      <c r="BR26" s="1781">
        <f>인건비!BG36</f>
        <v>646.57751900000005</v>
      </c>
      <c r="BS26" s="1781">
        <f>인건비!BH36</f>
        <v>646.57751900000005</v>
      </c>
      <c r="BT26" s="1781">
        <f>인건비!BI36</f>
        <v>646.57751900000005</v>
      </c>
      <c r="BU26" s="1781">
        <f>인건비!BJ36</f>
        <v>646.57751900000005</v>
      </c>
      <c r="BV26" s="1781">
        <f>인건비!BK36</f>
        <v>646.57751900000005</v>
      </c>
      <c r="BW26" s="1781">
        <f>인건비!BL36</f>
        <v>646.57751900000005</v>
      </c>
      <c r="BX26" s="1781">
        <f>인건비!BM36</f>
        <v>646.57751900000005</v>
      </c>
      <c r="BY26" s="1781">
        <f>인건비!BN36</f>
        <v>646.57751900000005</v>
      </c>
      <c r="BZ26" s="1781">
        <f>인건비!BO36</f>
        <v>646.57751900000005</v>
      </c>
      <c r="CA26" s="1781">
        <f>인건비!BP36</f>
        <v>646.57751900000005</v>
      </c>
      <c r="CB26" s="1781">
        <f>인건비!BQ36</f>
        <v>646.57751900000005</v>
      </c>
      <c r="CC26" s="1782">
        <f>인건비!BR36</f>
        <v>1252.3563099999999</v>
      </c>
      <c r="CD26" s="1710">
        <f t="shared" si="66"/>
        <v>10263.998377999998</v>
      </c>
      <c r="CE26" s="1930">
        <f>인건비!BT36</f>
        <v>743.62770699999999</v>
      </c>
      <c r="CF26" s="1930">
        <f>인건비!BU36</f>
        <v>743.62770699999999</v>
      </c>
      <c r="CG26" s="1930">
        <f>인건비!BV36</f>
        <v>743.62770699999999</v>
      </c>
      <c r="CH26" s="1930">
        <f>인건비!BW36</f>
        <v>743.62770699999999</v>
      </c>
      <c r="CI26" s="1930">
        <f>인건비!BX36</f>
        <v>743.62770699999999</v>
      </c>
      <c r="CJ26" s="1930">
        <f>인건비!BY36</f>
        <v>743.62770699999999</v>
      </c>
      <c r="CK26" s="1930">
        <f>인건비!BZ36</f>
        <v>743.62770699999999</v>
      </c>
      <c r="CL26" s="1930">
        <f>인건비!CA36</f>
        <v>743.62770699999999</v>
      </c>
      <c r="CM26" s="1930">
        <f>인건비!CB36</f>
        <v>743.62770699999999</v>
      </c>
      <c r="CN26" s="1930">
        <f>인건비!CC36</f>
        <v>743.62770699999999</v>
      </c>
      <c r="CO26" s="1930">
        <f>인건비!CD36</f>
        <v>743.62770699999999</v>
      </c>
      <c r="CP26" s="1931">
        <f>인건비!CE36</f>
        <v>2084.093601</v>
      </c>
      <c r="CQ26" s="2580">
        <f t="shared" si="67"/>
        <v>11914</v>
      </c>
      <c r="CR26" s="2929">
        <f t="shared" ref="CR26:DC26" si="79">CR102+CR150</f>
        <v>729</v>
      </c>
      <c r="CS26" s="2929">
        <f t="shared" si="79"/>
        <v>729</v>
      </c>
      <c r="CT26" s="2929">
        <f t="shared" si="79"/>
        <v>729</v>
      </c>
      <c r="CU26" s="2929">
        <f t="shared" si="79"/>
        <v>729</v>
      </c>
      <c r="CV26" s="2929">
        <f t="shared" si="79"/>
        <v>729</v>
      </c>
      <c r="CW26" s="2929">
        <f t="shared" si="79"/>
        <v>729</v>
      </c>
      <c r="CX26" s="2929">
        <f t="shared" si="79"/>
        <v>729</v>
      </c>
      <c r="CY26" s="2930">
        <f t="shared" si="79"/>
        <v>729</v>
      </c>
      <c r="CZ26" s="2930">
        <f t="shared" si="79"/>
        <v>729</v>
      </c>
      <c r="DA26" s="2930">
        <f t="shared" si="79"/>
        <v>729</v>
      </c>
      <c r="DB26" s="2930">
        <f t="shared" si="79"/>
        <v>729</v>
      </c>
      <c r="DC26" s="2286">
        <f t="shared" si="79"/>
        <v>3895</v>
      </c>
      <c r="DD26" s="2766"/>
      <c r="DE26" s="2587"/>
      <c r="DF26" s="2587"/>
      <c r="DG26" s="1913">
        <f t="shared" si="14"/>
        <v>0.15855678465890399</v>
      </c>
      <c r="DH26" s="1913">
        <f t="shared" si="15"/>
        <v>0.2270598241595565</v>
      </c>
      <c r="DI26" s="1913">
        <f t="shared" si="16"/>
        <v>0.16075622396206124</v>
      </c>
      <c r="DJ26" s="2968">
        <f t="shared" si="25"/>
        <v>1144.7702730000001</v>
      </c>
      <c r="DK26" s="2968">
        <f t="shared" si="26"/>
        <v>1899.2893589999967</v>
      </c>
      <c r="DL26" s="2968">
        <f t="shared" si="17"/>
        <v>1650.0016220000016</v>
      </c>
      <c r="DM26" s="2544"/>
      <c r="DN26" s="2982"/>
      <c r="DO26" s="28"/>
    </row>
    <row r="27" spans="2:120">
      <c r="B27" s="43" t="s">
        <v>71</v>
      </c>
      <c r="C27" s="44"/>
      <c r="D27" s="45"/>
      <c r="E27" s="1346"/>
      <c r="F27" s="1346"/>
      <c r="G27" s="1346"/>
      <c r="H27" s="1346"/>
      <c r="I27" s="1346"/>
      <c r="J27" s="1346"/>
      <c r="K27" s="1346"/>
      <c r="L27" s="1346"/>
      <c r="M27" s="1346"/>
      <c r="N27" s="1346"/>
      <c r="O27" s="1346"/>
      <c r="P27" s="1346"/>
      <c r="Q27" s="1032">
        <f t="shared" si="74"/>
        <v>19718.81436</v>
      </c>
      <c r="R27" s="1347">
        <f t="shared" ref="R27:AP27" si="80">R103</f>
        <v>1731.755899</v>
      </c>
      <c r="S27" s="1347">
        <f t="shared" si="80"/>
        <v>1489.2026679999999</v>
      </c>
      <c r="T27" s="1347">
        <f t="shared" si="80"/>
        <v>1540.7448790000001</v>
      </c>
      <c r="U27" s="1347">
        <f t="shared" si="80"/>
        <v>2014.325713</v>
      </c>
      <c r="V27" s="1347">
        <f t="shared" si="80"/>
        <v>1785.2702449999999</v>
      </c>
      <c r="W27" s="1347">
        <f t="shared" si="80"/>
        <v>1681.7368899999999</v>
      </c>
      <c r="X27" s="1347">
        <f t="shared" si="80"/>
        <v>1482.592809</v>
      </c>
      <c r="Y27" s="1347">
        <f t="shared" si="80"/>
        <v>1392.0262600000001</v>
      </c>
      <c r="Z27" s="1347">
        <f t="shared" si="80"/>
        <v>1732.8543649999999</v>
      </c>
      <c r="AA27" s="1347">
        <f t="shared" si="80"/>
        <v>1331.2755810000001</v>
      </c>
      <c r="AB27" s="1347">
        <f t="shared" si="80"/>
        <v>1370.213119</v>
      </c>
      <c r="AC27" s="1348">
        <f t="shared" si="80"/>
        <v>2166.815932</v>
      </c>
      <c r="AD27" s="1501">
        <v>20731.250347999998</v>
      </c>
      <c r="AE27" s="1062">
        <f t="shared" si="80"/>
        <v>1276.432143</v>
      </c>
      <c r="AF27" s="1062">
        <f t="shared" si="80"/>
        <v>1384.005322</v>
      </c>
      <c r="AG27" s="1062">
        <f t="shared" si="80"/>
        <v>1355.7025329999999</v>
      </c>
      <c r="AH27" s="1062">
        <f t="shared" si="80"/>
        <v>1383.091222</v>
      </c>
      <c r="AI27" s="1062">
        <f t="shared" si="80"/>
        <v>1541.4251790000001</v>
      </c>
      <c r="AJ27" s="1062">
        <f t="shared" si="80"/>
        <v>2099.4008229999999</v>
      </c>
      <c r="AK27" s="1062">
        <f t="shared" si="80"/>
        <v>1570.296118</v>
      </c>
      <c r="AL27" s="1062">
        <f t="shared" si="80"/>
        <v>1725.6687589999999</v>
      </c>
      <c r="AM27" s="1062">
        <f t="shared" si="80"/>
        <v>2510.2104680000002</v>
      </c>
      <c r="AN27" s="1062">
        <f t="shared" si="80"/>
        <v>1376.5428589999999</v>
      </c>
      <c r="AO27" s="1062">
        <f t="shared" si="80"/>
        <v>1477.66876</v>
      </c>
      <c r="AP27" s="1063">
        <f t="shared" si="80"/>
        <v>3030.8061619999999</v>
      </c>
      <c r="AQ27" s="1349">
        <v>26791.959715000005</v>
      </c>
      <c r="AR27" s="1346">
        <v>1483.208466</v>
      </c>
      <c r="AS27" s="1346">
        <v>1440.340273</v>
      </c>
      <c r="AT27" s="1346">
        <v>2093.641392</v>
      </c>
      <c r="AU27" s="1346">
        <v>1906.1435730000001</v>
      </c>
      <c r="AV27" s="1346">
        <v>2405.6773250000001</v>
      </c>
      <c r="AW27" s="1346">
        <v>2577.1377459999999</v>
      </c>
      <c r="AX27" s="1346">
        <v>2788.8522119999998</v>
      </c>
      <c r="AY27" s="1346">
        <v>2269.6239129999999</v>
      </c>
      <c r="AZ27" s="1346">
        <v>3476.9122510000002</v>
      </c>
      <c r="BA27" s="1346">
        <v>2227.380647</v>
      </c>
      <c r="BB27" s="1346">
        <v>1652.059557</v>
      </c>
      <c r="BC27" s="1346">
        <v>2470.98236</v>
      </c>
      <c r="BD27" s="1349">
        <f>SUM(BE27:BP27)</f>
        <v>28324.855577000002</v>
      </c>
      <c r="BE27" s="1346">
        <f>인건비!AT37</f>
        <v>2151.5120740000002</v>
      </c>
      <c r="BF27" s="1346">
        <f>인건비!AU37</f>
        <v>1940.493577</v>
      </c>
      <c r="BG27" s="1346">
        <f>인건비!AV37</f>
        <v>2791.0483319999998</v>
      </c>
      <c r="BH27" s="1346">
        <f>인건비!AW37</f>
        <v>2659.1481079999999</v>
      </c>
      <c r="BI27" s="1346">
        <f>인건비!AX37</f>
        <v>2378.520156</v>
      </c>
      <c r="BJ27" s="1346">
        <f>인건비!AY37</f>
        <v>2166.5763259999999</v>
      </c>
      <c r="BK27" s="1346">
        <f>인건비!AZ37</f>
        <v>2254.9829500000001</v>
      </c>
      <c r="BL27" s="1346">
        <f>인건비!BA37</f>
        <v>2017.6340419999999</v>
      </c>
      <c r="BM27" s="1346">
        <f>인건비!BB37</f>
        <v>3016.7000090000001</v>
      </c>
      <c r="BN27" s="1346">
        <f>인건비!BC37</f>
        <v>2021.5329630000001</v>
      </c>
      <c r="BO27" s="1346">
        <f>인건비!BD37</f>
        <v>2429.4685159999999</v>
      </c>
      <c r="BP27" s="1346">
        <f>인건비!BE37</f>
        <v>2497.2385239999999</v>
      </c>
      <c r="BQ27" s="1349">
        <f t="shared" si="65"/>
        <v>30103.897223</v>
      </c>
      <c r="BR27" s="1920">
        <f>인건비!BG37</f>
        <v>1671.152875</v>
      </c>
      <c r="BS27" s="1920">
        <f>인건비!BH37</f>
        <v>2642.0653659999998</v>
      </c>
      <c r="BT27" s="1920">
        <f>인건비!BI37</f>
        <v>2323.5422349999999</v>
      </c>
      <c r="BU27" s="1920">
        <f>인건비!BJ37</f>
        <v>2294.2253340000002</v>
      </c>
      <c r="BV27" s="1920">
        <f>인건비!BK37</f>
        <v>2207.0231319999998</v>
      </c>
      <c r="BW27" s="1920">
        <f>인건비!BL37</f>
        <v>2448.778421</v>
      </c>
      <c r="BX27" s="1920">
        <f>인건비!BM37</f>
        <v>2255.7873070000001</v>
      </c>
      <c r="BY27" s="1920">
        <f>인건비!BN37</f>
        <v>2703.7428150000001</v>
      </c>
      <c r="BZ27" s="1920">
        <f>인건비!BO37</f>
        <v>3082.2892310000002</v>
      </c>
      <c r="CA27" s="1920">
        <f>인건비!BP37</f>
        <v>2567.6194869999999</v>
      </c>
      <c r="CB27" s="1920">
        <f>인건비!BQ37</f>
        <v>2362.2867230000002</v>
      </c>
      <c r="CC27" s="1921">
        <f>인건비!BR37</f>
        <v>3545.3842970000001</v>
      </c>
      <c r="CD27" s="1349">
        <f t="shared" si="66"/>
        <v>33976.063200000004</v>
      </c>
      <c r="CE27" s="2851">
        <f>인건비!BT37</f>
        <v>2119.9558240000001</v>
      </c>
      <c r="CF27" s="2851">
        <f>인건비!BU37</f>
        <v>1860.378584</v>
      </c>
      <c r="CG27" s="2851">
        <f>인건비!BV37</f>
        <v>2792.8682130000002</v>
      </c>
      <c r="CH27" s="2851">
        <f>인건비!BW37</f>
        <v>2584.702358</v>
      </c>
      <c r="CI27" s="2851">
        <f>인건비!BX37</f>
        <v>2536.1255160000001</v>
      </c>
      <c r="CJ27" s="2851">
        <f>인건비!BY37</f>
        <v>4013.8687690000002</v>
      </c>
      <c r="CK27" s="2851">
        <f>인건비!BZ37</f>
        <v>2992.8870860000002</v>
      </c>
      <c r="CL27" s="2851">
        <f>인건비!CA37</f>
        <v>3387.0169850000002</v>
      </c>
      <c r="CM27" s="2851">
        <f>인건비!CB37</f>
        <v>3258.3244460000001</v>
      </c>
      <c r="CN27" s="2851">
        <f>인건비!CC37</f>
        <v>2594.2441429999999</v>
      </c>
      <c r="CO27" s="2851">
        <f>인건비!CD37</f>
        <v>2365.094004</v>
      </c>
      <c r="CP27" s="2878">
        <f>인건비!CE37</f>
        <v>3470.597272</v>
      </c>
      <c r="CQ27" s="2581">
        <f t="shared" si="67"/>
        <v>34406.548819023214</v>
      </c>
      <c r="CR27" s="2933">
        <f t="shared" ref="CR27:DC27" si="81">CR103+CR151</f>
        <v>2483.6680236507264</v>
      </c>
      <c r="CS27" s="2933">
        <f t="shared" si="81"/>
        <v>2654.4943934769253</v>
      </c>
      <c r="CT27" s="2933">
        <f t="shared" si="81"/>
        <v>2583.7795828576891</v>
      </c>
      <c r="CU27" s="2933">
        <f t="shared" si="81"/>
        <v>2731.5078366839361</v>
      </c>
      <c r="CV27" s="2933">
        <f t="shared" si="81"/>
        <v>2587.619337386288</v>
      </c>
      <c r="CW27" s="2933">
        <f t="shared" si="81"/>
        <v>3759.6770263151006</v>
      </c>
      <c r="CX27" s="2933">
        <f t="shared" si="81"/>
        <v>2660.4304708095324</v>
      </c>
      <c r="CY27" s="2015">
        <f t="shared" si="81"/>
        <v>3039.0646691030588</v>
      </c>
      <c r="CZ27" s="2015">
        <f t="shared" si="81"/>
        <v>2681.6836336962588</v>
      </c>
      <c r="DA27" s="2015">
        <f t="shared" si="81"/>
        <v>2979.8702452733178</v>
      </c>
      <c r="DB27" s="2015">
        <f t="shared" si="81"/>
        <v>2799.7546339930341</v>
      </c>
      <c r="DC27" s="2288">
        <f t="shared" si="81"/>
        <v>3444.9989657773481</v>
      </c>
      <c r="DD27" s="2766"/>
      <c r="DE27" s="2587"/>
      <c r="DF27" s="2587"/>
      <c r="DG27" s="1913">
        <f t="shared" si="14"/>
        <v>6.2808498393354339E-2</v>
      </c>
      <c r="DH27" s="2969">
        <f t="shared" si="15"/>
        <v>0.12862673388486034</v>
      </c>
      <c r="DI27" s="2969">
        <f t="shared" si="16"/>
        <v>1.2670261898477087E-2</v>
      </c>
      <c r="DJ27" s="2968">
        <f t="shared" si="25"/>
        <v>1779.0416459999979</v>
      </c>
      <c r="DK27" s="2968">
        <f t="shared" si="26"/>
        <v>3872.1659770000042</v>
      </c>
      <c r="DL27" s="2968">
        <f t="shared" si="17"/>
        <v>430.48561902320944</v>
      </c>
      <c r="DM27" s="2544"/>
      <c r="DN27" s="2988"/>
      <c r="DO27" s="28"/>
    </row>
    <row r="28" spans="2:120">
      <c r="B28" s="46" t="s">
        <v>72</v>
      </c>
      <c r="C28" s="34"/>
      <c r="D28" s="35"/>
      <c r="E28" s="1335"/>
      <c r="F28" s="1335"/>
      <c r="G28" s="1335"/>
      <c r="H28" s="1335"/>
      <c r="I28" s="1335"/>
      <c r="J28" s="1335"/>
      <c r="K28" s="1335"/>
      <c r="L28" s="1335"/>
      <c r="M28" s="1335"/>
      <c r="N28" s="1335"/>
      <c r="O28" s="1335"/>
      <c r="P28" s="1335"/>
      <c r="Q28" s="1345">
        <f t="shared" si="74"/>
        <v>30979.456885</v>
      </c>
      <c r="R28" s="1335">
        <f t="shared" ref="R28:AP28" si="82">R104</f>
        <v>1580.7568739999999</v>
      </c>
      <c r="S28" s="1335">
        <f t="shared" si="82"/>
        <v>1565.6174009999997</v>
      </c>
      <c r="T28" s="1335">
        <f t="shared" si="82"/>
        <v>1829.9156190000003</v>
      </c>
      <c r="U28" s="1335">
        <f t="shared" si="82"/>
        <v>1901.1031849999999</v>
      </c>
      <c r="V28" s="1335">
        <f t="shared" si="82"/>
        <v>2366.7804230000002</v>
      </c>
      <c r="W28" s="1335">
        <f t="shared" si="82"/>
        <v>2287.7365909999999</v>
      </c>
      <c r="X28" s="1335">
        <f t="shared" si="82"/>
        <v>2724.144065</v>
      </c>
      <c r="Y28" s="1335">
        <f t="shared" si="82"/>
        <v>2392.1398079999999</v>
      </c>
      <c r="Z28" s="1335">
        <f t="shared" si="82"/>
        <v>1961.8334149999998</v>
      </c>
      <c r="AA28" s="1335">
        <f t="shared" si="82"/>
        <v>3406.3408019999997</v>
      </c>
      <c r="AB28" s="1335">
        <f t="shared" si="82"/>
        <v>4940.1448099999998</v>
      </c>
      <c r="AC28" s="1074">
        <f t="shared" si="82"/>
        <v>4022.9438919999993</v>
      </c>
      <c r="AD28" s="1499">
        <v>35947.571123000002</v>
      </c>
      <c r="AE28" s="1054">
        <f t="shared" si="82"/>
        <v>2180.0728340000001</v>
      </c>
      <c r="AF28" s="1054">
        <f t="shared" si="82"/>
        <v>2591.9360969999998</v>
      </c>
      <c r="AG28" s="1054">
        <f t="shared" si="82"/>
        <v>2608.666514</v>
      </c>
      <c r="AH28" s="1054">
        <f t="shared" si="82"/>
        <v>2188.2347179999997</v>
      </c>
      <c r="AI28" s="1054">
        <f t="shared" si="82"/>
        <v>2948.9548649999997</v>
      </c>
      <c r="AJ28" s="1054">
        <f t="shared" si="82"/>
        <v>2680.0678910000001</v>
      </c>
      <c r="AK28" s="1054">
        <f t="shared" si="82"/>
        <v>2442.3401690000001</v>
      </c>
      <c r="AL28" s="1054">
        <f t="shared" si="82"/>
        <v>2435.8798270000002</v>
      </c>
      <c r="AM28" s="1054">
        <f t="shared" si="82"/>
        <v>2986.4575319999999</v>
      </c>
      <c r="AN28" s="1054">
        <f t="shared" si="82"/>
        <v>3486.4014219999999</v>
      </c>
      <c r="AO28" s="1054">
        <f t="shared" si="82"/>
        <v>3695.8984499999997</v>
      </c>
      <c r="AP28" s="1055">
        <f t="shared" si="82"/>
        <v>5702.6608040000001</v>
      </c>
      <c r="AQ28" s="1345">
        <v>52287.223115000001</v>
      </c>
      <c r="AR28" s="1335">
        <v>1411.1971789999998</v>
      </c>
      <c r="AS28" s="1335">
        <v>3479.7990909999999</v>
      </c>
      <c r="AT28" s="1335">
        <v>4042.2041629999999</v>
      </c>
      <c r="AU28" s="1335">
        <v>3415.492776</v>
      </c>
      <c r="AV28" s="1335">
        <v>3614.987286</v>
      </c>
      <c r="AW28" s="1335">
        <v>3588.5014809999998</v>
      </c>
      <c r="AX28" s="1335">
        <v>3419.5826389999997</v>
      </c>
      <c r="AY28" s="1335">
        <v>4084.1606080000001</v>
      </c>
      <c r="AZ28" s="1335">
        <v>4816.7537950000005</v>
      </c>
      <c r="BA28" s="1335">
        <v>3587.4090219999998</v>
      </c>
      <c r="BB28" s="1335">
        <v>2626.9001469999998</v>
      </c>
      <c r="BC28" s="1335">
        <v>14200.234928</v>
      </c>
      <c r="BD28" s="1345">
        <f t="shared" ref="BD28:BE28" si="83">SUM(BD29:BD31)</f>
        <v>52196.060611999994</v>
      </c>
      <c r="BE28" s="1335">
        <f t="shared" si="83"/>
        <v>1067.94661</v>
      </c>
      <c r="BF28" s="1335">
        <f t="shared" ref="BF28:BP28" si="84">SUM(BF29:BF31)</f>
        <v>3184.1216350000004</v>
      </c>
      <c r="BG28" s="1335">
        <f t="shared" si="84"/>
        <v>2951.2413190000002</v>
      </c>
      <c r="BH28" s="1335">
        <f t="shared" si="84"/>
        <v>2336.4959260000001</v>
      </c>
      <c r="BI28" s="1335">
        <f t="shared" si="84"/>
        <v>2660.2806840000003</v>
      </c>
      <c r="BJ28" s="1335">
        <f t="shared" si="84"/>
        <v>6279.9807749999991</v>
      </c>
      <c r="BK28" s="1335">
        <f t="shared" si="84"/>
        <v>3964.0826050000001</v>
      </c>
      <c r="BL28" s="1335">
        <f t="shared" si="84"/>
        <v>3746.7097250000002</v>
      </c>
      <c r="BM28" s="1335">
        <f t="shared" si="84"/>
        <v>6850.5533300000006</v>
      </c>
      <c r="BN28" s="1335">
        <f t="shared" si="84"/>
        <v>8752.3076189999992</v>
      </c>
      <c r="BO28" s="1335">
        <f t="shared" si="84"/>
        <v>2747.5328669999999</v>
      </c>
      <c r="BP28" s="1335">
        <f t="shared" si="84"/>
        <v>7654.8075170000002</v>
      </c>
      <c r="BQ28" s="1345">
        <f t="shared" ref="BQ28:DC28" si="85">SUM(BQ29:BQ31)</f>
        <v>34542.212628000001</v>
      </c>
      <c r="BR28" s="1777">
        <f t="shared" si="85"/>
        <v>4645.2413509999997</v>
      </c>
      <c r="BS28" s="1777">
        <f t="shared" si="85"/>
        <v>1618.696404</v>
      </c>
      <c r="BT28" s="1777">
        <f t="shared" si="85"/>
        <v>1694.5910380000003</v>
      </c>
      <c r="BU28" s="1777">
        <f t="shared" si="85"/>
        <v>2101.2653220000002</v>
      </c>
      <c r="BV28" s="1777">
        <f t="shared" si="85"/>
        <v>1572.1533869999998</v>
      </c>
      <c r="BW28" s="1777">
        <f t="shared" si="85"/>
        <v>1548.4490549999998</v>
      </c>
      <c r="BX28" s="1777">
        <f t="shared" si="85"/>
        <v>3092.6562570000001</v>
      </c>
      <c r="BY28" s="1777">
        <f t="shared" si="85"/>
        <v>2290.4374859999998</v>
      </c>
      <c r="BZ28" s="1777">
        <f t="shared" si="85"/>
        <v>4573.3348429999996</v>
      </c>
      <c r="CA28" s="1777">
        <f t="shared" si="85"/>
        <v>5529.7539260000003</v>
      </c>
      <c r="CB28" s="1777">
        <f t="shared" si="85"/>
        <v>3464.0073509999997</v>
      </c>
      <c r="CC28" s="1778">
        <f t="shared" si="85"/>
        <v>2411.6262080000001</v>
      </c>
      <c r="CD28" s="1345">
        <f t="shared" si="85"/>
        <v>44833.970433999988</v>
      </c>
      <c r="CE28" s="1777">
        <f t="shared" si="85"/>
        <v>3466.0940500000002</v>
      </c>
      <c r="CF28" s="1777">
        <f t="shared" si="85"/>
        <v>2367.9220799999998</v>
      </c>
      <c r="CG28" s="1777">
        <f t="shared" si="85"/>
        <v>1600.066417</v>
      </c>
      <c r="CH28" s="1777">
        <f t="shared" si="85"/>
        <v>1954.2285999999999</v>
      </c>
      <c r="CI28" s="1777">
        <f t="shared" si="85"/>
        <v>2859.6062250000004</v>
      </c>
      <c r="CJ28" s="1777">
        <f t="shared" si="85"/>
        <v>3474.9232159999997</v>
      </c>
      <c r="CK28" s="1777">
        <f t="shared" si="85"/>
        <v>4832.0244670000011</v>
      </c>
      <c r="CL28" s="1777">
        <f t="shared" si="85"/>
        <v>2157.0287239999998</v>
      </c>
      <c r="CM28" s="1777">
        <f t="shared" si="85"/>
        <v>5334.0409680000002</v>
      </c>
      <c r="CN28" s="1777">
        <f t="shared" si="85"/>
        <v>3101.2518199999995</v>
      </c>
      <c r="CO28" s="1777">
        <f t="shared" si="85"/>
        <v>6585.5767399999886</v>
      </c>
      <c r="CP28" s="1778">
        <f t="shared" si="85"/>
        <v>7101.2071269999997</v>
      </c>
      <c r="CQ28" s="2579">
        <f t="shared" si="85"/>
        <v>45587.282315765602</v>
      </c>
      <c r="CR28" s="2922">
        <f>SUM(CR29:CR31)</f>
        <v>3282.5187789128513</v>
      </c>
      <c r="CS28" s="2922">
        <f>SUM(CS29:CS31)</f>
        <v>2924.2067401216768</v>
      </c>
      <c r="CT28" s="2922">
        <f>SUM(CT29:CT31)</f>
        <v>3501.2452640722254</v>
      </c>
      <c r="CU28" s="2922">
        <f>SUM(CU29:CU31)</f>
        <v>3393.3573529840037</v>
      </c>
      <c r="CV28" s="2922">
        <f>SUM(CV29:CV31)</f>
        <v>3416.1726229463256</v>
      </c>
      <c r="CW28" s="2922">
        <f t="shared" ref="CW28" si="86">SUM(CW29:CW31)</f>
        <v>4108.4310802604832</v>
      </c>
      <c r="CX28" s="2922">
        <f t="shared" si="85"/>
        <v>4073.6308618291446</v>
      </c>
      <c r="CY28" s="1336">
        <f t="shared" si="85"/>
        <v>3368.0626937982306</v>
      </c>
      <c r="CZ28" s="1336">
        <f t="shared" si="85"/>
        <v>4592.4433946705485</v>
      </c>
      <c r="DA28" s="1336">
        <f t="shared" si="85"/>
        <v>4225.2535142810793</v>
      </c>
      <c r="DB28" s="1336">
        <f t="shared" si="85"/>
        <v>4383.0686493851863</v>
      </c>
      <c r="DC28" s="2284">
        <f t="shared" si="85"/>
        <v>4318.8913625038467</v>
      </c>
      <c r="DD28" s="2766"/>
      <c r="DE28" s="2587"/>
      <c r="DF28" s="2587"/>
      <c r="DG28" s="1913">
        <f t="shared" si="14"/>
        <v>-0.33822184618931439</v>
      </c>
      <c r="DH28" s="1913">
        <f t="shared" si="15"/>
        <v>0.2979472657654092</v>
      </c>
      <c r="DI28" s="1913">
        <f t="shared" si="16"/>
        <v>1.6802256736876853E-2</v>
      </c>
      <c r="DJ28" s="2968">
        <f t="shared" si="25"/>
        <v>-17653.847983999993</v>
      </c>
      <c r="DK28" s="2968">
        <f t="shared" si="26"/>
        <v>10291.757805999987</v>
      </c>
      <c r="DL28" s="2968">
        <f t="shared" si="17"/>
        <v>753.31188176561409</v>
      </c>
      <c r="DM28" s="2544"/>
      <c r="DN28" s="430"/>
      <c r="DO28" s="28"/>
    </row>
    <row r="29" spans="2:120">
      <c r="B29" s="40" t="s">
        <v>73</v>
      </c>
      <c r="C29" s="41"/>
      <c r="D29" s="66"/>
      <c r="E29" s="1340"/>
      <c r="F29" s="1340"/>
      <c r="G29" s="1340"/>
      <c r="H29" s="1340"/>
      <c r="I29" s="1340"/>
      <c r="J29" s="1340"/>
      <c r="K29" s="1340"/>
      <c r="L29" s="1340"/>
      <c r="M29" s="1340"/>
      <c r="N29" s="1340"/>
      <c r="O29" s="1340"/>
      <c r="P29" s="1340"/>
      <c r="Q29" s="64">
        <f t="shared" si="74"/>
        <v>19775.606935</v>
      </c>
      <c r="R29" s="1340">
        <f t="shared" ref="R29:AP29" si="87">R105</f>
        <v>992.55163800000003</v>
      </c>
      <c r="S29" s="1340">
        <f t="shared" si="87"/>
        <v>907.36839399999997</v>
      </c>
      <c r="T29" s="1340">
        <f t="shared" si="87"/>
        <v>1008.540397</v>
      </c>
      <c r="U29" s="1340">
        <f t="shared" si="87"/>
        <v>1187.8642420000001</v>
      </c>
      <c r="V29" s="1340">
        <f t="shared" si="87"/>
        <v>1466.1984</v>
      </c>
      <c r="W29" s="1340">
        <f t="shared" si="87"/>
        <v>1422.3798389999999</v>
      </c>
      <c r="X29" s="1340">
        <f t="shared" si="87"/>
        <v>2068.8051329999998</v>
      </c>
      <c r="Y29" s="1340">
        <f t="shared" si="87"/>
        <v>1436.5051040000001</v>
      </c>
      <c r="Z29" s="1340">
        <f t="shared" si="87"/>
        <v>1128.7012</v>
      </c>
      <c r="AA29" s="1340">
        <f t="shared" si="87"/>
        <v>2319.567231</v>
      </c>
      <c r="AB29" s="1340">
        <f t="shared" si="87"/>
        <v>4057.01082</v>
      </c>
      <c r="AC29" s="1341">
        <f t="shared" si="87"/>
        <v>1780.1145369999999</v>
      </c>
      <c r="AD29" s="1119">
        <v>26739.311491</v>
      </c>
      <c r="AE29" s="1058">
        <f t="shared" si="87"/>
        <v>1725.4342160000001</v>
      </c>
      <c r="AF29" s="1058">
        <f t="shared" si="87"/>
        <v>2200.7861339999999</v>
      </c>
      <c r="AG29" s="1058">
        <f t="shared" si="87"/>
        <v>1987.5192959999999</v>
      </c>
      <c r="AH29" s="1058">
        <f t="shared" si="87"/>
        <v>1658.053971</v>
      </c>
      <c r="AI29" s="1058">
        <f t="shared" si="87"/>
        <v>2379.6793259999999</v>
      </c>
      <c r="AJ29" s="1058">
        <f t="shared" si="87"/>
        <v>2060.4544089999999</v>
      </c>
      <c r="AK29" s="1058">
        <f t="shared" si="87"/>
        <v>1953.910034</v>
      </c>
      <c r="AL29" s="1058">
        <f t="shared" si="87"/>
        <v>1580.562443</v>
      </c>
      <c r="AM29" s="1058">
        <f t="shared" si="87"/>
        <v>2367.5597469999998</v>
      </c>
      <c r="AN29" s="1058">
        <f t="shared" si="87"/>
        <v>2342.3307399999999</v>
      </c>
      <c r="AO29" s="1058">
        <f t="shared" si="87"/>
        <v>2292.4248619999998</v>
      </c>
      <c r="AP29" s="1059">
        <f t="shared" si="87"/>
        <v>4190.596313</v>
      </c>
      <c r="AQ29" s="64">
        <v>39025.756007999997</v>
      </c>
      <c r="AR29" s="1340">
        <v>950.9925629999999</v>
      </c>
      <c r="AS29" s="1340">
        <v>2719.1555739999999</v>
      </c>
      <c r="AT29" s="1340">
        <v>3408.1603019999998</v>
      </c>
      <c r="AU29" s="1340">
        <v>2843.7596570000001</v>
      </c>
      <c r="AV29" s="1340">
        <v>2826.8426020000002</v>
      </c>
      <c r="AW29" s="1340">
        <v>2925.5939309999999</v>
      </c>
      <c r="AX29" s="1340">
        <v>2968.5657319999996</v>
      </c>
      <c r="AY29" s="1340">
        <v>2986.14941</v>
      </c>
      <c r="AZ29" s="1340">
        <v>3940.2311479999998</v>
      </c>
      <c r="BA29" s="1340">
        <v>2627.4667890000001</v>
      </c>
      <c r="BB29" s="1340">
        <v>1930.755273</v>
      </c>
      <c r="BC29" s="1340">
        <v>8898.0830270000006</v>
      </c>
      <c r="BD29" s="64">
        <f t="shared" ref="BD29" si="88">SUM(BE29:BP29)</f>
        <v>32305.885359999993</v>
      </c>
      <c r="BE29" s="1340">
        <f>무선!AS282</f>
        <v>684.52378599999997</v>
      </c>
      <c r="BF29" s="1340">
        <f>무선!AT282</f>
        <v>2521.592564</v>
      </c>
      <c r="BG29" s="1340">
        <f>무선!AU282</f>
        <v>2332.9441510000001</v>
      </c>
      <c r="BH29" s="1340">
        <f>무선!AV282</f>
        <v>1847.3232400000002</v>
      </c>
      <c r="BI29" s="1340">
        <f>무선!AW282</f>
        <v>2126.1549580000001</v>
      </c>
      <c r="BJ29" s="1340">
        <f>무선!AX282</f>
        <v>3651.0203889999998</v>
      </c>
      <c r="BK29" s="1340">
        <f>무선!AY282</f>
        <v>3186.5210059999999</v>
      </c>
      <c r="BL29" s="1340">
        <f>무선!AZ282</f>
        <v>2814.6493569999998</v>
      </c>
      <c r="BM29" s="1340">
        <f>무선!BA282</f>
        <v>4828.4568380000001</v>
      </c>
      <c r="BN29" s="1340">
        <f>무선!BB282</f>
        <v>3655.4267909999999</v>
      </c>
      <c r="BO29" s="1340">
        <f>무선!BC282</f>
        <v>2723.0965200000001</v>
      </c>
      <c r="BP29" s="1340">
        <f>무선!BD282</f>
        <v>1934.1757600000001</v>
      </c>
      <c r="BQ29" s="64">
        <f t="shared" ref="BQ29:BQ37" si="89">SUM(BR29:CC29)</f>
        <v>16745.850039000001</v>
      </c>
      <c r="BR29" s="1781">
        <f>무선!BF282</f>
        <v>1536.675821</v>
      </c>
      <c r="BS29" s="1781">
        <f>무선!BG282</f>
        <v>820.50924599999996</v>
      </c>
      <c r="BT29" s="1781">
        <f>무선!BH282</f>
        <v>1104.247122</v>
      </c>
      <c r="BU29" s="1781">
        <f>무선!BI282</f>
        <v>990.16138599999999</v>
      </c>
      <c r="BV29" s="1781">
        <f>무선!BJ282</f>
        <v>928.17296899999997</v>
      </c>
      <c r="BW29" s="1781">
        <f>무선!BK282</f>
        <v>685.54461900000001</v>
      </c>
      <c r="BX29" s="1781">
        <f>무선!BL282</f>
        <v>1789.258636</v>
      </c>
      <c r="BY29" s="1781">
        <f>무선!BM282</f>
        <v>1087.81447</v>
      </c>
      <c r="BZ29" s="1781">
        <f>무선!BN282</f>
        <v>1229.5307680000001</v>
      </c>
      <c r="CA29" s="1781">
        <f>무선!BO282</f>
        <v>3529.5936369999999</v>
      </c>
      <c r="CB29" s="1781">
        <f>무선!BP282</f>
        <v>1659.4001519999999</v>
      </c>
      <c r="CC29" s="1782">
        <f>무선!BQ282</f>
        <v>1384.9412130000001</v>
      </c>
      <c r="CD29" s="1710">
        <f t="shared" ref="CD29:CD37" si="90">SUM(CE29:CP29)</f>
        <v>15427.885715</v>
      </c>
      <c r="CE29" s="1930">
        <f>무선!BS282</f>
        <v>609.35523000000001</v>
      </c>
      <c r="CF29" s="1930">
        <f>무선!BT282</f>
        <v>1030.406626</v>
      </c>
      <c r="CG29" s="1930">
        <f>무선!BU282</f>
        <v>907.80226300000004</v>
      </c>
      <c r="CH29" s="1930">
        <f>무선!BV282</f>
        <v>765.68158200000005</v>
      </c>
      <c r="CI29" s="1930">
        <f>무선!BW282</f>
        <v>1584.603599</v>
      </c>
      <c r="CJ29" s="1930">
        <f>무선!BX282</f>
        <v>1587.893341</v>
      </c>
      <c r="CK29" s="1930">
        <f>무선!BY282</f>
        <v>746.60656100000006</v>
      </c>
      <c r="CL29" s="1930">
        <f>무선!BZ282</f>
        <v>535.27086899999995</v>
      </c>
      <c r="CM29" s="1930">
        <f>무선!CA282</f>
        <v>1743.191703</v>
      </c>
      <c r="CN29" s="1930">
        <f>무선!CB282</f>
        <v>394.16184299999998</v>
      </c>
      <c r="CO29" s="1930">
        <f>무선!CC282</f>
        <v>3778.4167940000002</v>
      </c>
      <c r="CP29" s="1931">
        <f>무선!CD282</f>
        <v>1744.495304</v>
      </c>
      <c r="CQ29" s="2580">
        <f t="shared" ref="CQ29:CQ37" si="91">SUM(CR29:DC29)</f>
        <v>16897.313890955484</v>
      </c>
      <c r="CR29" s="2929">
        <f t="shared" ref="CR29:DC29" si="92">CR105+CR153</f>
        <v>1224.3714230023452</v>
      </c>
      <c r="CS29" s="2929">
        <f t="shared" si="92"/>
        <v>952.34434475624539</v>
      </c>
      <c r="CT29" s="2929">
        <f t="shared" si="92"/>
        <v>1376.5923815343394</v>
      </c>
      <c r="CU29" s="2929">
        <f t="shared" si="92"/>
        <v>1489.7275392768115</v>
      </c>
      <c r="CV29" s="2929">
        <f t="shared" si="92"/>
        <v>1509.5893966997394</v>
      </c>
      <c r="CW29" s="2929">
        <f t="shared" si="92"/>
        <v>1516.2354346383624</v>
      </c>
      <c r="CX29" s="2929">
        <f t="shared" si="92"/>
        <v>1546.2511240751971</v>
      </c>
      <c r="CY29" s="2930">
        <f t="shared" si="92"/>
        <v>1416.2354346383624</v>
      </c>
      <c r="CZ29" s="2930">
        <f t="shared" si="92"/>
        <v>1660.7090369413759</v>
      </c>
      <c r="DA29" s="2930">
        <f t="shared" si="92"/>
        <v>1748.0108751060056</v>
      </c>
      <c r="DB29" s="2930">
        <f t="shared" si="92"/>
        <v>1514.8760177872803</v>
      </c>
      <c r="DC29" s="2286">
        <f t="shared" si="92"/>
        <v>942.37088249941951</v>
      </c>
      <c r="DD29" s="2766"/>
      <c r="DE29" s="2587"/>
      <c r="DF29" s="2587"/>
      <c r="DG29" s="1913">
        <f t="shared" si="14"/>
        <v>-0.48164707908813043</v>
      </c>
      <c r="DH29" s="1913">
        <f t="shared" si="15"/>
        <v>-7.8703936851849621E-2</v>
      </c>
      <c r="DI29" s="1913">
        <f t="shared" si="16"/>
        <v>9.5244948212625635E-2</v>
      </c>
      <c r="DJ29" s="2968">
        <f t="shared" si="25"/>
        <v>-15560.035320999992</v>
      </c>
      <c r="DK29" s="2968">
        <f t="shared" si="26"/>
        <v>-1317.9643240000005</v>
      </c>
      <c r="DL29" s="2968">
        <f t="shared" si="17"/>
        <v>1469.4281759554833</v>
      </c>
      <c r="DM29" s="2544"/>
      <c r="DN29" s="28"/>
      <c r="DO29" s="28"/>
    </row>
    <row r="30" spans="2:120">
      <c r="B30" s="40" t="s">
        <v>74</v>
      </c>
      <c r="C30" s="41"/>
      <c r="D30" s="66"/>
      <c r="E30" s="1340"/>
      <c r="F30" s="1340"/>
      <c r="G30" s="1340"/>
      <c r="H30" s="1340"/>
      <c r="I30" s="1340"/>
      <c r="J30" s="1340"/>
      <c r="K30" s="1340"/>
      <c r="L30" s="1340"/>
      <c r="M30" s="1340"/>
      <c r="N30" s="1340"/>
      <c r="O30" s="1340"/>
      <c r="P30" s="1340"/>
      <c r="Q30" s="64">
        <f t="shared" si="74"/>
        <v>10894.413128</v>
      </c>
      <c r="R30" s="1340">
        <f t="shared" ref="R30:AP30" si="93">R106</f>
        <v>583.32223599999998</v>
      </c>
      <c r="S30" s="1340">
        <f t="shared" si="93"/>
        <v>652.25815699999998</v>
      </c>
      <c r="T30" s="1340">
        <f t="shared" si="93"/>
        <v>783.46397200000013</v>
      </c>
      <c r="U30" s="1340">
        <f t="shared" si="93"/>
        <v>701.94219299999997</v>
      </c>
      <c r="V30" s="1340">
        <f t="shared" si="93"/>
        <v>891.4931630000001</v>
      </c>
      <c r="W30" s="1340">
        <f t="shared" si="93"/>
        <v>818.20070199999998</v>
      </c>
      <c r="X30" s="1340">
        <f t="shared" si="93"/>
        <v>644.93925200000001</v>
      </c>
      <c r="Y30" s="1340">
        <f t="shared" si="93"/>
        <v>935.25692399999991</v>
      </c>
      <c r="Z30" s="1340">
        <f t="shared" si="93"/>
        <v>822.76302799999996</v>
      </c>
      <c r="AA30" s="1340">
        <f t="shared" si="93"/>
        <v>1047.7548859999999</v>
      </c>
      <c r="AB30" s="1340">
        <f t="shared" si="93"/>
        <v>857.67325800000003</v>
      </c>
      <c r="AC30" s="1341">
        <f t="shared" si="93"/>
        <v>2155.3453569999992</v>
      </c>
      <c r="AD30" s="1119">
        <v>7152.4172349999999</v>
      </c>
      <c r="AE30" s="1058">
        <f t="shared" si="93"/>
        <v>426.19736</v>
      </c>
      <c r="AF30" s="1058">
        <f t="shared" si="93"/>
        <v>378.20730199999997</v>
      </c>
      <c r="AG30" s="1058">
        <f t="shared" si="93"/>
        <v>578.27760999999998</v>
      </c>
      <c r="AH30" s="1058">
        <f t="shared" si="93"/>
        <v>522.95592699999986</v>
      </c>
      <c r="AI30" s="1058">
        <f t="shared" si="93"/>
        <v>593.16882899999996</v>
      </c>
      <c r="AJ30" s="1058">
        <f t="shared" si="93"/>
        <v>584.62416200000007</v>
      </c>
      <c r="AK30" s="1058">
        <f t="shared" si="93"/>
        <v>487.12611499999997</v>
      </c>
      <c r="AL30" s="1058">
        <f t="shared" si="93"/>
        <v>838.31738400000006</v>
      </c>
      <c r="AM30" s="1058">
        <f t="shared" si="93"/>
        <v>618.89778500000011</v>
      </c>
      <c r="AN30" s="1058">
        <f t="shared" si="93"/>
        <v>657.60668199999998</v>
      </c>
      <c r="AO30" s="1058">
        <f t="shared" si="93"/>
        <v>233.47358799999998</v>
      </c>
      <c r="AP30" s="1059">
        <f t="shared" si="93"/>
        <v>1233.5644910000001</v>
      </c>
      <c r="AQ30" s="64">
        <v>13200.521651999999</v>
      </c>
      <c r="AR30" s="1340">
        <v>460.20461599999999</v>
      </c>
      <c r="AS30" s="1340">
        <v>760.64351700000009</v>
      </c>
      <c r="AT30" s="1340">
        <v>618.44386099999997</v>
      </c>
      <c r="AU30" s="1340">
        <v>571.73311899999987</v>
      </c>
      <c r="AV30" s="1340">
        <v>788.14468399999998</v>
      </c>
      <c r="AW30" s="1340">
        <v>650.30755000000011</v>
      </c>
      <c r="AX30" s="1340">
        <v>450.471452</v>
      </c>
      <c r="AY30" s="1340">
        <v>1098.0111979999999</v>
      </c>
      <c r="AZ30" s="1340">
        <v>863.92264699999987</v>
      </c>
      <c r="BA30" s="1340">
        <v>952.94223299999999</v>
      </c>
      <c r="BB30" s="1340">
        <v>696.14487399999996</v>
      </c>
      <c r="BC30" s="1340">
        <v>5289.5519009999998</v>
      </c>
      <c r="BD30" s="64">
        <f>SUM(BE30:BP30)</f>
        <v>19765.910889999999</v>
      </c>
      <c r="BE30" s="1340">
        <f>무선!AS289+무선!AS294+유선!AS72+유선!AS74+무선!AS295</f>
        <v>383.42282399999999</v>
      </c>
      <c r="BF30" s="1340">
        <f>무선!AT289+무선!AT294+유선!AT72+유선!AT74+무선!AT295</f>
        <v>662.52907100000016</v>
      </c>
      <c r="BG30" s="1340">
        <f>무선!AU289+무선!AU294+유선!AU72+유선!AU74+무선!AU295</f>
        <v>615.48807700000009</v>
      </c>
      <c r="BH30" s="1340">
        <f>무선!AV289+무선!AV294+유선!AV72+유선!AV74+무선!AV295</f>
        <v>488.17268600000006</v>
      </c>
      <c r="BI30" s="1340">
        <f>무선!AW289+무선!AW294+유선!AW72+유선!AW74+무선!AW295</f>
        <v>533.14390800000012</v>
      </c>
      <c r="BJ30" s="1340">
        <f>무선!AX289+무선!AX294+유선!AX72+유선!AX74+무선!AX295</f>
        <v>2628.124022</v>
      </c>
      <c r="BK30" s="1340">
        <f>무선!AY289+무선!AY294+유선!AY72+유선!AY74+무선!AY295</f>
        <v>745.41614500000003</v>
      </c>
      <c r="BL30" s="1340">
        <f>무선!AZ289+무선!AZ294+유선!AZ72+유선!AZ74+무선!AZ295</f>
        <v>902.24236800000006</v>
      </c>
      <c r="BM30" s="1340">
        <f>무선!BA289+무선!BA294+유선!BA72+유선!BA74+무선!BA295</f>
        <v>2021.623765</v>
      </c>
      <c r="BN30" s="1340">
        <f>무선!BB289+무선!BB294+유선!BB72+유선!BB74+무선!BB295</f>
        <v>5053.4639189999998</v>
      </c>
      <c r="BO30" s="1340">
        <f>무선!BC289+무선!BC294+유선!BC72+유선!BC74+무선!BC295</f>
        <v>23.881802000000008</v>
      </c>
      <c r="BP30" s="1340">
        <f>무선!BD289+무선!BD294+유선!BD72+유선!BD74+무선!BD295</f>
        <v>5708.4023029999998</v>
      </c>
      <c r="BQ30" s="64">
        <f t="shared" si="89"/>
        <v>17547.417407999998</v>
      </c>
      <c r="BR30" s="1781">
        <f>무선!BF289+무선!BF294+유선!BF72+유선!BF74</f>
        <v>3088.1655300000002</v>
      </c>
      <c r="BS30" s="1781">
        <f>무선!BG289+무선!BG294+유선!BG72+유선!BG74+무선!BG295</f>
        <v>771.05124899999998</v>
      </c>
      <c r="BT30" s="1781">
        <f>무선!BH289+무선!BH294+유선!BH72+유선!BH74+무선!BH295</f>
        <v>589.96209800000008</v>
      </c>
      <c r="BU30" s="1781">
        <f>무선!BI289+무선!BI294+유선!BI72+유선!BI74+무선!BI295</f>
        <v>1074.0221180000001</v>
      </c>
      <c r="BV30" s="1781">
        <f>무선!BJ289+무선!BJ294+유선!BJ72+유선!BJ74+무선!BJ295</f>
        <v>641.47132700000009</v>
      </c>
      <c r="BW30" s="1781">
        <f>무선!BK289+무선!BK294+유선!BK72+유선!BK74+무선!BK295</f>
        <v>859.98170900000002</v>
      </c>
      <c r="BX30" s="1781">
        <f>무선!BL289+무선!BL294+유선!BL72+유선!BL74+무선!BL295</f>
        <v>1276.9339849999999</v>
      </c>
      <c r="BY30" s="1781">
        <f>무선!BM289+무선!BM294+유선!BM72+유선!BM74+무선!BM295</f>
        <v>1189.6321069999999</v>
      </c>
      <c r="BZ30" s="1781">
        <f>무선!BN289+무선!BN294+유선!BN72+유선!BN74+무선!BN295</f>
        <v>3311.7933480000002</v>
      </c>
      <c r="CA30" s="1781">
        <f>무선!BO289+무선!BO294+유선!BO72+유선!BO74+무선!BO295</f>
        <v>1979.5412890000002</v>
      </c>
      <c r="CB30" s="1781">
        <f>무선!BP289+무선!BP294+유선!BP72+유선!BP74+무선!BP295</f>
        <v>1771.0271989999999</v>
      </c>
      <c r="CC30" s="1782">
        <f>무선!BQ289+무선!BQ294+유선!BQ72+유선!BQ74+무선!BQ295</f>
        <v>993.83544900000004</v>
      </c>
      <c r="CD30" s="1710">
        <f t="shared" si="90"/>
        <v>28784.265983999987</v>
      </c>
      <c r="CE30" s="1930">
        <f>무선!BS289+무선!BS294+유선!BS72+유선!BS74</f>
        <v>2828.5798199999999</v>
      </c>
      <c r="CF30" s="1930">
        <f>무선!BT289+무선!BT294+유선!BT72+유선!BT74</f>
        <v>1297.5017270000001</v>
      </c>
      <c r="CG30" s="1930">
        <f>무선!BU289+무선!BU294+유선!BU72+유선!BU74</f>
        <v>673.45115399999997</v>
      </c>
      <c r="CH30" s="1930">
        <f>무선!BV289+무선!BV294+유선!BV72+유선!BV74</f>
        <v>1150.2810179999999</v>
      </c>
      <c r="CI30" s="1930">
        <f>무선!BW289+무선!BW294+유선!BW72+유선!BW74</f>
        <v>1247.760626</v>
      </c>
      <c r="CJ30" s="1930">
        <f>무선!BX289+무선!BX294+유선!BX72+유선!BX74</f>
        <v>1847.9928750000001</v>
      </c>
      <c r="CK30" s="1930">
        <f>무선!BY289+무선!BY294+유선!BY72+유선!BY74</f>
        <v>3969.3809060000003</v>
      </c>
      <c r="CL30" s="1930">
        <f>무선!BZ289+무선!BZ294+유선!BZ72+유선!BZ74</f>
        <v>1549.3478550000002</v>
      </c>
      <c r="CM30" s="1930">
        <f>무선!CA289+무선!CA294+유선!CA72+유선!CA74</f>
        <v>3506.7862569999998</v>
      </c>
      <c r="CN30" s="1930">
        <f>무선!CB289+무선!CB294+유선!CB72+유선!CB74</f>
        <v>2672.7629769999999</v>
      </c>
      <c r="CO30" s="1930">
        <f>무선!CC289+무선!CC294+유선!CC72+유선!CC74</f>
        <v>2782.5989459999887</v>
      </c>
      <c r="CP30" s="1931">
        <f>무선!CD289+무선!CD294+유선!CD72+유선!CD74</f>
        <v>5257.8218229999993</v>
      </c>
      <c r="CQ30" s="2580">
        <f t="shared" si="91"/>
        <v>28059.803700810116</v>
      </c>
      <c r="CR30" s="2929">
        <f t="shared" ref="CR30:DC30" si="94">CR106+CR154</f>
        <v>2005.6336289105061</v>
      </c>
      <c r="CS30" s="2929">
        <f t="shared" si="94"/>
        <v>1919.3486683654314</v>
      </c>
      <c r="CT30" s="2929">
        <f t="shared" si="94"/>
        <v>2072.1391555378859</v>
      </c>
      <c r="CU30" s="2929">
        <f t="shared" si="94"/>
        <v>1851.1160867071919</v>
      </c>
      <c r="CV30" s="2929">
        <f t="shared" si="94"/>
        <v>1854.0694992465862</v>
      </c>
      <c r="CW30" s="2929">
        <f t="shared" si="94"/>
        <v>2539.6819186221214</v>
      </c>
      <c r="CX30" s="2929">
        <f t="shared" si="94"/>
        <v>2474.8660107539476</v>
      </c>
      <c r="CY30" s="2930">
        <f t="shared" si="94"/>
        <v>1899.3135321598681</v>
      </c>
      <c r="CZ30" s="2930">
        <f t="shared" si="94"/>
        <v>2879.2206307291726</v>
      </c>
      <c r="DA30" s="2930">
        <f t="shared" si="94"/>
        <v>2424.7289121750746</v>
      </c>
      <c r="DB30" s="2930">
        <f t="shared" si="94"/>
        <v>2815.6789045979062</v>
      </c>
      <c r="DC30" s="2286">
        <f t="shared" si="94"/>
        <v>3324.0067530044275</v>
      </c>
      <c r="DD30" s="2766"/>
      <c r="DE30" s="2587"/>
      <c r="DF30" s="2587"/>
      <c r="DG30" s="1913">
        <f t="shared" si="14"/>
        <v>-0.112238363025424</v>
      </c>
      <c r="DH30" s="1913">
        <f t="shared" si="15"/>
        <v>0.64037050665227957</v>
      </c>
      <c r="DI30" s="1913">
        <f t="shared" si="16"/>
        <v>-2.5168690547557104E-2</v>
      </c>
      <c r="DJ30" s="2968">
        <f t="shared" si="25"/>
        <v>-2218.4934820000017</v>
      </c>
      <c r="DK30" s="2968">
        <f t="shared" si="26"/>
        <v>11236.848575999989</v>
      </c>
      <c r="DL30" s="2968">
        <f t="shared" si="17"/>
        <v>-724.4622831898705</v>
      </c>
      <c r="DM30" s="2544"/>
      <c r="DN30" s="28"/>
      <c r="DO30" s="2982"/>
    </row>
    <row r="31" spans="2:120">
      <c r="B31" s="43" t="s">
        <v>75</v>
      </c>
      <c r="C31" s="44"/>
      <c r="D31" s="45"/>
      <c r="E31" s="1346"/>
      <c r="F31" s="1346"/>
      <c r="G31" s="1346"/>
      <c r="H31" s="1346"/>
      <c r="I31" s="1346"/>
      <c r="J31" s="1346"/>
      <c r="K31" s="1346"/>
      <c r="L31" s="1346"/>
      <c r="M31" s="1346"/>
      <c r="N31" s="1346"/>
      <c r="O31" s="1346"/>
      <c r="P31" s="1346"/>
      <c r="Q31" s="1349">
        <f t="shared" si="74"/>
        <v>309.43682200000001</v>
      </c>
      <c r="R31" s="1346">
        <f t="shared" ref="R31:AP31" si="95">R107</f>
        <v>4.883</v>
      </c>
      <c r="S31" s="1346">
        <f t="shared" si="95"/>
        <v>5.99085</v>
      </c>
      <c r="T31" s="1346">
        <f t="shared" si="95"/>
        <v>37.911250000000003</v>
      </c>
      <c r="U31" s="1346">
        <f t="shared" si="95"/>
        <v>11.296749999999999</v>
      </c>
      <c r="V31" s="1346">
        <f t="shared" si="95"/>
        <v>9.0888600000000004</v>
      </c>
      <c r="W31" s="1346">
        <f t="shared" si="95"/>
        <v>47.15605</v>
      </c>
      <c r="X31" s="1346">
        <f t="shared" si="95"/>
        <v>10.39968</v>
      </c>
      <c r="Y31" s="1346">
        <f t="shared" si="95"/>
        <v>20.377780000000001</v>
      </c>
      <c r="Z31" s="1346">
        <f t="shared" si="95"/>
        <v>10.369187</v>
      </c>
      <c r="AA31" s="1346">
        <f t="shared" si="95"/>
        <v>39.018684999999998</v>
      </c>
      <c r="AB31" s="1346">
        <f t="shared" si="95"/>
        <v>25.460732</v>
      </c>
      <c r="AC31" s="1350">
        <f t="shared" si="95"/>
        <v>87.483998</v>
      </c>
      <c r="AD31" s="1501">
        <v>2055.8423969999999</v>
      </c>
      <c r="AE31" s="1062">
        <f t="shared" si="95"/>
        <v>28.441258000000001</v>
      </c>
      <c r="AF31" s="1062">
        <f t="shared" si="95"/>
        <v>12.942660999999999</v>
      </c>
      <c r="AG31" s="1062">
        <f t="shared" si="95"/>
        <v>42.869607999999999</v>
      </c>
      <c r="AH31" s="1062">
        <f t="shared" si="95"/>
        <v>7.2248200000000002</v>
      </c>
      <c r="AI31" s="1062">
        <f t="shared" si="95"/>
        <v>-23.89329</v>
      </c>
      <c r="AJ31" s="1062">
        <f t="shared" si="95"/>
        <v>34.989319999999999</v>
      </c>
      <c r="AK31" s="1062">
        <f t="shared" si="95"/>
        <v>1.30402</v>
      </c>
      <c r="AL31" s="1062">
        <f t="shared" si="95"/>
        <v>17</v>
      </c>
      <c r="AM31" s="1062">
        <f t="shared" si="95"/>
        <v>0</v>
      </c>
      <c r="AN31" s="1062">
        <f t="shared" si="95"/>
        <v>486.464</v>
      </c>
      <c r="AO31" s="1062">
        <f t="shared" si="95"/>
        <v>1170</v>
      </c>
      <c r="AP31" s="1063">
        <f t="shared" si="95"/>
        <v>278.5</v>
      </c>
      <c r="AQ31" s="1349">
        <v>60.945455000000003</v>
      </c>
      <c r="AR31" s="1346">
        <v>0</v>
      </c>
      <c r="AS31" s="1346">
        <v>0</v>
      </c>
      <c r="AT31" s="1346">
        <v>15.6</v>
      </c>
      <c r="AU31" s="1346">
        <v>0</v>
      </c>
      <c r="AV31" s="1346">
        <v>0</v>
      </c>
      <c r="AW31" s="1346">
        <v>12.6</v>
      </c>
      <c r="AX31" s="1346">
        <v>0.54545500000000002</v>
      </c>
      <c r="AY31" s="1346">
        <v>0</v>
      </c>
      <c r="AZ31" s="1346">
        <v>12.6</v>
      </c>
      <c r="BA31" s="1346">
        <v>7</v>
      </c>
      <c r="BB31" s="1346">
        <v>0</v>
      </c>
      <c r="BC31" s="1346">
        <v>12.6</v>
      </c>
      <c r="BD31" s="1349">
        <f t="shared" ref="BD31:BD37" si="96">SUM(BE31:BP31)</f>
        <v>124.26436200000002</v>
      </c>
      <c r="BE31" s="1346">
        <f>무선!AS298</f>
        <v>0</v>
      </c>
      <c r="BF31" s="1346">
        <f>무선!AT298</f>
        <v>0</v>
      </c>
      <c r="BG31" s="1346">
        <f>무선!AU298</f>
        <v>2.809091</v>
      </c>
      <c r="BH31" s="1346">
        <f>무선!AV298</f>
        <v>1</v>
      </c>
      <c r="BI31" s="1346">
        <f>무선!AW298</f>
        <v>0.98181799999999997</v>
      </c>
      <c r="BJ31" s="1346">
        <f>무선!AX298</f>
        <v>0.836364</v>
      </c>
      <c r="BK31" s="1346">
        <f>무선!AY298</f>
        <v>32.145454000000001</v>
      </c>
      <c r="BL31" s="1346">
        <f>무선!AZ298</f>
        <v>29.818000000000001</v>
      </c>
      <c r="BM31" s="1346">
        <f>무선!BA298</f>
        <v>0.47272700000000001</v>
      </c>
      <c r="BN31" s="1346">
        <f>무선!BB298</f>
        <v>43.416908999999997</v>
      </c>
      <c r="BO31" s="1346">
        <f>무선!BC298</f>
        <v>0.55454499999999995</v>
      </c>
      <c r="BP31" s="1346">
        <f>무선!BD298</f>
        <v>12.229454</v>
      </c>
      <c r="BQ31" s="1349">
        <f t="shared" si="89"/>
        <v>248.94518100000002</v>
      </c>
      <c r="BR31" s="1920">
        <f>무선!BF298</f>
        <v>20.399999999999999</v>
      </c>
      <c r="BS31" s="1920">
        <f>무선!BG298</f>
        <v>27.135909000000002</v>
      </c>
      <c r="BT31" s="1920">
        <f>무선!BH298</f>
        <v>0.38181799999999999</v>
      </c>
      <c r="BU31" s="1920">
        <f>무선!BI298</f>
        <v>37.081817999999998</v>
      </c>
      <c r="BV31" s="1920">
        <f>무선!BJ298</f>
        <v>2.5090910000000002</v>
      </c>
      <c r="BW31" s="1920">
        <f>무선!BK298</f>
        <v>2.9227270000000001</v>
      </c>
      <c r="BX31" s="1920">
        <f>무선!BL298</f>
        <v>26.463636000000001</v>
      </c>
      <c r="BY31" s="1920">
        <f>무선!BM298</f>
        <v>12.990909</v>
      </c>
      <c r="BZ31" s="1920">
        <f>무선!BN298</f>
        <v>32.010727000000003</v>
      </c>
      <c r="CA31" s="1920">
        <f>무선!BO298</f>
        <v>20.619</v>
      </c>
      <c r="CB31" s="1920">
        <f>무선!BP298</f>
        <v>33.58</v>
      </c>
      <c r="CC31" s="1921">
        <f>무선!BQ298</f>
        <v>32.849545999999997</v>
      </c>
      <c r="CD31" s="1349">
        <f t="shared" si="90"/>
        <v>621.81873499999995</v>
      </c>
      <c r="CE31" s="2851">
        <f>무선!BS297</f>
        <v>28.158999999999999</v>
      </c>
      <c r="CF31" s="2851">
        <f>무선!BT297</f>
        <v>40.013727000000003</v>
      </c>
      <c r="CG31" s="2851">
        <f>무선!BU297</f>
        <v>18.812999999999999</v>
      </c>
      <c r="CH31" s="2851">
        <f>무선!BV297</f>
        <v>38.265999999999998</v>
      </c>
      <c r="CI31" s="2851">
        <f>무선!BW297</f>
        <v>27.242000000000001</v>
      </c>
      <c r="CJ31" s="2851">
        <f>무선!BX297</f>
        <v>39.036999999999999</v>
      </c>
      <c r="CK31" s="2851">
        <f>무선!BY297</f>
        <v>116.03700000000001</v>
      </c>
      <c r="CL31" s="2851">
        <f>무선!BZ297</f>
        <v>72.41</v>
      </c>
      <c r="CM31" s="2851">
        <f>무선!CA297</f>
        <v>84.063007999999996</v>
      </c>
      <c r="CN31" s="2851">
        <f>무선!CB297</f>
        <v>34.326999999999998</v>
      </c>
      <c r="CO31" s="2851">
        <f>무선!CC297</f>
        <v>24.561</v>
      </c>
      <c r="CP31" s="2878">
        <f>무선!CD297</f>
        <v>98.89</v>
      </c>
      <c r="CQ31" s="2581">
        <f t="shared" si="91"/>
        <v>630.16472400000009</v>
      </c>
      <c r="CR31" s="2933">
        <f t="shared" ref="CR31:DC31" si="97">CR107+CR155</f>
        <v>52.513727000000003</v>
      </c>
      <c r="CS31" s="2933">
        <f t="shared" si="97"/>
        <v>52.513727000000003</v>
      </c>
      <c r="CT31" s="2933">
        <f t="shared" si="97"/>
        <v>52.513727000000003</v>
      </c>
      <c r="CU31" s="2933">
        <f t="shared" si="97"/>
        <v>52.513727000000003</v>
      </c>
      <c r="CV31" s="2933">
        <f t="shared" si="97"/>
        <v>52.513727000000003</v>
      </c>
      <c r="CW31" s="2933">
        <f t="shared" si="97"/>
        <v>52.513727000000003</v>
      </c>
      <c r="CX31" s="2933">
        <f t="shared" si="97"/>
        <v>52.513727000000003</v>
      </c>
      <c r="CY31" s="2015">
        <f t="shared" si="97"/>
        <v>52.513727000000003</v>
      </c>
      <c r="CZ31" s="2015">
        <f t="shared" si="97"/>
        <v>52.513727000000003</v>
      </c>
      <c r="DA31" s="2015">
        <f t="shared" si="97"/>
        <v>52.513727000000003</v>
      </c>
      <c r="DB31" s="2015">
        <f t="shared" si="97"/>
        <v>52.513727000000003</v>
      </c>
      <c r="DC31" s="2288">
        <f t="shared" si="97"/>
        <v>52.513727000000003</v>
      </c>
      <c r="DD31" s="2766"/>
      <c r="DE31" s="2587"/>
      <c r="DF31" s="2587"/>
      <c r="DG31" s="1913">
        <f t="shared" si="14"/>
        <v>1.0033513792152249</v>
      </c>
      <c r="DH31" s="1913">
        <f t="shared" si="15"/>
        <v>1.4978139062671789</v>
      </c>
      <c r="DI31" s="1913">
        <f t="shared" si="16"/>
        <v>1.3421900194113823E-2</v>
      </c>
      <c r="DJ31" s="2968">
        <f t="shared" si="25"/>
        <v>124.680819</v>
      </c>
      <c r="DK31" s="2968">
        <f t="shared" si="26"/>
        <v>372.8735539999999</v>
      </c>
      <c r="DL31" s="2968">
        <f t="shared" si="17"/>
        <v>8.3459890000001451</v>
      </c>
      <c r="DM31" s="2544"/>
      <c r="DN31" s="28"/>
      <c r="DO31" s="2982"/>
    </row>
    <row r="32" spans="2:120">
      <c r="B32" s="46" t="s">
        <v>76</v>
      </c>
      <c r="C32" s="34"/>
      <c r="D32" s="35"/>
      <c r="E32" s="1335"/>
      <c r="F32" s="1335"/>
      <c r="G32" s="1335"/>
      <c r="H32" s="1335"/>
      <c r="I32" s="1335"/>
      <c r="J32" s="1335"/>
      <c r="K32" s="1335"/>
      <c r="L32" s="1335"/>
      <c r="M32" s="1335"/>
      <c r="N32" s="1335"/>
      <c r="O32" s="1335"/>
      <c r="P32" s="1335"/>
      <c r="Q32" s="1345">
        <f t="shared" si="74"/>
        <v>5615.1740940000009</v>
      </c>
      <c r="R32" s="1335">
        <f t="shared" ref="R32:AP32" si="98">R108</f>
        <v>1159.740697</v>
      </c>
      <c r="S32" s="1335">
        <f t="shared" si="98"/>
        <v>1047.4318400000002</v>
      </c>
      <c r="T32" s="1335">
        <f t="shared" si="98"/>
        <v>-605.85149299999989</v>
      </c>
      <c r="U32" s="1335">
        <f t="shared" si="98"/>
        <v>984.27787699999999</v>
      </c>
      <c r="V32" s="1335">
        <f t="shared" si="98"/>
        <v>987.625539</v>
      </c>
      <c r="W32" s="1335">
        <f t="shared" si="98"/>
        <v>-610.23281399999996</v>
      </c>
      <c r="X32" s="1335">
        <f t="shared" si="98"/>
        <v>993.09551099999999</v>
      </c>
      <c r="Y32" s="1335">
        <f t="shared" si="98"/>
        <v>979.11896999999988</v>
      </c>
      <c r="Z32" s="1335">
        <f t="shared" si="98"/>
        <v>-556.02502000000015</v>
      </c>
      <c r="AA32" s="1335">
        <f t="shared" si="98"/>
        <v>944.67308900000012</v>
      </c>
      <c r="AB32" s="1335">
        <f t="shared" si="98"/>
        <v>917.36682900000005</v>
      </c>
      <c r="AC32" s="1074">
        <f t="shared" si="98"/>
        <v>-626.04693100000009</v>
      </c>
      <c r="AD32" s="1499">
        <v>5137.7623620000004</v>
      </c>
      <c r="AE32" s="1054">
        <f t="shared" si="98"/>
        <v>959.96665099999996</v>
      </c>
      <c r="AF32" s="1054">
        <f t="shared" si="98"/>
        <v>942.77648599999998</v>
      </c>
      <c r="AG32" s="1054">
        <f t="shared" si="98"/>
        <v>-527.64108999999996</v>
      </c>
      <c r="AH32" s="1054">
        <f t="shared" si="98"/>
        <v>879.69587899999999</v>
      </c>
      <c r="AI32" s="1054">
        <f t="shared" si="98"/>
        <v>853.77280199999996</v>
      </c>
      <c r="AJ32" s="1054">
        <f t="shared" si="98"/>
        <v>-538.79821000000004</v>
      </c>
      <c r="AK32" s="1054">
        <f t="shared" si="98"/>
        <v>888.99097900000004</v>
      </c>
      <c r="AL32" s="1054">
        <f t="shared" si="98"/>
        <v>897.29632300000003</v>
      </c>
      <c r="AM32" s="1054">
        <f t="shared" si="98"/>
        <v>-463.91661399999987</v>
      </c>
      <c r="AN32" s="1054">
        <f t="shared" si="98"/>
        <v>854.45409799999993</v>
      </c>
      <c r="AO32" s="1054">
        <f t="shared" si="98"/>
        <v>834.68630699999994</v>
      </c>
      <c r="AP32" s="1055">
        <f t="shared" si="98"/>
        <v>-443.52124899999995</v>
      </c>
      <c r="AQ32" s="1345">
        <v>6060.2939210000013</v>
      </c>
      <c r="AR32" s="1335">
        <v>886.95040700000004</v>
      </c>
      <c r="AS32" s="1335">
        <v>875.13990899999999</v>
      </c>
      <c r="AT32" s="1335">
        <v>-377.94869199999994</v>
      </c>
      <c r="AU32" s="1335">
        <v>850.71564400000011</v>
      </c>
      <c r="AV32" s="1335">
        <v>863.27471600000001</v>
      </c>
      <c r="AW32" s="1335">
        <v>-386.60054100000002</v>
      </c>
      <c r="AX32" s="1335">
        <v>854.33068300000014</v>
      </c>
      <c r="AY32" s="1335">
        <v>973.18300099999999</v>
      </c>
      <c r="AZ32" s="1335">
        <v>-266.1780090000002</v>
      </c>
      <c r="BA32" s="1335">
        <v>1032.735048</v>
      </c>
      <c r="BB32" s="1335">
        <v>1031.551048</v>
      </c>
      <c r="BC32" s="1335">
        <v>-276.85929299999992</v>
      </c>
      <c r="BD32" s="1345">
        <f t="shared" si="96"/>
        <v>6422.9032080000006</v>
      </c>
      <c r="BE32" s="1335">
        <f t="shared" ref="BE32:BP32" si="99">SUM(BE33:BE34)</f>
        <v>1092.4286359999999</v>
      </c>
      <c r="BF32" s="1335">
        <f t="shared" si="99"/>
        <v>1102.0490260000001</v>
      </c>
      <c r="BG32" s="1335">
        <f t="shared" si="99"/>
        <v>-580.46399899999994</v>
      </c>
      <c r="BH32" s="1335">
        <f t="shared" si="99"/>
        <v>1021.975055</v>
      </c>
      <c r="BI32" s="1335">
        <f t="shared" si="99"/>
        <v>1016.9356760000001</v>
      </c>
      <c r="BJ32" s="1335">
        <f t="shared" si="99"/>
        <v>-404.39471899999995</v>
      </c>
      <c r="BK32" s="1335">
        <f t="shared" si="99"/>
        <v>1029.5732049999999</v>
      </c>
      <c r="BL32" s="1335">
        <f t="shared" si="99"/>
        <v>1111.483794</v>
      </c>
      <c r="BM32" s="1335">
        <f t="shared" si="99"/>
        <v>-529.30238700000007</v>
      </c>
      <c r="BN32" s="1335">
        <f t="shared" si="99"/>
        <v>1029.650983</v>
      </c>
      <c r="BO32" s="1335">
        <f t="shared" si="99"/>
        <v>1059.1514500000001</v>
      </c>
      <c r="BP32" s="1335">
        <f t="shared" si="99"/>
        <v>-526.18351199999995</v>
      </c>
      <c r="BQ32" s="1345">
        <f t="shared" si="89"/>
        <v>6090.3768060000002</v>
      </c>
      <c r="BR32" s="1777">
        <f t="shared" ref="BR32:CC32" si="100">SUM(BR33:BR34)</f>
        <v>1057.9902569999999</v>
      </c>
      <c r="BS32" s="1777">
        <f t="shared" si="100"/>
        <v>1085.054161</v>
      </c>
      <c r="BT32" s="1777">
        <f t="shared" si="100"/>
        <v>-410.60643799999997</v>
      </c>
      <c r="BU32" s="1777">
        <f t="shared" si="100"/>
        <v>1030.689748</v>
      </c>
      <c r="BV32" s="1777">
        <f t="shared" si="100"/>
        <v>1020.3261530000001</v>
      </c>
      <c r="BW32" s="1777">
        <f t="shared" si="100"/>
        <v>-475.55993000000001</v>
      </c>
      <c r="BX32" s="1777">
        <f t="shared" si="100"/>
        <v>1116.7044820000001</v>
      </c>
      <c r="BY32" s="1777">
        <f t="shared" si="100"/>
        <v>1086.8685459999999</v>
      </c>
      <c r="BZ32" s="1777">
        <f t="shared" si="100"/>
        <v>-557.45080099999996</v>
      </c>
      <c r="CA32" s="1777">
        <f t="shared" si="100"/>
        <v>930.66427800000008</v>
      </c>
      <c r="CB32" s="1777">
        <f t="shared" si="100"/>
        <v>871.98936999999989</v>
      </c>
      <c r="CC32" s="1778">
        <f t="shared" si="100"/>
        <v>-666.29301999999996</v>
      </c>
      <c r="CD32" s="1345">
        <f t="shared" si="90"/>
        <v>5315.1673940000001</v>
      </c>
      <c r="CE32" s="1777">
        <f t="shared" ref="CE32:CP32" si="101">SUM(CE33:CE34)</f>
        <v>971.51187900000002</v>
      </c>
      <c r="CF32" s="1777">
        <f t="shared" si="101"/>
        <v>963.81851200000006</v>
      </c>
      <c r="CG32" s="1777">
        <f t="shared" si="101"/>
        <v>-592.14587399999994</v>
      </c>
      <c r="CH32" s="1777">
        <f t="shared" si="101"/>
        <v>921.80413700000008</v>
      </c>
      <c r="CI32" s="1777">
        <f t="shared" si="101"/>
        <v>914.81607700000006</v>
      </c>
      <c r="CJ32" s="1777">
        <f t="shared" si="101"/>
        <v>-652.23598800000013</v>
      </c>
      <c r="CK32" s="1777">
        <f t="shared" si="101"/>
        <v>952.83527199999992</v>
      </c>
      <c r="CL32" s="1777">
        <f t="shared" si="101"/>
        <v>999.40479200000004</v>
      </c>
      <c r="CM32" s="1777">
        <f t="shared" si="101"/>
        <v>-593.43351300000006</v>
      </c>
      <c r="CN32" s="1777">
        <f t="shared" si="101"/>
        <v>973.82467499999996</v>
      </c>
      <c r="CO32" s="1777">
        <f t="shared" si="101"/>
        <v>1048.295433</v>
      </c>
      <c r="CP32" s="1778">
        <f t="shared" si="101"/>
        <v>-593.32800799999995</v>
      </c>
      <c r="CQ32" s="2579">
        <f t="shared" si="91"/>
        <v>5474.1124374441588</v>
      </c>
      <c r="CR32" s="2922">
        <f>SUM(CR33:CR34)</f>
        <v>992.49668339507195</v>
      </c>
      <c r="CS32" s="2922">
        <f>SUM(CS33:CS34)</f>
        <v>998.27844312194475</v>
      </c>
      <c r="CT32" s="2922">
        <f>SUM(CT33:CT34)</f>
        <v>-626.4154651644352</v>
      </c>
      <c r="CU32" s="2922">
        <f>SUM(CU33:CU34)</f>
        <v>997.93306308040337</v>
      </c>
      <c r="CV32" s="2922">
        <f>SUM(CV33:CV34)</f>
        <v>998.65589978629816</v>
      </c>
      <c r="CW32" s="2922">
        <f t="shared" ref="CW32:DC32" si="102">SUM(CW33:CW34)</f>
        <v>-633.51768972635364</v>
      </c>
      <c r="CX32" s="2922">
        <f t="shared" si="102"/>
        <v>997.76158880524235</v>
      </c>
      <c r="CY32" s="1336">
        <f t="shared" si="102"/>
        <v>998.40839294792238</v>
      </c>
      <c r="CZ32" s="1336">
        <f t="shared" si="102"/>
        <v>-625.87961634358783</v>
      </c>
      <c r="DA32" s="1336">
        <f t="shared" si="102"/>
        <v>1002.7020012332827</v>
      </c>
      <c r="DB32" s="1336">
        <f t="shared" si="102"/>
        <v>1003.3488053759627</v>
      </c>
      <c r="DC32" s="2284">
        <f t="shared" si="102"/>
        <v>-629.65966906759286</v>
      </c>
      <c r="DD32" s="2766"/>
      <c r="DE32" s="2587"/>
      <c r="DF32" s="2587"/>
      <c r="DG32" s="1913">
        <f t="shared" si="14"/>
        <v>-5.1771977753895526E-2</v>
      </c>
      <c r="DH32" s="1913">
        <f t="shared" si="15"/>
        <v>-0.12728431042826349</v>
      </c>
      <c r="DI32" s="1913">
        <f t="shared" si="16"/>
        <v>2.990405224557624E-2</v>
      </c>
      <c r="DJ32" s="2968">
        <f t="shared" si="25"/>
        <v>-332.52640200000042</v>
      </c>
      <c r="DK32" s="2968">
        <f t="shared" si="26"/>
        <v>-775.20941200000016</v>
      </c>
      <c r="DL32" s="2968">
        <f t="shared" si="17"/>
        <v>158.94504344415873</v>
      </c>
      <c r="DM32" s="2544"/>
      <c r="DN32" s="28"/>
      <c r="DO32" s="2982"/>
    </row>
    <row r="33" spans="2:120">
      <c r="B33" s="40" t="s">
        <v>77</v>
      </c>
      <c r="C33" s="41"/>
      <c r="D33" s="66"/>
      <c r="E33" s="1340"/>
      <c r="F33" s="1340"/>
      <c r="G33" s="1340"/>
      <c r="H33" s="1340"/>
      <c r="I33" s="1340"/>
      <c r="J33" s="1340"/>
      <c r="K33" s="1340"/>
      <c r="L33" s="1340"/>
      <c r="M33" s="1340"/>
      <c r="N33" s="1340"/>
      <c r="O33" s="1340"/>
      <c r="P33" s="1340"/>
      <c r="Q33" s="64">
        <f t="shared" si="74"/>
        <v>4785.5892850000009</v>
      </c>
      <c r="R33" s="1340">
        <f t="shared" ref="R33:AP33" si="103">R109</f>
        <v>1077.1939359999999</v>
      </c>
      <c r="S33" s="1340">
        <f t="shared" si="103"/>
        <v>968.5099110000001</v>
      </c>
      <c r="T33" s="1340">
        <f t="shared" si="103"/>
        <v>-681.58330199999989</v>
      </c>
      <c r="U33" s="1340">
        <f t="shared" si="103"/>
        <v>922.98003400000005</v>
      </c>
      <c r="V33" s="1340">
        <f t="shared" si="103"/>
        <v>930.22236399999997</v>
      </c>
      <c r="W33" s="1340">
        <f t="shared" si="103"/>
        <v>-666.88315699999998</v>
      </c>
      <c r="X33" s="1340">
        <f t="shared" si="103"/>
        <v>922.60432600000001</v>
      </c>
      <c r="Y33" s="1340">
        <f t="shared" si="103"/>
        <v>904.47265499999992</v>
      </c>
      <c r="Z33" s="1340">
        <f t="shared" si="103"/>
        <v>-631.32712700000013</v>
      </c>
      <c r="AA33" s="1340">
        <f t="shared" si="103"/>
        <v>876.87155600000006</v>
      </c>
      <c r="AB33" s="1340">
        <f t="shared" si="103"/>
        <v>859.38941199999999</v>
      </c>
      <c r="AC33" s="1341">
        <f t="shared" si="103"/>
        <v>-696.86132300000008</v>
      </c>
      <c r="AD33" s="1119">
        <v>4401.4292930000001</v>
      </c>
      <c r="AE33" s="1058">
        <f t="shared" si="103"/>
        <v>883.57935699999996</v>
      </c>
      <c r="AF33" s="1058">
        <f t="shared" si="103"/>
        <v>859.01869899999997</v>
      </c>
      <c r="AG33" s="1058">
        <f t="shared" si="103"/>
        <v>-593.34228099999996</v>
      </c>
      <c r="AH33" s="1058">
        <f t="shared" si="103"/>
        <v>830.42420800000002</v>
      </c>
      <c r="AI33" s="1058">
        <f t="shared" si="103"/>
        <v>810.32143599999995</v>
      </c>
      <c r="AJ33" s="1058">
        <f t="shared" si="103"/>
        <v>-587.47840900000006</v>
      </c>
      <c r="AK33" s="1058">
        <f t="shared" si="103"/>
        <v>821.27809000000002</v>
      </c>
      <c r="AL33" s="1058">
        <f t="shared" si="103"/>
        <v>819.52794100000006</v>
      </c>
      <c r="AM33" s="1058">
        <f t="shared" si="103"/>
        <v>-527.45777899999985</v>
      </c>
      <c r="AN33" s="1058">
        <f t="shared" si="103"/>
        <v>803.38386999999989</v>
      </c>
      <c r="AO33" s="1058">
        <f t="shared" si="103"/>
        <v>784.78751199999999</v>
      </c>
      <c r="AP33" s="1059">
        <f t="shared" si="103"/>
        <v>-502.61335099999997</v>
      </c>
      <c r="AQ33" s="64">
        <v>5303.6946520000001</v>
      </c>
      <c r="AR33" s="1340">
        <v>816.26682800000003</v>
      </c>
      <c r="AS33" s="1340">
        <v>796.30423999999994</v>
      </c>
      <c r="AT33" s="1340">
        <v>-446.08007999999995</v>
      </c>
      <c r="AU33" s="1340">
        <v>801.09304900000006</v>
      </c>
      <c r="AV33" s="1340">
        <v>814.70825100000002</v>
      </c>
      <c r="AW33" s="1340">
        <v>-436.21089800000004</v>
      </c>
      <c r="AX33" s="1340">
        <v>788.66260100000011</v>
      </c>
      <c r="AY33" s="1340">
        <v>897.21021099999996</v>
      </c>
      <c r="AZ33" s="1340">
        <v>-337.53262500000017</v>
      </c>
      <c r="BA33" s="1340">
        <v>974.6341910000001</v>
      </c>
      <c r="BB33" s="1340">
        <v>974.465552</v>
      </c>
      <c r="BC33" s="1340">
        <v>-339.82666799999993</v>
      </c>
      <c r="BD33" s="64">
        <f t="shared" si="96"/>
        <v>5542.3485850000006</v>
      </c>
      <c r="BE33" s="1340">
        <f>인프라!AS25</f>
        <v>1006.722724</v>
      </c>
      <c r="BF33" s="1340">
        <f>인프라!AT25</f>
        <v>1007.949729</v>
      </c>
      <c r="BG33" s="1340">
        <f>인프라!AU25</f>
        <v>-659.7503989999999</v>
      </c>
      <c r="BH33" s="1340">
        <f>인프라!AV25</f>
        <v>961.63084000000003</v>
      </c>
      <c r="BI33" s="1340">
        <f>인프라!AW25</f>
        <v>962.998693</v>
      </c>
      <c r="BJ33" s="1340">
        <f>인프라!AX25</f>
        <v>-466.77410699999996</v>
      </c>
      <c r="BK33" s="1340">
        <f>인프라!AY25</f>
        <v>956.11005399999999</v>
      </c>
      <c r="BL33" s="1340">
        <f>인프라!AZ25</f>
        <v>1015.3815</v>
      </c>
      <c r="BM33" s="1340">
        <f>인프라!BA25</f>
        <v>-614.97043800000006</v>
      </c>
      <c r="BN33" s="1340">
        <f>인프라!BB25</f>
        <v>967.36028600000009</v>
      </c>
      <c r="BO33" s="1340">
        <f>인프라!BC25</f>
        <v>1001.8113420000001</v>
      </c>
      <c r="BP33" s="1340">
        <f>인프라!BD25</f>
        <v>-596.12163899999996</v>
      </c>
      <c r="BQ33" s="64">
        <f t="shared" si="89"/>
        <v>5190.9477699999998</v>
      </c>
      <c r="BR33" s="1781">
        <f>인프라!BF25</f>
        <v>976.62713999999994</v>
      </c>
      <c r="BS33" s="1781">
        <f>인프라!BG25</f>
        <v>991.95291399999996</v>
      </c>
      <c r="BT33" s="1781">
        <f>인프라!BH25</f>
        <v>-485.25513899999999</v>
      </c>
      <c r="BU33" s="1781">
        <f>인프라!BI25</f>
        <v>969.43936399999996</v>
      </c>
      <c r="BV33" s="1781">
        <f>인프라!BJ25</f>
        <v>962.87925900000005</v>
      </c>
      <c r="BW33" s="1781">
        <f>인프라!BK25</f>
        <v>-536.36931800000002</v>
      </c>
      <c r="BX33" s="1781">
        <f>인프라!BL25</f>
        <v>1038.1918170000001</v>
      </c>
      <c r="BY33" s="1781">
        <f>인프라!BM25</f>
        <v>988.43123600000001</v>
      </c>
      <c r="BZ33" s="1781">
        <f>인프라!BN25</f>
        <v>-649.78604899999993</v>
      </c>
      <c r="CA33" s="1781">
        <f>인프라!BO25</f>
        <v>857.49516100000005</v>
      </c>
      <c r="CB33" s="1781">
        <f>인프라!BP25</f>
        <v>815.95566799999995</v>
      </c>
      <c r="CC33" s="1782">
        <f>인프라!BQ25</f>
        <v>-738.614283</v>
      </c>
      <c r="CD33" s="1710">
        <f t="shared" si="90"/>
        <v>4488.5558190000002</v>
      </c>
      <c r="CE33" s="1930">
        <f>인프라!BS25</f>
        <v>889.45883100000003</v>
      </c>
      <c r="CF33" s="1930">
        <f>인프라!BT25</f>
        <v>875.807906</v>
      </c>
      <c r="CG33" s="1930">
        <f>인프라!BU25</f>
        <v>-674.42278799999997</v>
      </c>
      <c r="CH33" s="1930">
        <f>인프라!BV25</f>
        <v>863.6853440000001</v>
      </c>
      <c r="CI33" s="1930">
        <f>인프라!BW25</f>
        <v>861.79002200000002</v>
      </c>
      <c r="CJ33" s="1930">
        <f>인프라!BX25</f>
        <v>-709.25130700000011</v>
      </c>
      <c r="CK33" s="1930">
        <f>인프라!BY25</f>
        <v>880.66315299999997</v>
      </c>
      <c r="CL33" s="1930">
        <f>인프라!BZ25</f>
        <v>916.12363100000005</v>
      </c>
      <c r="CM33" s="1930">
        <f>인프라!CA25</f>
        <v>-671.88190500000007</v>
      </c>
      <c r="CN33" s="1930">
        <f>인프라!CB25</f>
        <v>911.46555999999998</v>
      </c>
      <c r="CO33" s="1930">
        <f>인프라!CC25</f>
        <v>995.94284999999991</v>
      </c>
      <c r="CP33" s="1931">
        <f>인프라!CD25</f>
        <v>-650.82547799999998</v>
      </c>
      <c r="CQ33" s="2580">
        <f t="shared" si="91"/>
        <v>4578.0936263155199</v>
      </c>
      <c r="CR33" s="2929">
        <f t="shared" ref="CR33:DC33" si="104">CR109+CR157</f>
        <v>923.46978941768532</v>
      </c>
      <c r="CS33" s="2929">
        <f t="shared" si="104"/>
        <v>923.58194080455826</v>
      </c>
      <c r="CT33" s="2929">
        <f t="shared" si="104"/>
        <v>-701.11196748182169</v>
      </c>
      <c r="CU33" s="2929">
        <f t="shared" si="104"/>
        <v>923.23656076301688</v>
      </c>
      <c r="CV33" s="2929">
        <f t="shared" si="104"/>
        <v>923.95939746891167</v>
      </c>
      <c r="CW33" s="2929">
        <f t="shared" si="104"/>
        <v>-708.21419204374013</v>
      </c>
      <c r="CX33" s="2929">
        <f t="shared" si="104"/>
        <v>923.06508648785587</v>
      </c>
      <c r="CY33" s="2930">
        <f t="shared" si="104"/>
        <v>923.71189063053589</v>
      </c>
      <c r="CZ33" s="2930">
        <f t="shared" si="104"/>
        <v>-700.57611866097432</v>
      </c>
      <c r="DA33" s="2930">
        <f t="shared" si="104"/>
        <v>925.00549891589617</v>
      </c>
      <c r="DB33" s="2930">
        <f t="shared" si="104"/>
        <v>925.65230305857619</v>
      </c>
      <c r="DC33" s="2286">
        <f t="shared" si="104"/>
        <v>-703.68656304497949</v>
      </c>
      <c r="DD33" s="2766"/>
      <c r="DE33" s="2587"/>
      <c r="DF33" s="2587"/>
      <c r="DG33" s="1913">
        <f t="shared" si="14"/>
        <v>-6.3402871474205647E-2</v>
      </c>
      <c r="DH33" s="1913">
        <f t="shared" si="15"/>
        <v>-0.13531092627425911</v>
      </c>
      <c r="DI33" s="1913">
        <f t="shared" si="16"/>
        <v>1.9948021351657852E-2</v>
      </c>
      <c r="DJ33" s="2968">
        <f t="shared" si="25"/>
        <v>-351.40081500000088</v>
      </c>
      <c r="DK33" s="2968">
        <f t="shared" si="26"/>
        <v>-702.39195099999961</v>
      </c>
      <c r="DL33" s="2968">
        <f t="shared" si="17"/>
        <v>89.537807315519785</v>
      </c>
      <c r="DM33" s="2544"/>
      <c r="DN33" s="430"/>
      <c r="DO33" s="430"/>
      <c r="DP33" s="2609"/>
    </row>
    <row r="34" spans="2:120">
      <c r="B34" s="40" t="s">
        <v>78</v>
      </c>
      <c r="C34" s="41"/>
      <c r="D34" s="66"/>
      <c r="E34" s="1340"/>
      <c r="F34" s="1340"/>
      <c r="G34" s="1340"/>
      <c r="H34" s="1340"/>
      <c r="I34" s="1340"/>
      <c r="J34" s="1340"/>
      <c r="K34" s="1340"/>
      <c r="L34" s="1340"/>
      <c r="M34" s="1340"/>
      <c r="N34" s="1340"/>
      <c r="O34" s="1340"/>
      <c r="P34" s="1340"/>
      <c r="Q34" s="64">
        <f t="shared" si="74"/>
        <v>829.58480899999995</v>
      </c>
      <c r="R34" s="1340">
        <f t="shared" ref="R34:AP34" si="105">R110</f>
        <v>82.546761000000004</v>
      </c>
      <c r="S34" s="1340">
        <f t="shared" si="105"/>
        <v>78.921929000000006</v>
      </c>
      <c r="T34" s="1340">
        <f t="shared" si="105"/>
        <v>75.731808999999998</v>
      </c>
      <c r="U34" s="1340">
        <f t="shared" si="105"/>
        <v>61.297843</v>
      </c>
      <c r="V34" s="1340">
        <f t="shared" si="105"/>
        <v>57.403174999999997</v>
      </c>
      <c r="W34" s="1340">
        <f t="shared" si="105"/>
        <v>56.650342999999999</v>
      </c>
      <c r="X34" s="1340">
        <f t="shared" si="105"/>
        <v>70.491185000000002</v>
      </c>
      <c r="Y34" s="1340">
        <f t="shared" si="105"/>
        <v>74.646315000000001</v>
      </c>
      <c r="Z34" s="1340">
        <f t="shared" si="105"/>
        <v>75.302107000000007</v>
      </c>
      <c r="AA34" s="1340">
        <f t="shared" si="105"/>
        <v>67.801533000000006</v>
      </c>
      <c r="AB34" s="1340">
        <f t="shared" si="105"/>
        <v>57.977417000000003</v>
      </c>
      <c r="AC34" s="1341">
        <f t="shared" si="105"/>
        <v>70.814391999999998</v>
      </c>
      <c r="AD34" s="1119">
        <v>736.33306899999991</v>
      </c>
      <c r="AE34" s="1058">
        <f t="shared" si="105"/>
        <v>76.387293999999997</v>
      </c>
      <c r="AF34" s="1058">
        <f t="shared" si="105"/>
        <v>83.757786999999993</v>
      </c>
      <c r="AG34" s="1058">
        <f t="shared" si="105"/>
        <v>65.701190999999994</v>
      </c>
      <c r="AH34" s="1058">
        <f t="shared" si="105"/>
        <v>49.271670999999998</v>
      </c>
      <c r="AI34" s="1058">
        <f t="shared" si="105"/>
        <v>43.451366</v>
      </c>
      <c r="AJ34" s="1058">
        <f t="shared" si="105"/>
        <v>48.680199000000002</v>
      </c>
      <c r="AK34" s="1058">
        <f t="shared" si="105"/>
        <v>67.712889000000004</v>
      </c>
      <c r="AL34" s="1058">
        <f t="shared" si="105"/>
        <v>77.768382000000003</v>
      </c>
      <c r="AM34" s="1058">
        <f t="shared" si="105"/>
        <v>63.541164999999999</v>
      </c>
      <c r="AN34" s="1058">
        <f t="shared" si="105"/>
        <v>51.070228</v>
      </c>
      <c r="AO34" s="1058">
        <f t="shared" si="105"/>
        <v>49.898795</v>
      </c>
      <c r="AP34" s="1059">
        <f t="shared" si="105"/>
        <v>59.092101999999997</v>
      </c>
      <c r="AQ34" s="64">
        <v>756.59926900000005</v>
      </c>
      <c r="AR34" s="1340">
        <v>70.683578999999995</v>
      </c>
      <c r="AS34" s="1340">
        <v>78.835668999999996</v>
      </c>
      <c r="AT34" s="1340">
        <v>68.131388000000001</v>
      </c>
      <c r="AU34" s="1340">
        <v>49.622594999999997</v>
      </c>
      <c r="AV34" s="1340">
        <v>48.566465000000001</v>
      </c>
      <c r="AW34" s="1340">
        <v>49.610357</v>
      </c>
      <c r="AX34" s="1340">
        <v>65.668081999999998</v>
      </c>
      <c r="AY34" s="1340">
        <v>75.972790000000003</v>
      </c>
      <c r="AZ34" s="1340">
        <v>71.354615999999993</v>
      </c>
      <c r="BA34" s="1340">
        <v>58.100856999999998</v>
      </c>
      <c r="BB34" s="1340">
        <v>57.085495999999999</v>
      </c>
      <c r="BC34" s="1340">
        <v>62.967374999999997</v>
      </c>
      <c r="BD34" s="64">
        <f t="shared" si="96"/>
        <v>880.55462299999999</v>
      </c>
      <c r="BE34" s="1340">
        <f>인프라!AS32</f>
        <v>85.705911999999998</v>
      </c>
      <c r="BF34" s="1340">
        <f>인프라!AT32</f>
        <v>94.099297000000007</v>
      </c>
      <c r="BG34" s="1340">
        <f>인프라!AU32</f>
        <v>79.2864</v>
      </c>
      <c r="BH34" s="1340">
        <f>인프라!AV32</f>
        <v>60.344214999999998</v>
      </c>
      <c r="BI34" s="1340">
        <f>인프라!AW32</f>
        <v>53.936982999999998</v>
      </c>
      <c r="BJ34" s="1340">
        <f>인프라!AX32</f>
        <v>62.379387999999999</v>
      </c>
      <c r="BK34" s="1340">
        <f>인프라!AY32</f>
        <v>73.463150999999996</v>
      </c>
      <c r="BL34" s="1340">
        <f>인프라!AZ32</f>
        <v>96.102294000000001</v>
      </c>
      <c r="BM34" s="1340">
        <f>인프라!BA32</f>
        <v>85.668051000000006</v>
      </c>
      <c r="BN34" s="1340">
        <f>인프라!BB32</f>
        <v>62.290697000000002</v>
      </c>
      <c r="BO34" s="1340">
        <f>인프라!BC32</f>
        <v>57.340108000000001</v>
      </c>
      <c r="BP34" s="1340">
        <f>인프라!BD32</f>
        <v>69.938126999999994</v>
      </c>
      <c r="BQ34" s="64">
        <f t="shared" si="89"/>
        <v>899.429036</v>
      </c>
      <c r="BR34" s="1781">
        <f>인프라!BF32</f>
        <v>81.363117000000003</v>
      </c>
      <c r="BS34" s="1781">
        <f>인프라!BG32</f>
        <v>93.101247000000001</v>
      </c>
      <c r="BT34" s="1781">
        <f>인프라!BH32</f>
        <v>74.648701000000003</v>
      </c>
      <c r="BU34" s="1781">
        <f>인프라!BI32</f>
        <v>61.250383999999997</v>
      </c>
      <c r="BV34" s="1781">
        <f>인프라!BJ32</f>
        <v>57.446894</v>
      </c>
      <c r="BW34" s="1781">
        <f>인프라!BK32</f>
        <v>60.809387999999998</v>
      </c>
      <c r="BX34" s="1781">
        <f>인프라!BL32</f>
        <v>78.512664999999998</v>
      </c>
      <c r="BY34" s="1781">
        <f>인프라!BM32</f>
        <v>98.437309999999997</v>
      </c>
      <c r="BZ34" s="1781">
        <f>인프라!BN32</f>
        <v>92.335248000000007</v>
      </c>
      <c r="CA34" s="1781">
        <f>인프라!BO32</f>
        <v>73.169117</v>
      </c>
      <c r="CB34" s="1781">
        <f>인프라!BP32</f>
        <v>56.033701999999998</v>
      </c>
      <c r="CC34" s="1782">
        <f>인프라!BQ32</f>
        <v>72.321263000000002</v>
      </c>
      <c r="CD34" s="1710">
        <f t="shared" si="90"/>
        <v>826.61157500000002</v>
      </c>
      <c r="CE34" s="1930">
        <f>인프라!BS32</f>
        <v>82.053048000000004</v>
      </c>
      <c r="CF34" s="1930">
        <f>인프라!BT32</f>
        <v>88.010605999999996</v>
      </c>
      <c r="CG34" s="1930">
        <f>인프라!BU32</f>
        <v>82.276914000000005</v>
      </c>
      <c r="CH34" s="1930">
        <f>인프라!BV32</f>
        <v>58.118792999999997</v>
      </c>
      <c r="CI34" s="1930">
        <f>인프라!BW32</f>
        <v>53.026054999999999</v>
      </c>
      <c r="CJ34" s="1930">
        <f>인프라!BX32</f>
        <v>57.015318999999998</v>
      </c>
      <c r="CK34" s="1930">
        <f>인프라!BY32</f>
        <v>72.172118999999995</v>
      </c>
      <c r="CL34" s="1930">
        <f>인프라!BZ32</f>
        <v>83.281160999999997</v>
      </c>
      <c r="CM34" s="1930">
        <f>인프라!CA32</f>
        <v>78.448391999999998</v>
      </c>
      <c r="CN34" s="1930">
        <f>인프라!CB32</f>
        <v>62.359115000000003</v>
      </c>
      <c r="CO34" s="1930">
        <f>인프라!CC32</f>
        <v>52.352583000000003</v>
      </c>
      <c r="CP34" s="1931">
        <f>인프라!CD32</f>
        <v>57.49747</v>
      </c>
      <c r="CQ34" s="2580">
        <f t="shared" si="91"/>
        <v>896.0188111286385</v>
      </c>
      <c r="CR34" s="2929">
        <f t="shared" ref="CR34:DC34" si="106">CR110+CR158</f>
        <v>69.026893977386635</v>
      </c>
      <c r="CS34" s="2929">
        <f t="shared" si="106"/>
        <v>74.696502317386532</v>
      </c>
      <c r="CT34" s="2929">
        <f t="shared" si="106"/>
        <v>74.696502317386532</v>
      </c>
      <c r="CU34" s="2929">
        <f t="shared" si="106"/>
        <v>74.696502317386532</v>
      </c>
      <c r="CV34" s="2929">
        <f t="shared" si="106"/>
        <v>74.696502317386532</v>
      </c>
      <c r="CW34" s="2929">
        <f t="shared" si="106"/>
        <v>74.696502317386532</v>
      </c>
      <c r="CX34" s="2929">
        <f t="shared" si="106"/>
        <v>74.696502317386532</v>
      </c>
      <c r="CY34" s="2930">
        <f t="shared" si="106"/>
        <v>74.696502317386532</v>
      </c>
      <c r="CZ34" s="2930">
        <f t="shared" si="106"/>
        <v>74.696502317386532</v>
      </c>
      <c r="DA34" s="2930">
        <f t="shared" si="106"/>
        <v>77.696502317386532</v>
      </c>
      <c r="DB34" s="2930">
        <f t="shared" si="106"/>
        <v>77.696502317386532</v>
      </c>
      <c r="DC34" s="2286">
        <f t="shared" si="106"/>
        <v>74.026893977386635</v>
      </c>
      <c r="DD34" s="2766"/>
      <c r="DE34" s="2587"/>
      <c r="DF34" s="2587"/>
      <c r="DG34" s="1913">
        <f t="shared" si="14"/>
        <v>2.1434687306161493E-2</v>
      </c>
      <c r="DH34" s="1913">
        <f t="shared" si="15"/>
        <v>-8.0959651162518131E-2</v>
      </c>
      <c r="DI34" s="2969">
        <f t="shared" si="16"/>
        <v>8.3965962040440267E-2</v>
      </c>
      <c r="DJ34" s="2968">
        <f t="shared" si="25"/>
        <v>18.874413000000004</v>
      </c>
      <c r="DK34" s="2968">
        <f t="shared" si="26"/>
        <v>-72.81746099999998</v>
      </c>
      <c r="DL34" s="2968">
        <f t="shared" si="17"/>
        <v>69.407236128638488</v>
      </c>
      <c r="DM34" s="2544"/>
      <c r="DN34" s="28"/>
      <c r="DO34" s="28"/>
    </row>
    <row r="35" spans="2:120">
      <c r="B35" s="46" t="s">
        <v>384</v>
      </c>
      <c r="C35" s="34"/>
      <c r="D35" s="35"/>
      <c r="E35" s="1335"/>
      <c r="F35" s="1335"/>
      <c r="G35" s="1335"/>
      <c r="H35" s="1335"/>
      <c r="I35" s="1335"/>
      <c r="J35" s="1335"/>
      <c r="K35" s="1335"/>
      <c r="L35" s="1335"/>
      <c r="M35" s="1335"/>
      <c r="N35" s="1335"/>
      <c r="O35" s="1335"/>
      <c r="P35" s="1335"/>
      <c r="Q35" s="1345">
        <f t="shared" si="74"/>
        <v>7701.4169409999995</v>
      </c>
      <c r="R35" s="1335">
        <f t="shared" ref="R35:AP35" si="107">R111</f>
        <v>184.41950199999999</v>
      </c>
      <c r="S35" s="1335">
        <f t="shared" si="107"/>
        <v>179.08790400000001</v>
      </c>
      <c r="T35" s="1335">
        <f t="shared" si="107"/>
        <v>1757.263461</v>
      </c>
      <c r="U35" s="1335">
        <f t="shared" si="107"/>
        <v>169.22991400000001</v>
      </c>
      <c r="V35" s="1335">
        <f t="shared" si="107"/>
        <v>163.72880699999999</v>
      </c>
      <c r="W35" s="1335">
        <f t="shared" si="107"/>
        <v>1647.3229210000002</v>
      </c>
      <c r="X35" s="1335">
        <f t="shared" si="107"/>
        <v>156.14584200000002</v>
      </c>
      <c r="Y35" s="1335">
        <f t="shared" si="107"/>
        <v>149.91224099999999</v>
      </c>
      <c r="Z35" s="1335">
        <f t="shared" si="107"/>
        <v>1557.000849</v>
      </c>
      <c r="AA35" s="1335">
        <f t="shared" si="107"/>
        <v>128.82388700000001</v>
      </c>
      <c r="AB35" s="1335">
        <f t="shared" si="107"/>
        <v>126.43026900000001</v>
      </c>
      <c r="AC35" s="1074">
        <f t="shared" si="107"/>
        <v>1482.051344</v>
      </c>
      <c r="AD35" s="1499">
        <v>6408.2964349999993</v>
      </c>
      <c r="AE35" s="1054">
        <f t="shared" si="107"/>
        <v>122.067702</v>
      </c>
      <c r="AF35" s="1054">
        <f t="shared" si="107"/>
        <v>121.334701</v>
      </c>
      <c r="AG35" s="1054">
        <f t="shared" si="107"/>
        <v>1454.0482910000001</v>
      </c>
      <c r="AH35" s="1054">
        <f t="shared" si="107"/>
        <v>119.728639</v>
      </c>
      <c r="AI35" s="1054">
        <f t="shared" si="107"/>
        <v>117.019749</v>
      </c>
      <c r="AJ35" s="1054">
        <f t="shared" si="107"/>
        <v>1409.0148510000001</v>
      </c>
      <c r="AK35" s="1054">
        <f t="shared" si="107"/>
        <v>113.79748699999999</v>
      </c>
      <c r="AL35" s="1054">
        <f t="shared" si="107"/>
        <v>113.43645500000001</v>
      </c>
      <c r="AM35" s="1054">
        <f t="shared" si="107"/>
        <v>1359.937905</v>
      </c>
      <c r="AN35" s="1054">
        <f t="shared" si="107"/>
        <v>111.064257</v>
      </c>
      <c r="AO35" s="1054">
        <f t="shared" si="107"/>
        <v>109.759356</v>
      </c>
      <c r="AP35" s="1055">
        <f t="shared" si="107"/>
        <v>1257.0870420000001</v>
      </c>
      <c r="AQ35" s="1345">
        <v>6129.8074689999994</v>
      </c>
      <c r="AR35" s="1335">
        <v>109.307694</v>
      </c>
      <c r="AS35" s="1335">
        <v>109.187527</v>
      </c>
      <c r="AT35" s="1335">
        <v>1263.7525769999997</v>
      </c>
      <c r="AU35" s="1335">
        <v>112.925963</v>
      </c>
      <c r="AV35" s="1335">
        <v>111.94170800000001</v>
      </c>
      <c r="AW35" s="1335">
        <v>1227.241282</v>
      </c>
      <c r="AX35" s="1335">
        <v>111.20828399999999</v>
      </c>
      <c r="AY35" s="1335">
        <v>110.80226400000001</v>
      </c>
      <c r="AZ35" s="1335">
        <v>1378.1009710000001</v>
      </c>
      <c r="BA35" s="1335">
        <v>69.966214000000008</v>
      </c>
      <c r="BB35" s="1335">
        <v>70.322174000000004</v>
      </c>
      <c r="BC35" s="1335">
        <v>1455.0508109999998</v>
      </c>
      <c r="BD35" s="1345">
        <f t="shared" si="96"/>
        <v>6436.837364</v>
      </c>
      <c r="BE35" s="1335">
        <f t="shared" ref="BE35:BP35" si="108">SUM(BE36:BE37)</f>
        <v>74.262206999999989</v>
      </c>
      <c r="BF35" s="1335">
        <f t="shared" si="108"/>
        <v>77.445539999999994</v>
      </c>
      <c r="BG35" s="1335">
        <f t="shared" si="108"/>
        <v>1441.6923960000001</v>
      </c>
      <c r="BH35" s="1335">
        <f t="shared" si="108"/>
        <v>78.998683</v>
      </c>
      <c r="BI35" s="1335">
        <f t="shared" si="108"/>
        <v>79.131073999999998</v>
      </c>
      <c r="BJ35" s="1335">
        <f t="shared" si="108"/>
        <v>1450.3235609999999</v>
      </c>
      <c r="BK35" s="1335">
        <f t="shared" si="108"/>
        <v>90.104266999999993</v>
      </c>
      <c r="BL35" s="1335">
        <f t="shared" si="108"/>
        <v>88.435212000000007</v>
      </c>
      <c r="BM35" s="1335">
        <f t="shared" si="108"/>
        <v>1465.0685309999999</v>
      </c>
      <c r="BN35" s="1335">
        <f t="shared" si="108"/>
        <v>89.288020000000003</v>
      </c>
      <c r="BO35" s="1335">
        <f t="shared" si="108"/>
        <v>86.426654999999997</v>
      </c>
      <c r="BP35" s="1335">
        <f t="shared" si="108"/>
        <v>1415.6612180000002</v>
      </c>
      <c r="BQ35" s="1345">
        <f t="shared" si="89"/>
        <v>6365.9271740000004</v>
      </c>
      <c r="BR35" s="1777">
        <f t="shared" ref="BR35:CC35" si="109">SUM(BR36:BR37)</f>
        <v>87.261594000000002</v>
      </c>
      <c r="BS35" s="1777">
        <f t="shared" si="109"/>
        <v>67.63382</v>
      </c>
      <c r="BT35" s="1777">
        <f t="shared" si="109"/>
        <v>1419.398218</v>
      </c>
      <c r="BU35" s="1777">
        <f t="shared" si="109"/>
        <v>68.55932</v>
      </c>
      <c r="BV35" s="1777">
        <f t="shared" si="109"/>
        <v>68.502802000000003</v>
      </c>
      <c r="BW35" s="1777">
        <f t="shared" si="109"/>
        <v>1431.3231510000001</v>
      </c>
      <c r="BX35" s="1777">
        <f t="shared" si="109"/>
        <v>66.797168999999997</v>
      </c>
      <c r="BY35" s="1777">
        <f t="shared" si="109"/>
        <v>66.797168999999997</v>
      </c>
      <c r="BZ35" s="1777">
        <f t="shared" si="109"/>
        <v>1498.272426</v>
      </c>
      <c r="CA35" s="1777">
        <f t="shared" si="109"/>
        <v>66.797173000000001</v>
      </c>
      <c r="CB35" s="1777">
        <f t="shared" si="109"/>
        <v>66.298949999999991</v>
      </c>
      <c r="CC35" s="1778">
        <f t="shared" si="109"/>
        <v>1458.2853819999998</v>
      </c>
      <c r="CD35" s="1345">
        <f t="shared" si="90"/>
        <v>6388.1613470000002</v>
      </c>
      <c r="CE35" s="1777">
        <f t="shared" ref="CE35:CP35" si="110">SUM(CE36:CE37)</f>
        <v>65.426590000000004</v>
      </c>
      <c r="CF35" s="1777">
        <f t="shared" si="110"/>
        <v>65.426590000000004</v>
      </c>
      <c r="CG35" s="1777">
        <f t="shared" si="110"/>
        <v>1460.6176849999999</v>
      </c>
      <c r="CH35" s="1777">
        <f t="shared" si="110"/>
        <v>64.824417999999994</v>
      </c>
      <c r="CI35" s="1777">
        <f t="shared" si="110"/>
        <v>64.533783</v>
      </c>
      <c r="CJ35" s="1777">
        <f t="shared" si="110"/>
        <v>1450.026212</v>
      </c>
      <c r="CK35" s="1777">
        <f t="shared" si="110"/>
        <v>64.204667000000001</v>
      </c>
      <c r="CL35" s="1777">
        <f t="shared" si="110"/>
        <v>64.204667000000001</v>
      </c>
      <c r="CM35" s="1777">
        <f t="shared" si="110"/>
        <v>1477.1109919999999</v>
      </c>
      <c r="CN35" s="1777">
        <f t="shared" si="110"/>
        <v>63.622779000000008</v>
      </c>
      <c r="CO35" s="1777">
        <f t="shared" si="110"/>
        <v>63.622779000000008</v>
      </c>
      <c r="CP35" s="1778">
        <f t="shared" si="110"/>
        <v>1484.5401850000001</v>
      </c>
      <c r="CQ35" s="2579">
        <f t="shared" si="91"/>
        <v>6035.7088926904889</v>
      </c>
      <c r="CR35" s="2922">
        <f>SUM(CR36:CR37)</f>
        <v>38.483933946429552</v>
      </c>
      <c r="CS35" s="2922">
        <f>SUM(CS36:CS37)</f>
        <v>38.483933946429552</v>
      </c>
      <c r="CT35" s="2922">
        <f>SUM(CT36:CT37)</f>
        <v>1382.5053579464295</v>
      </c>
      <c r="CU35" s="2922">
        <f>SUM(CU36:CU37)</f>
        <v>43.483933946429552</v>
      </c>
      <c r="CV35" s="2922">
        <f>SUM(CV36:CV37)</f>
        <v>43.483933946429552</v>
      </c>
      <c r="CW35" s="2922">
        <f t="shared" ref="CW35:DC35" si="111">SUM(CW36:CW37)</f>
        <v>1387.5053579464295</v>
      </c>
      <c r="CX35" s="2922">
        <f t="shared" si="111"/>
        <v>43.483933946429552</v>
      </c>
      <c r="CY35" s="1336">
        <f t="shared" si="111"/>
        <v>43.483933946429552</v>
      </c>
      <c r="CZ35" s="1336">
        <f t="shared" si="111"/>
        <v>1404.172024613096</v>
      </c>
      <c r="DA35" s="1336">
        <f t="shared" si="111"/>
        <v>89.978152613096199</v>
      </c>
      <c r="DB35" s="1336">
        <f t="shared" si="111"/>
        <v>89.978152613096199</v>
      </c>
      <c r="DC35" s="2284">
        <f t="shared" si="111"/>
        <v>1430.6662432797627</v>
      </c>
      <c r="DD35" s="2766"/>
      <c r="DE35" s="2587"/>
      <c r="DF35" s="2587"/>
      <c r="DG35" s="1913">
        <f t="shared" si="14"/>
        <v>-1.1016309095610688E-2</v>
      </c>
      <c r="DH35" s="1913">
        <f t="shared" si="15"/>
        <v>3.4926841593176938E-3</v>
      </c>
      <c r="DI35" s="1913">
        <f t="shared" si="16"/>
        <v>-5.517275396856236E-2</v>
      </c>
      <c r="DJ35" s="2968">
        <f t="shared" si="25"/>
        <v>-70.910189999999602</v>
      </c>
      <c r="DK35" s="2968">
        <f t="shared" si="26"/>
        <v>22.234172999999828</v>
      </c>
      <c r="DL35" s="2968">
        <f t="shared" si="17"/>
        <v>-352.45245430951127</v>
      </c>
      <c r="DM35" s="2544"/>
      <c r="DN35" s="28"/>
      <c r="DO35" s="28"/>
    </row>
    <row r="36" spans="2:120">
      <c r="B36" s="40" t="s">
        <v>79</v>
      </c>
      <c r="C36" s="41"/>
      <c r="D36" s="66"/>
      <c r="E36" s="1340"/>
      <c r="F36" s="1340"/>
      <c r="G36" s="1340"/>
      <c r="H36" s="1340"/>
      <c r="I36" s="1340"/>
      <c r="J36" s="1340"/>
      <c r="K36" s="1340"/>
      <c r="L36" s="1340"/>
      <c r="M36" s="1340"/>
      <c r="N36" s="1340"/>
      <c r="O36" s="1340"/>
      <c r="P36" s="1340"/>
      <c r="Q36" s="64">
        <f t="shared" si="74"/>
        <v>6502.198671000001</v>
      </c>
      <c r="R36" s="1340">
        <f t="shared" ref="R36:AP36" si="112">R112</f>
        <v>71.165347999999994</v>
      </c>
      <c r="S36" s="1340">
        <f t="shared" si="112"/>
        <v>67.416583000000003</v>
      </c>
      <c r="T36" s="1340">
        <f t="shared" si="112"/>
        <v>1654.491636</v>
      </c>
      <c r="U36" s="1340">
        <f t="shared" si="112"/>
        <v>58.074333000000003</v>
      </c>
      <c r="V36" s="1340">
        <f t="shared" si="112"/>
        <v>55.906359000000002</v>
      </c>
      <c r="W36" s="1340">
        <f t="shared" si="112"/>
        <v>1547.6254650000001</v>
      </c>
      <c r="X36" s="1340">
        <f t="shared" si="112"/>
        <v>49.673056000000003</v>
      </c>
      <c r="Y36" s="1340">
        <f t="shared" si="112"/>
        <v>48.605857</v>
      </c>
      <c r="Z36" s="1340">
        <f t="shared" si="112"/>
        <v>1475.4027940000001</v>
      </c>
      <c r="AA36" s="1340">
        <f t="shared" si="112"/>
        <v>33.985501999999997</v>
      </c>
      <c r="AB36" s="1340">
        <f t="shared" si="112"/>
        <v>33.725197999999999</v>
      </c>
      <c r="AC36" s="1341">
        <f t="shared" si="112"/>
        <v>1406.12654</v>
      </c>
      <c r="AD36" s="1119">
        <v>5412.4315080000006</v>
      </c>
      <c r="AE36" s="1058">
        <f t="shared" si="112"/>
        <v>33.018979000000002</v>
      </c>
      <c r="AF36" s="1058">
        <f t="shared" si="112"/>
        <v>32.285978</v>
      </c>
      <c r="AG36" s="1058">
        <f t="shared" si="112"/>
        <v>1376.039802</v>
      </c>
      <c r="AH36" s="1058">
        <f t="shared" si="112"/>
        <v>29.937819999999999</v>
      </c>
      <c r="AI36" s="1058">
        <f t="shared" si="112"/>
        <v>27.812014999999999</v>
      </c>
      <c r="AJ36" s="1058">
        <f t="shared" si="112"/>
        <v>1333.9321090000001</v>
      </c>
      <c r="AK36" s="1058">
        <f t="shared" si="112"/>
        <v>27.422917999999999</v>
      </c>
      <c r="AL36" s="1058">
        <f t="shared" si="112"/>
        <v>27.561744000000001</v>
      </c>
      <c r="AM36" s="1058">
        <f t="shared" si="112"/>
        <v>1285.1881900000001</v>
      </c>
      <c r="AN36" s="1058">
        <f t="shared" si="112"/>
        <v>27.189546</v>
      </c>
      <c r="AO36" s="1058">
        <f t="shared" si="112"/>
        <v>26.717973000000001</v>
      </c>
      <c r="AP36" s="1059">
        <f t="shared" si="112"/>
        <v>1185.3244340000001</v>
      </c>
      <c r="AQ36" s="64">
        <v>5274.9550589999999</v>
      </c>
      <c r="AR36" s="1340">
        <v>26.422042000000001</v>
      </c>
      <c r="AS36" s="1340">
        <v>26.422042000000001</v>
      </c>
      <c r="AT36" s="1340">
        <v>1186.1120859999999</v>
      </c>
      <c r="AU36" s="1340">
        <v>30.155384000000002</v>
      </c>
      <c r="AV36" s="1340">
        <v>29.171126000000001</v>
      </c>
      <c r="AW36" s="1340">
        <v>1146.450789</v>
      </c>
      <c r="AX36" s="1340">
        <v>30.176124999999999</v>
      </c>
      <c r="AY36" s="1340">
        <v>30.011766999999999</v>
      </c>
      <c r="AZ36" s="1340">
        <v>1328.3109030000001</v>
      </c>
      <c r="BA36" s="1340">
        <v>18.709479999999999</v>
      </c>
      <c r="BB36" s="1340">
        <v>19.065435000000001</v>
      </c>
      <c r="BC36" s="1340">
        <v>1403.9478799999999</v>
      </c>
      <c r="BD36" s="64">
        <f t="shared" si="96"/>
        <v>5857.938505000001</v>
      </c>
      <c r="BE36" s="1340">
        <f>(감가상각비!AS11+감가상각비!AS18)/1000000-감가상각비!AS50</f>
        <v>23.160226999999999</v>
      </c>
      <c r="BF36" s="1340">
        <f>(감가상각비!AT11+감가상각비!AT18)/1000000-감가상각비!AT50</f>
        <v>23.84356</v>
      </c>
      <c r="BG36" s="1340">
        <f>(감가상각비!AU11+감가상각비!AU18)/1000000-감가상각비!AU50</f>
        <v>1386.4816640000001</v>
      </c>
      <c r="BH36" s="1340">
        <f>(감가상각비!AV11+감가상각비!AV18)/1000000-감가상각비!AV50</f>
        <v>23.550919</v>
      </c>
      <c r="BI36" s="1340">
        <f>(감가상각비!AW11+감가상각비!AW18)/1000000-감가상각비!AW50</f>
        <v>23.683306999999999</v>
      </c>
      <c r="BJ36" s="1340">
        <f>(감가상각비!AX11+감가상각비!AX18)/1000000-감가상각비!AX50</f>
        <v>1403.769536</v>
      </c>
      <c r="BK36" s="1340">
        <f>(감가상각비!AY11+감가상각비!AY18)/1000000-감가상각비!AY50</f>
        <v>43.550235999999998</v>
      </c>
      <c r="BL36" s="1340">
        <f>(감가상각비!AZ11+감가상각비!AZ18)/1000000-감가상각비!AZ50</f>
        <v>43.393706999999999</v>
      </c>
      <c r="BM36" s="1340">
        <f>(감가상각비!BA11+감가상각비!BA18)/1000000-감가상각비!BA50</f>
        <v>1421.2752369999998</v>
      </c>
      <c r="BN36" s="1340">
        <f>(감가상각비!BB11+감가상각비!BB18)/1000000-감가상각비!BB50</f>
        <v>45.494719000000003</v>
      </c>
      <c r="BO36" s="1340">
        <f>(감가상각비!BC11+감가상각비!BC18)/1000000-감가상각비!BC50</f>
        <v>45.249927</v>
      </c>
      <c r="BP36" s="1340">
        <f>(감가상각비!BD11+감가상각비!BD18)/1000000-감가상각비!BD50</f>
        <v>1374.4854660000001</v>
      </c>
      <c r="BQ36" s="64">
        <f t="shared" si="89"/>
        <v>6083.2761119999996</v>
      </c>
      <c r="BR36" s="1781">
        <f>(감가상각비!BF11+감가상각비!BF18)/1000000-감가상각비!BF50</f>
        <v>46.086590000000001</v>
      </c>
      <c r="BS36" s="1781">
        <f>(감가상각비!BG11+감가상각비!BG18)/1000000-감가상각비!BG50</f>
        <v>45.291150000000002</v>
      </c>
      <c r="BT36" s="1781">
        <f>(감가상각비!BH11+감가상각비!BH18)/1000000-감가상각비!BH50</f>
        <v>1397.055546</v>
      </c>
      <c r="BU36" s="1781">
        <f>(감가상각비!BI11+감가상각비!BI18)/1000000-감가상각비!BI50</f>
        <v>45.979616</v>
      </c>
      <c r="BV36" s="1781">
        <f>(감가상각비!BJ11+감가상각비!BJ18)/1000000-감가상각비!BJ50</f>
        <v>45.923098000000003</v>
      </c>
      <c r="BW36" s="1781">
        <f>(감가상각비!BK11+감가상각비!BK18)/1000000-감가상각비!BK50</f>
        <v>1409.438247</v>
      </c>
      <c r="BX36" s="1781">
        <f>(감가상각비!BL11+감가상각비!BL18)/1000000-감가상각비!BL50</f>
        <v>44.912264999999998</v>
      </c>
      <c r="BY36" s="1781">
        <f>(감가상각비!BM11+감가상각비!BM18)/1000000-감가상각비!BM50</f>
        <v>44.912264999999998</v>
      </c>
      <c r="BZ36" s="1781">
        <f>(감가상각비!BN11+감가상각비!BN18)/1000000-감가상각비!BN50</f>
        <v>1476.387522</v>
      </c>
      <c r="CA36" s="1781">
        <f>(감가상각비!BO11+감가상각비!BO18)/1000000-감가상각비!BO50</f>
        <v>44.912264999999998</v>
      </c>
      <c r="CB36" s="1781">
        <f>(감가상각비!BP11+감가상각비!BP18)/1000000-감가상각비!BP50</f>
        <v>44.912269999999999</v>
      </c>
      <c r="CC36" s="1782">
        <f>(감가상각비!BQ11+감가상각비!BQ18)/1000000-감가상각비!BQ50</f>
        <v>1437.4652779999999</v>
      </c>
      <c r="CD36" s="2892">
        <f t="shared" si="90"/>
        <v>6140.1567270000005</v>
      </c>
      <c r="CE36" s="1930">
        <f>(감가상각비!BS11+감가상각비!BS18)/1000000-감가상각비!BS50</f>
        <v>44.607272999999999</v>
      </c>
      <c r="CF36" s="1930">
        <f>(감가상각비!BT11+감가상각비!BT18)/1000000-감가상각비!BT50</f>
        <v>44.607272999999999</v>
      </c>
      <c r="CG36" s="1930">
        <f>(감가상각비!BU11+감가상각비!BU18)/1000000-감가상각비!BU50</f>
        <v>1439.7983649999999</v>
      </c>
      <c r="CH36" s="1930">
        <f>(감가상각비!BV11+감가상각비!BV18)/1000000-감가상각비!BV50</f>
        <v>44.014159999999997</v>
      </c>
      <c r="CI36" s="1930">
        <f>(감가상각비!BW11+감가상각비!BW18)/1000000-감가상각비!BW50</f>
        <v>43.723525000000002</v>
      </c>
      <c r="CJ36" s="1930">
        <f>(감가상각비!BX11+감가상각비!BX18)/1000000-감가상각비!BX50</f>
        <v>1429.215954</v>
      </c>
      <c r="CK36" s="1930">
        <f>(감가상각비!BY11+감가상각비!BY18)/1000000-감가상각비!BY50</f>
        <v>43.394409000000003</v>
      </c>
      <c r="CL36" s="1930">
        <f>(감가상각비!BZ11+감가상각비!BZ18)/1000000-감가상각비!BZ50</f>
        <v>43.394409000000003</v>
      </c>
      <c r="CM36" s="1930">
        <f>(감가상각비!CA11+감가상각비!CA18)/1000000-감가상각비!CA50</f>
        <v>1456.3007259999999</v>
      </c>
      <c r="CN36" s="1930">
        <f>(감가상각비!CB11+감가상각비!CB18)/1000000-감가상각비!CB50</f>
        <v>43.394409000000003</v>
      </c>
      <c r="CO36" s="1930">
        <f>(감가상각비!CC11+감가상각비!CC18)/1000000-감가상각비!CC50</f>
        <v>43.394409000000003</v>
      </c>
      <c r="CP36" s="1931">
        <f>(감가상각비!CD11+감가상각비!CD18)/1000000-감가상각비!CD50</f>
        <v>1464.311815</v>
      </c>
      <c r="CQ36" s="2580">
        <f t="shared" si="91"/>
        <v>5601.8191300238204</v>
      </c>
      <c r="CR36" s="2929">
        <f t="shared" ref="CR36:DC36" si="113">CR112+CR160</f>
        <v>18.25556394642955</v>
      </c>
      <c r="CS36" s="2929">
        <f t="shared" si="113"/>
        <v>18.25556394642955</v>
      </c>
      <c r="CT36" s="2929">
        <f t="shared" si="113"/>
        <v>1362.2769879464295</v>
      </c>
      <c r="CU36" s="2929">
        <f t="shared" si="113"/>
        <v>18.25556394642955</v>
      </c>
      <c r="CV36" s="2929">
        <f t="shared" si="113"/>
        <v>18.25556394642955</v>
      </c>
      <c r="CW36" s="2929">
        <f t="shared" si="113"/>
        <v>1362.2769879464295</v>
      </c>
      <c r="CX36" s="2929">
        <f t="shared" si="113"/>
        <v>18.25556394642955</v>
      </c>
      <c r="CY36" s="2930">
        <f t="shared" si="113"/>
        <v>18.25556394642955</v>
      </c>
      <c r="CZ36" s="2930">
        <f t="shared" si="113"/>
        <v>1362.2769879464295</v>
      </c>
      <c r="DA36" s="2930">
        <f t="shared" si="113"/>
        <v>21.588897279762882</v>
      </c>
      <c r="DB36" s="2930">
        <f t="shared" si="113"/>
        <v>21.588897279762882</v>
      </c>
      <c r="DC36" s="2286">
        <f t="shared" si="113"/>
        <v>1362.2769879464295</v>
      </c>
      <c r="DD36" s="2766"/>
      <c r="DE36" s="2587"/>
      <c r="DF36" s="2587"/>
      <c r="DG36" s="1913">
        <f t="shared" si="14"/>
        <v>3.8467048912798063E-2</v>
      </c>
      <c r="DH36" s="1913">
        <f t="shared" si="15"/>
        <v>9.350326033664258E-3</v>
      </c>
      <c r="DI36" s="2969">
        <f t="shared" si="16"/>
        <v>-8.7674895106334638E-2</v>
      </c>
      <c r="DJ36" s="2968">
        <f t="shared" si="25"/>
        <v>225.33760699999857</v>
      </c>
      <c r="DK36" s="2968">
        <f t="shared" si="26"/>
        <v>56.880615000000944</v>
      </c>
      <c r="DL36" s="2968">
        <f t="shared" si="17"/>
        <v>-538.33759697618007</v>
      </c>
      <c r="DM36" s="2544"/>
      <c r="DN36" s="430"/>
      <c r="DO36" s="28"/>
    </row>
    <row r="37" spans="2:120">
      <c r="B37" s="43" t="s">
        <v>80</v>
      </c>
      <c r="C37" s="44"/>
      <c r="D37" s="45"/>
      <c r="E37" s="1346"/>
      <c r="F37" s="1346"/>
      <c r="G37" s="1346"/>
      <c r="H37" s="1346"/>
      <c r="I37" s="1346"/>
      <c r="J37" s="1346"/>
      <c r="K37" s="1346"/>
      <c r="L37" s="1346"/>
      <c r="M37" s="1346"/>
      <c r="N37" s="1346"/>
      <c r="O37" s="1346"/>
      <c r="P37" s="1346"/>
      <c r="Q37" s="1349">
        <f t="shared" si="74"/>
        <v>1199.2182700000001</v>
      </c>
      <c r="R37" s="1346">
        <f t="shared" ref="R37:AP37" si="114">R113</f>
        <v>113.254154</v>
      </c>
      <c r="S37" s="1346">
        <f t="shared" si="114"/>
        <v>111.67132100000001</v>
      </c>
      <c r="T37" s="1346">
        <f t="shared" si="114"/>
        <v>102.77182500000001</v>
      </c>
      <c r="U37" s="1346">
        <f t="shared" si="114"/>
        <v>111.155581</v>
      </c>
      <c r="V37" s="1346">
        <f t="shared" si="114"/>
        <v>107.82244799999999</v>
      </c>
      <c r="W37" s="1346">
        <f t="shared" si="114"/>
        <v>99.697456000000003</v>
      </c>
      <c r="X37" s="1346">
        <f t="shared" si="114"/>
        <v>106.472786</v>
      </c>
      <c r="Y37" s="1346">
        <f t="shared" si="114"/>
        <v>101.30638399999999</v>
      </c>
      <c r="Z37" s="1346">
        <f t="shared" si="114"/>
        <v>81.598055000000002</v>
      </c>
      <c r="AA37" s="1346">
        <f t="shared" si="114"/>
        <v>94.838385000000002</v>
      </c>
      <c r="AB37" s="1346">
        <f t="shared" si="114"/>
        <v>92.705071000000004</v>
      </c>
      <c r="AC37" s="1350">
        <f t="shared" si="114"/>
        <v>75.924804000000009</v>
      </c>
      <c r="AD37" s="1501">
        <v>995.86492700000008</v>
      </c>
      <c r="AE37" s="1062">
        <f t="shared" si="114"/>
        <v>89.048722999999995</v>
      </c>
      <c r="AF37" s="1062">
        <f t="shared" si="114"/>
        <v>89.048722999999995</v>
      </c>
      <c r="AG37" s="1062">
        <f t="shared" si="114"/>
        <v>78.008488999999997</v>
      </c>
      <c r="AH37" s="1062">
        <f t="shared" si="114"/>
        <v>89.790818999999999</v>
      </c>
      <c r="AI37" s="1062">
        <f t="shared" si="114"/>
        <v>89.207734000000002</v>
      </c>
      <c r="AJ37" s="1062">
        <f t="shared" si="114"/>
        <v>75.08274200000001</v>
      </c>
      <c r="AK37" s="1062">
        <f t="shared" si="114"/>
        <v>86.374568999999994</v>
      </c>
      <c r="AL37" s="1062">
        <f t="shared" si="114"/>
        <v>85.874711000000005</v>
      </c>
      <c r="AM37" s="1062">
        <f t="shared" si="114"/>
        <v>74.749715000000009</v>
      </c>
      <c r="AN37" s="1062">
        <f t="shared" si="114"/>
        <v>83.874711000000005</v>
      </c>
      <c r="AO37" s="1062">
        <f t="shared" si="114"/>
        <v>83.041382999999996</v>
      </c>
      <c r="AP37" s="1063">
        <f t="shared" si="114"/>
        <v>71.762608</v>
      </c>
      <c r="AQ37" s="1349">
        <v>854.85241000000008</v>
      </c>
      <c r="AR37" s="1346">
        <v>82.885651999999993</v>
      </c>
      <c r="AS37" s="1346">
        <v>82.765484999999998</v>
      </c>
      <c r="AT37" s="1346">
        <v>77.640490999999997</v>
      </c>
      <c r="AU37" s="1346">
        <v>82.770578999999998</v>
      </c>
      <c r="AV37" s="1346">
        <v>82.770582000000005</v>
      </c>
      <c r="AW37" s="1346">
        <v>80.790492999999998</v>
      </c>
      <c r="AX37" s="1346">
        <v>81.032158999999993</v>
      </c>
      <c r="AY37" s="1346">
        <v>80.790497000000002</v>
      </c>
      <c r="AZ37" s="1346">
        <v>49.790068000000005</v>
      </c>
      <c r="BA37" s="1346">
        <v>51.256734000000002</v>
      </c>
      <c r="BB37" s="1346">
        <v>51.256739000000003</v>
      </c>
      <c r="BC37" s="1346">
        <v>51.102930999999998</v>
      </c>
      <c r="BD37" s="1349">
        <f t="shared" si="96"/>
        <v>578.89885900000002</v>
      </c>
      <c r="BE37" s="1346">
        <f>(감가상각비!AS25+감가상각비!AS32)/1000000-감가상각비!AS51</f>
        <v>51.101979999999998</v>
      </c>
      <c r="BF37" s="1346">
        <f>(감가상각비!AT25+감가상각비!AT32)/1000000-감가상각비!AT51</f>
        <v>53.601979999999998</v>
      </c>
      <c r="BG37" s="1346">
        <f>(감가상각비!AU25+감가상각비!AU32)/1000000-감가상각비!AU51</f>
        <v>55.210732</v>
      </c>
      <c r="BH37" s="1346">
        <f>(감가상각비!AV25+감가상각비!AV32)/1000000-감가상각비!AV51</f>
        <v>55.447763999999999</v>
      </c>
      <c r="BI37" s="1346">
        <f>(감가상각비!AW25+감가상각비!AW32)/1000000-감가상각비!AW51</f>
        <v>55.447766999999999</v>
      </c>
      <c r="BJ37" s="1346">
        <f>(감가상각비!AX25+감가상각비!AX32)/1000000-감가상각비!AX51</f>
        <v>46.554025000000003</v>
      </c>
      <c r="BK37" s="1346">
        <f>(감가상각비!AY25+감가상각비!AY32)/1000000-감가상각비!AY51</f>
        <v>46.554031000000002</v>
      </c>
      <c r="BL37" s="1346">
        <f>(감가상각비!AZ25+감가상각비!AZ32)/1000000-감가상각비!AZ51</f>
        <v>45.041505000000001</v>
      </c>
      <c r="BM37" s="1346">
        <f>(감가상각비!BA25+감가상각비!BA32)/1000000-감가상각비!BA51</f>
        <v>43.793294000000003</v>
      </c>
      <c r="BN37" s="1346">
        <f>(감가상각비!BB25+감가상각비!BB32)/1000000-감가상각비!BB51</f>
        <v>43.793301</v>
      </c>
      <c r="BO37" s="1346">
        <f>(감가상각비!BC25+감가상각비!BC32)/1000000-감가상각비!BC51</f>
        <v>41.176727999999997</v>
      </c>
      <c r="BP37" s="1346">
        <f>(감가상각비!BD25+감가상각비!BD32)/1000000-감가상각비!BD51</f>
        <v>41.175752000000003</v>
      </c>
      <c r="BQ37" s="1349">
        <f t="shared" si="89"/>
        <v>282.65106200000002</v>
      </c>
      <c r="BR37" s="1920">
        <f>(감가상각비!BF25+감가상각비!BF32)/1000000-감가상각비!BF51</f>
        <v>41.175004000000001</v>
      </c>
      <c r="BS37" s="1920">
        <f>(감가상각비!BG25+감가상각비!BG32)/1000000-감가상각비!BG51</f>
        <v>22.342669999999998</v>
      </c>
      <c r="BT37" s="1920">
        <f>(감가상각비!BH25+감가상각비!BH32)/1000000-감가상각비!BH51</f>
        <v>22.342672</v>
      </c>
      <c r="BU37" s="1920">
        <f>(감가상각비!BI25+감가상각비!BI32)/1000000-감가상각비!BI51</f>
        <v>22.579704</v>
      </c>
      <c r="BV37" s="1920">
        <f>(감가상각비!BJ25+감가상각비!BJ32)/1000000-감가상각비!BJ51</f>
        <v>22.579704</v>
      </c>
      <c r="BW37" s="1920">
        <f>(감가상각비!BK25+감가상각비!BK32)/1000000-감가상각비!BK51</f>
        <v>21.884903999999999</v>
      </c>
      <c r="BX37" s="1920">
        <f>(감가상각비!BL25+감가상각비!BL32)/1000000-감가상각비!BL51</f>
        <v>21.884903999999999</v>
      </c>
      <c r="BY37" s="1920">
        <f>(감가상각비!BM25+감가상각비!BM32)/1000000-감가상각비!BM51</f>
        <v>21.884903999999999</v>
      </c>
      <c r="BZ37" s="1920">
        <f>(감가상각비!BN25+감가상각비!BN32)/1000000-감가상각비!BN51</f>
        <v>21.884903999999999</v>
      </c>
      <c r="CA37" s="1920">
        <f>(감가상각비!BO25+감가상각비!BO32)/1000000-감가상각비!BO51</f>
        <v>21.884907999999999</v>
      </c>
      <c r="CB37" s="1920">
        <f>(감가상각비!BP25+감가상각비!BP32)/1000000-감가상각비!BP51</f>
        <v>21.386679999999998</v>
      </c>
      <c r="CC37" s="1921">
        <f>(감가상각비!BQ25+감가상각비!BQ32)/1000000-감가상각비!BQ51</f>
        <v>20.820104000000001</v>
      </c>
      <c r="CD37" s="2893">
        <f t="shared" si="90"/>
        <v>248.00462000000007</v>
      </c>
      <c r="CE37" s="2851">
        <f>(감가상각비!BS25+감가상각비!BS32)/1000000-감가상각비!BS51</f>
        <v>20.819317000000002</v>
      </c>
      <c r="CF37" s="2851">
        <f>(감가상각비!BT25+감가상각비!BT32)/1000000-감가상각비!BT51</f>
        <v>20.819317000000002</v>
      </c>
      <c r="CG37" s="2851">
        <f>(감가상각비!BU25+감가상각비!BU32)/1000000-감가상각비!BU51</f>
        <v>20.819320000000001</v>
      </c>
      <c r="CH37" s="2851">
        <f>(감가상각비!BV25+감가상각비!BV32)/1000000-감가상각비!BV51</f>
        <v>20.810258000000001</v>
      </c>
      <c r="CI37" s="2851">
        <f>(감가상각비!BW25+감가상각비!BW32)/1000000-감가상각비!BW51</f>
        <v>20.810258000000001</v>
      </c>
      <c r="CJ37" s="2851">
        <f>(감가상각비!BX25+감가상각비!BX32)/1000000-감가상각비!BX51</f>
        <v>20.810258000000001</v>
      </c>
      <c r="CK37" s="2851">
        <f>(감가상각비!BY25+감가상각비!BY32)/1000000-감가상각비!BY51</f>
        <v>20.810258000000001</v>
      </c>
      <c r="CL37" s="2851">
        <f>(감가상각비!BZ25+감가상각비!BZ32)/1000000-감가상각비!BZ51</f>
        <v>20.810258000000001</v>
      </c>
      <c r="CM37" s="2851">
        <f>(감가상각비!CA25+감가상각비!CA32)/1000000-감가상각비!CA51</f>
        <v>20.810265999999999</v>
      </c>
      <c r="CN37" s="2851">
        <f>(감가상각비!CB25+감가상각비!CB32)/1000000-감가상각비!CB51</f>
        <v>20.228370000000002</v>
      </c>
      <c r="CO37" s="2851">
        <f>(감가상각비!CC25+감가상각비!CC32)/1000000-감가상각비!CC51</f>
        <v>20.228370000000002</v>
      </c>
      <c r="CP37" s="2878">
        <f>(감가상각비!CD25+감가상각비!CD32)/1000000-감가상각비!CD51</f>
        <v>20.228370000000002</v>
      </c>
      <c r="CQ37" s="2581">
        <f t="shared" si="91"/>
        <v>433.88976266666668</v>
      </c>
      <c r="CR37" s="2933">
        <f t="shared" ref="CR37:DC37" si="115">CR113+CR161</f>
        <v>20.228370000000002</v>
      </c>
      <c r="CS37" s="2933">
        <f t="shared" si="115"/>
        <v>20.228370000000002</v>
      </c>
      <c r="CT37" s="2933">
        <f t="shared" si="115"/>
        <v>20.228370000000002</v>
      </c>
      <c r="CU37" s="2933">
        <f t="shared" si="115"/>
        <v>25.228370000000002</v>
      </c>
      <c r="CV37" s="2933">
        <f t="shared" si="115"/>
        <v>25.228370000000002</v>
      </c>
      <c r="CW37" s="2933">
        <f t="shared" si="115"/>
        <v>25.228370000000002</v>
      </c>
      <c r="CX37" s="2933">
        <f t="shared" si="115"/>
        <v>25.228370000000002</v>
      </c>
      <c r="CY37" s="2015">
        <f t="shared" si="115"/>
        <v>25.228370000000002</v>
      </c>
      <c r="CZ37" s="2015">
        <f t="shared" si="115"/>
        <v>41.895036666666662</v>
      </c>
      <c r="DA37" s="2015">
        <f t="shared" si="115"/>
        <v>68.38925533333331</v>
      </c>
      <c r="DB37" s="2015">
        <f t="shared" si="115"/>
        <v>68.38925533333331</v>
      </c>
      <c r="DC37" s="2288">
        <f t="shared" si="115"/>
        <v>68.38925533333331</v>
      </c>
      <c r="DD37" s="2766"/>
      <c r="DE37" s="2587"/>
      <c r="DF37" s="2587"/>
      <c r="DG37" s="1913">
        <f t="shared" si="14"/>
        <v>-0.51174361875879937</v>
      </c>
      <c r="DH37" s="1913">
        <f t="shared" si="15"/>
        <v>-0.12257672677698961</v>
      </c>
      <c r="DI37" s="1913">
        <f t="shared" si="16"/>
        <v>0.74952290270506472</v>
      </c>
      <c r="DJ37" s="2968">
        <f t="shared" si="25"/>
        <v>-296.24779699999999</v>
      </c>
      <c r="DK37" s="2968">
        <f t="shared" si="26"/>
        <v>-34.646441999999951</v>
      </c>
      <c r="DL37" s="2968">
        <f t="shared" si="17"/>
        <v>185.88514266666661</v>
      </c>
      <c r="DM37" s="2544"/>
      <c r="DN37" s="28"/>
      <c r="DO37" s="28"/>
    </row>
    <row r="38" spans="2:120">
      <c r="B38" s="46" t="s">
        <v>81</v>
      </c>
      <c r="C38" s="34"/>
      <c r="D38" s="35"/>
      <c r="E38" s="1335"/>
      <c r="F38" s="1335"/>
      <c r="G38" s="1335"/>
      <c r="H38" s="1335"/>
      <c r="I38" s="1335"/>
      <c r="J38" s="1335"/>
      <c r="K38" s="1335"/>
      <c r="L38" s="1335"/>
      <c r="M38" s="1335"/>
      <c r="N38" s="1335"/>
      <c r="O38" s="1335"/>
      <c r="P38" s="1335"/>
      <c r="Q38" s="1345">
        <f t="shared" si="74"/>
        <v>22768.397455000002</v>
      </c>
      <c r="R38" s="1335">
        <f t="shared" ref="R38:AP38" si="116">R114</f>
        <v>2765.6053999999995</v>
      </c>
      <c r="S38" s="1335">
        <f t="shared" si="116"/>
        <v>1848.7483530000004</v>
      </c>
      <c r="T38" s="1335">
        <f t="shared" si="116"/>
        <v>1747.1827049999997</v>
      </c>
      <c r="U38" s="1335">
        <f t="shared" si="116"/>
        <v>1686.0529660000002</v>
      </c>
      <c r="V38" s="1335">
        <f t="shared" si="116"/>
        <v>1702.8907089999998</v>
      </c>
      <c r="W38" s="1335">
        <f t="shared" si="116"/>
        <v>1808.4047310000001</v>
      </c>
      <c r="X38" s="1335">
        <f t="shared" si="116"/>
        <v>1778.7092969999999</v>
      </c>
      <c r="Y38" s="1335">
        <f t="shared" si="116"/>
        <v>1824.3676670000002</v>
      </c>
      <c r="Z38" s="1335">
        <f t="shared" si="116"/>
        <v>1681.266046</v>
      </c>
      <c r="AA38" s="1335">
        <f t="shared" si="116"/>
        <v>1645.3717199999996</v>
      </c>
      <c r="AB38" s="1335">
        <f t="shared" si="116"/>
        <v>1902.111856</v>
      </c>
      <c r="AC38" s="1074">
        <f t="shared" si="116"/>
        <v>2377.686005</v>
      </c>
      <c r="AD38" s="1499">
        <f>SUM(AD39:AD51)</f>
        <v>27580.189051000001</v>
      </c>
      <c r="AE38" s="1054">
        <f t="shared" si="116"/>
        <v>2508.0501999999997</v>
      </c>
      <c r="AF38" s="1054">
        <f t="shared" si="116"/>
        <v>1658.9971630000005</v>
      </c>
      <c r="AG38" s="1054">
        <f t="shared" si="116"/>
        <v>1630.9990200000002</v>
      </c>
      <c r="AH38" s="1054">
        <f t="shared" si="116"/>
        <v>1757.2574260000004</v>
      </c>
      <c r="AI38" s="1054">
        <f t="shared" si="116"/>
        <v>1641.4671150000004</v>
      </c>
      <c r="AJ38" s="1054">
        <f t="shared" si="116"/>
        <v>2200.7546520000005</v>
      </c>
      <c r="AK38" s="1054">
        <f t="shared" si="116"/>
        <v>2661.6913360000003</v>
      </c>
      <c r="AL38" s="1054">
        <f t="shared" si="116"/>
        <v>1986.5705930000001</v>
      </c>
      <c r="AM38" s="1054">
        <f t="shared" si="116"/>
        <v>2090.5572099999999</v>
      </c>
      <c r="AN38" s="1054">
        <f t="shared" si="116"/>
        <v>2572.6456719999992</v>
      </c>
      <c r="AO38" s="1054">
        <f t="shared" si="116"/>
        <v>2232.7589180000004</v>
      </c>
      <c r="AP38" s="1055">
        <f t="shared" si="116"/>
        <v>4516.4397459999991</v>
      </c>
      <c r="AQ38" s="1345">
        <v>28524.330037000007</v>
      </c>
      <c r="AR38" s="1335">
        <v>1825.7406730000002</v>
      </c>
      <c r="AS38" s="1335">
        <v>1909.8601530000001</v>
      </c>
      <c r="AT38" s="1335">
        <v>2119.2847350000002</v>
      </c>
      <c r="AU38" s="1335">
        <v>2466.524692</v>
      </c>
      <c r="AV38" s="1335">
        <v>2164.6933909999998</v>
      </c>
      <c r="AW38" s="1335">
        <v>2091.1673620000001</v>
      </c>
      <c r="AX38" s="1335">
        <v>2987.8105889999997</v>
      </c>
      <c r="AY38" s="1335">
        <v>2518.2821349999999</v>
      </c>
      <c r="AZ38" s="1335">
        <v>2227.1546860000003</v>
      </c>
      <c r="BA38" s="1335">
        <v>2476.0876939999998</v>
      </c>
      <c r="BB38" s="1335">
        <v>2299.0644209999996</v>
      </c>
      <c r="BC38" s="1335">
        <v>3438.659506</v>
      </c>
      <c r="BD38" s="1345">
        <f t="shared" ref="BD38:BE38" si="117">SUM(BD39:BD51)</f>
        <v>30586.653198</v>
      </c>
      <c r="BE38" s="1335">
        <f t="shared" si="117"/>
        <v>2170.5428880000004</v>
      </c>
      <c r="BF38" s="1335">
        <f t="shared" ref="BF38:BP38" si="118">SUM(BF39:BF51)</f>
        <v>2227.4147029999999</v>
      </c>
      <c r="BG38" s="1335">
        <f t="shared" si="118"/>
        <v>2403.1704199999999</v>
      </c>
      <c r="BH38" s="1335">
        <f t="shared" si="118"/>
        <v>2314.1441489999997</v>
      </c>
      <c r="BI38" s="1335">
        <f t="shared" si="118"/>
        <v>2082.3820430000001</v>
      </c>
      <c r="BJ38" s="1335">
        <f t="shared" si="118"/>
        <v>2369.1168639999996</v>
      </c>
      <c r="BK38" s="1335">
        <f t="shared" si="118"/>
        <v>2449.1007190000005</v>
      </c>
      <c r="BL38" s="1335">
        <f t="shared" si="118"/>
        <v>2998.4172739999999</v>
      </c>
      <c r="BM38" s="1335">
        <f t="shared" si="118"/>
        <v>2167.3296</v>
      </c>
      <c r="BN38" s="1335">
        <f t="shared" si="118"/>
        <v>3117.7397399999995</v>
      </c>
      <c r="BO38" s="1335">
        <f t="shared" si="118"/>
        <v>2920.0434</v>
      </c>
      <c r="BP38" s="1335">
        <f t="shared" si="118"/>
        <v>3367.2513979999985</v>
      </c>
      <c r="BQ38" s="1345">
        <f>SUM(BR38:CC38)</f>
        <v>36175.307979999998</v>
      </c>
      <c r="BR38" s="1777">
        <f t="shared" ref="BR38:CC38" si="119">SUM(BR39:BR51)</f>
        <v>2577.2777389999997</v>
      </c>
      <c r="BS38" s="1777">
        <f t="shared" si="119"/>
        <v>2817.5300730000004</v>
      </c>
      <c r="BT38" s="1777">
        <f t="shared" si="119"/>
        <v>2328.8167819999999</v>
      </c>
      <c r="BU38" s="1777">
        <f t="shared" si="119"/>
        <v>2429.5301419999996</v>
      </c>
      <c r="BV38" s="1777">
        <f t="shared" si="119"/>
        <v>2304.9770819999999</v>
      </c>
      <c r="BW38" s="1777">
        <f t="shared" si="119"/>
        <v>2479.4103979999995</v>
      </c>
      <c r="BX38" s="1777">
        <f t="shared" si="119"/>
        <v>3610.7080469999996</v>
      </c>
      <c r="BY38" s="1777">
        <f t="shared" si="119"/>
        <v>3602.4656870000003</v>
      </c>
      <c r="BZ38" s="1777">
        <f t="shared" si="119"/>
        <v>3308.2771619999999</v>
      </c>
      <c r="CA38" s="1777">
        <f t="shared" si="119"/>
        <v>3745.7633219999993</v>
      </c>
      <c r="CB38" s="1777">
        <f t="shared" si="119"/>
        <v>2892.1465029999995</v>
      </c>
      <c r="CC38" s="1778">
        <f t="shared" si="119"/>
        <v>4078.4050430000002</v>
      </c>
      <c r="CD38" s="1345">
        <f>SUM(CE38:CP38)</f>
        <v>38523.75733700001</v>
      </c>
      <c r="CE38" s="1777">
        <f t="shared" ref="CE38:DC38" si="120">SUM(CE39:CE51)</f>
        <v>2712.5583409999995</v>
      </c>
      <c r="CF38" s="1777">
        <f t="shared" si="120"/>
        <v>3030.305253</v>
      </c>
      <c r="CG38" s="1777">
        <f t="shared" si="120"/>
        <v>2444.0859980000005</v>
      </c>
      <c r="CH38" s="1777">
        <f t="shared" si="120"/>
        <v>2886.2476629999996</v>
      </c>
      <c r="CI38" s="1777">
        <f t="shared" si="120"/>
        <v>2887.9000460000002</v>
      </c>
      <c r="CJ38" s="1777">
        <f t="shared" si="120"/>
        <v>2967.6162649999997</v>
      </c>
      <c r="CK38" s="1777">
        <f t="shared" si="120"/>
        <v>3613.3007460000003</v>
      </c>
      <c r="CL38" s="1777">
        <f t="shared" si="120"/>
        <v>2858.5262679999996</v>
      </c>
      <c r="CM38" s="1777">
        <f t="shared" si="120"/>
        <v>3820.6048460000002</v>
      </c>
      <c r="CN38" s="1777">
        <f t="shared" si="120"/>
        <v>2732.6480639999995</v>
      </c>
      <c r="CO38" s="1777">
        <f t="shared" si="120"/>
        <v>3455.1646420000002</v>
      </c>
      <c r="CP38" s="1778">
        <f t="shared" si="120"/>
        <v>5114.7992050000012</v>
      </c>
      <c r="CQ38" s="2579">
        <f t="shared" si="120"/>
        <v>38791.476973769335</v>
      </c>
      <c r="CR38" s="2922">
        <f>SUM(CR39:CR51)</f>
        <v>3107.765247785429</v>
      </c>
      <c r="CS38" s="2922">
        <f>SUM(CS39:CS51)</f>
        <v>3001.5140387218953</v>
      </c>
      <c r="CT38" s="2922">
        <f>SUM(CT39:CT51)</f>
        <v>3157.5880594771575</v>
      </c>
      <c r="CU38" s="2922">
        <f>SUM(CU39:CU51)</f>
        <v>3023.0408527084451</v>
      </c>
      <c r="CV38" s="2922">
        <f>SUM(CV39:CV51)</f>
        <v>3033.3029737829247</v>
      </c>
      <c r="CW38" s="2922">
        <f t="shared" ref="CW38" si="121">SUM(CW39:CW51)</f>
        <v>3023.5581708404793</v>
      </c>
      <c r="CX38" s="2922">
        <f t="shared" si="120"/>
        <v>3196.7874774599795</v>
      </c>
      <c r="CY38" s="1336">
        <f t="shared" si="120"/>
        <v>3149.3179419942785</v>
      </c>
      <c r="CZ38" s="1336">
        <f t="shared" si="120"/>
        <v>3241.6461584178664</v>
      </c>
      <c r="DA38" s="1336">
        <f t="shared" si="120"/>
        <v>3099.9711539683431</v>
      </c>
      <c r="DB38" s="1336">
        <f t="shared" si="120"/>
        <v>3474.3937544947958</v>
      </c>
      <c r="DC38" s="2284">
        <f t="shared" si="120"/>
        <v>4282.5911441177313</v>
      </c>
      <c r="DD38" s="2766"/>
      <c r="DE38" s="2587"/>
      <c r="DF38" s="2587"/>
      <c r="DG38" s="1913">
        <f t="shared" si="14"/>
        <v>0.18271547219705053</v>
      </c>
      <c r="DH38" s="1913">
        <f t="shared" si="15"/>
        <v>6.491857258819711E-2</v>
      </c>
      <c r="DI38" s="1913">
        <f t="shared" si="16"/>
        <v>6.9494684650657224E-3</v>
      </c>
      <c r="DJ38" s="2968">
        <f t="shared" si="25"/>
        <v>5588.6547819999978</v>
      </c>
      <c r="DK38" s="2968">
        <f t="shared" si="26"/>
        <v>2348.4493570000122</v>
      </c>
      <c r="DL38" s="2968">
        <f t="shared" si="17"/>
        <v>267.71963676932501</v>
      </c>
      <c r="DM38" s="2544"/>
      <c r="DN38" s="28"/>
      <c r="DO38" s="28"/>
    </row>
    <row r="39" spans="2:120" ht="20.25" customHeight="1">
      <c r="B39" s="40" t="s">
        <v>82</v>
      </c>
      <c r="C39" s="36"/>
      <c r="D39" s="1351"/>
      <c r="E39" s="1340"/>
      <c r="F39" s="1340"/>
      <c r="G39" s="1340"/>
      <c r="H39" s="1340"/>
      <c r="I39" s="1340"/>
      <c r="J39" s="1340"/>
      <c r="K39" s="1340"/>
      <c r="L39" s="1340"/>
      <c r="M39" s="1340"/>
      <c r="N39" s="1340"/>
      <c r="O39" s="1340"/>
      <c r="P39" s="1340"/>
      <c r="Q39" s="64">
        <f t="shared" si="74"/>
        <v>9745.7533010000006</v>
      </c>
      <c r="R39" s="1340">
        <f t="shared" ref="R39:AP39" si="122">R115</f>
        <v>893.43964300000005</v>
      </c>
      <c r="S39" s="1340">
        <f t="shared" si="122"/>
        <v>852.07308100000012</v>
      </c>
      <c r="T39" s="1340">
        <f t="shared" si="122"/>
        <v>793.05403699999999</v>
      </c>
      <c r="U39" s="1340">
        <f t="shared" si="122"/>
        <v>783.99078400000008</v>
      </c>
      <c r="V39" s="1340">
        <f t="shared" si="122"/>
        <v>763.37866899999995</v>
      </c>
      <c r="W39" s="1340">
        <f t="shared" si="122"/>
        <v>724.4295679999999</v>
      </c>
      <c r="X39" s="1340">
        <f t="shared" si="122"/>
        <v>766.86047400000007</v>
      </c>
      <c r="Y39" s="1340">
        <f t="shared" si="122"/>
        <v>749.871037</v>
      </c>
      <c r="Z39" s="1340">
        <f t="shared" si="122"/>
        <v>730.54882199999997</v>
      </c>
      <c r="AA39" s="1340">
        <f t="shared" si="122"/>
        <v>721.34749899999997</v>
      </c>
      <c r="AB39" s="1340">
        <f t="shared" si="122"/>
        <v>716.93104900000003</v>
      </c>
      <c r="AC39" s="1341">
        <f t="shared" si="122"/>
        <v>1249.828638</v>
      </c>
      <c r="AD39" s="1119">
        <f>11493.815699+122</f>
        <v>11615.815699000001</v>
      </c>
      <c r="AE39" s="1058">
        <f t="shared" si="122"/>
        <v>690.32166900000004</v>
      </c>
      <c r="AF39" s="1058">
        <f t="shared" si="122"/>
        <v>676.95900600000004</v>
      </c>
      <c r="AG39" s="1058">
        <f t="shared" si="122"/>
        <v>664.19764000000009</v>
      </c>
      <c r="AH39" s="1058">
        <f t="shared" si="122"/>
        <v>744.92326100000002</v>
      </c>
      <c r="AI39" s="1058">
        <f t="shared" si="122"/>
        <v>686.56929400000001</v>
      </c>
      <c r="AJ39" s="1058">
        <f t="shared" si="122"/>
        <v>1086.3175270000002</v>
      </c>
      <c r="AK39" s="1058">
        <f t="shared" si="122"/>
        <v>1425.0370289999998</v>
      </c>
      <c r="AL39" s="1058">
        <f t="shared" si="122"/>
        <v>759.03317799999991</v>
      </c>
      <c r="AM39" s="1058">
        <f t="shared" si="122"/>
        <v>824.88507099999993</v>
      </c>
      <c r="AN39" s="1058">
        <f t="shared" si="122"/>
        <v>1250.3495029999997</v>
      </c>
      <c r="AO39" s="1058">
        <f t="shared" si="122"/>
        <v>867.83266199999991</v>
      </c>
      <c r="AP39" s="1059">
        <f t="shared" si="122"/>
        <v>1817.3898589999999</v>
      </c>
      <c r="AQ39" s="64">
        <v>11441.517928999998</v>
      </c>
      <c r="AR39" s="1340">
        <v>801.53351500000008</v>
      </c>
      <c r="AS39" s="1340">
        <v>850.47465200000011</v>
      </c>
      <c r="AT39" s="1340">
        <v>878.32255299999997</v>
      </c>
      <c r="AU39" s="1340">
        <v>899.54167000000007</v>
      </c>
      <c r="AV39" s="1340">
        <v>861.88182199999983</v>
      </c>
      <c r="AW39" s="1340">
        <v>839.79437900000005</v>
      </c>
      <c r="AX39" s="1340">
        <v>860.92223300000001</v>
      </c>
      <c r="AY39" s="1340">
        <v>1042.2752949999999</v>
      </c>
      <c r="AZ39" s="1340">
        <v>958.51020499999993</v>
      </c>
      <c r="BA39" s="1340">
        <v>981.12930000000006</v>
      </c>
      <c r="BB39" s="1340">
        <v>959.22288099999992</v>
      </c>
      <c r="BC39" s="1340">
        <v>1507.9094239999999</v>
      </c>
      <c r="BD39" s="64">
        <f>SUM(BE39:BP39)</f>
        <v>13934.498740999998</v>
      </c>
      <c r="BE39" s="1340">
        <f>기타운영비!AS6</f>
        <v>884.79042600000014</v>
      </c>
      <c r="BF39" s="1340">
        <f>기타운영비!AT6</f>
        <v>934.19312100000002</v>
      </c>
      <c r="BG39" s="1340">
        <f>기타운영비!AU6</f>
        <v>1098.0233820000001</v>
      </c>
      <c r="BH39" s="1340">
        <f>기타운영비!AV6</f>
        <v>1043.699181</v>
      </c>
      <c r="BI39" s="1340">
        <f>기타운영비!AW6</f>
        <v>945.84486300000003</v>
      </c>
      <c r="BJ39" s="1340">
        <f>기타운영비!AX6</f>
        <v>1198.3378419999999</v>
      </c>
      <c r="BK39" s="1340">
        <f>기타운영비!AY6</f>
        <v>1026.2751290000001</v>
      </c>
      <c r="BL39" s="1340">
        <f>기타운영비!AZ6</f>
        <v>1106.7936339999999</v>
      </c>
      <c r="BM39" s="1340">
        <f>기타운영비!BA6</f>
        <v>1037.560731</v>
      </c>
      <c r="BN39" s="1340">
        <f>기타운영비!BB6</f>
        <v>1687.7777229999997</v>
      </c>
      <c r="BO39" s="1340">
        <f>기타운영비!BC6</f>
        <v>1606.811424</v>
      </c>
      <c r="BP39" s="1340">
        <f>기타운영비!BD6</f>
        <v>1364.3912849999997</v>
      </c>
      <c r="BQ39" s="64">
        <f t="shared" ref="BQ39:BQ51" si="123">SUM(BR39:CC39)</f>
        <v>18802.266384000002</v>
      </c>
      <c r="BR39" s="1781">
        <f>기타운영비!BF6</f>
        <v>1174.1474289999999</v>
      </c>
      <c r="BS39" s="1781">
        <f>기타운영비!BG6</f>
        <v>1576.3383839999999</v>
      </c>
      <c r="BT39" s="1781">
        <f>기타운영비!BH6</f>
        <v>1114.596168</v>
      </c>
      <c r="BU39" s="1781">
        <f>기타운영비!BI6</f>
        <v>1213.6766400000001</v>
      </c>
      <c r="BV39" s="1781">
        <f>기타운영비!BJ6</f>
        <v>1184.2320479999998</v>
      </c>
      <c r="BW39" s="1781">
        <f>기타운영비!BK6</f>
        <v>1086.7113409999999</v>
      </c>
      <c r="BX39" s="1781">
        <f>기타운영비!BL6</f>
        <v>1327.2859460000002</v>
      </c>
      <c r="BY39" s="1781">
        <f>기타운영비!BM6</f>
        <v>2475.7367190000004</v>
      </c>
      <c r="BZ39" s="1781">
        <f>기타운영비!BN6</f>
        <v>2026.532017</v>
      </c>
      <c r="CA39" s="1781">
        <f>기타운영비!BO6</f>
        <v>2004.8122199999998</v>
      </c>
      <c r="CB39" s="1781">
        <f>기타운영비!BP6</f>
        <v>1470.7468399999998</v>
      </c>
      <c r="CC39" s="1782">
        <f>기타운영비!BQ6</f>
        <v>2147.450632</v>
      </c>
      <c r="CD39" s="1710">
        <f t="shared" ref="CD39:CD51" si="124">SUM(CE39:CP39)</f>
        <v>20977.909091999998</v>
      </c>
      <c r="CE39" s="1930">
        <f>기타운영비!BS6</f>
        <v>1425.933495</v>
      </c>
      <c r="CF39" s="1930">
        <f>기타운영비!BT6</f>
        <v>1611.374223</v>
      </c>
      <c r="CG39" s="1930">
        <f>기타운영비!BU6</f>
        <v>1301.5234320000002</v>
      </c>
      <c r="CH39" s="1930">
        <f>기타운영비!BV6</f>
        <v>1623.1489059999999</v>
      </c>
      <c r="CI39" s="1930">
        <f>기타운영비!BW6</f>
        <v>1524.225864</v>
      </c>
      <c r="CJ39" s="1930">
        <f>기타운영비!BX6</f>
        <v>1664.0125109999999</v>
      </c>
      <c r="CK39" s="1930">
        <f>기타운영비!BY6</f>
        <v>1804.5363379999997</v>
      </c>
      <c r="CL39" s="1930">
        <f>기타운영비!BZ6</f>
        <v>1573.0022439999998</v>
      </c>
      <c r="CM39" s="1930">
        <f>기타운영비!CA6</f>
        <v>2116.9983700000003</v>
      </c>
      <c r="CN39" s="1930">
        <f>기타운영비!CB6</f>
        <v>1359.2907370000003</v>
      </c>
      <c r="CO39" s="1930">
        <f>기타운영비!CC6</f>
        <v>1996.2045929999997</v>
      </c>
      <c r="CP39" s="1931">
        <f>기타운영비!CD6</f>
        <v>2977.658379</v>
      </c>
      <c r="CQ39" s="2580">
        <f t="shared" ref="CQ39:CQ51" si="125">SUM(CR39:DC39)</f>
        <v>20598.844979372301</v>
      </c>
      <c r="CR39" s="2929">
        <f t="shared" ref="CR39:DC39" si="126">CR115+CR163</f>
        <v>1620.9005015271352</v>
      </c>
      <c r="CS39" s="2929">
        <f t="shared" si="126"/>
        <v>1630.3358677658832</v>
      </c>
      <c r="CT39" s="2929">
        <f t="shared" si="126"/>
        <v>1619.4816393523836</v>
      </c>
      <c r="CU39" s="2929">
        <f t="shared" si="126"/>
        <v>1620.1218217573091</v>
      </c>
      <c r="CV39" s="2929">
        <f t="shared" si="126"/>
        <v>1620.5125147706342</v>
      </c>
      <c r="CW39" s="2929">
        <f t="shared" si="126"/>
        <v>1622.4273879156535</v>
      </c>
      <c r="CX39" s="2929">
        <f t="shared" si="126"/>
        <v>1621.7722817416609</v>
      </c>
      <c r="CY39" s="2930">
        <f t="shared" si="126"/>
        <v>1621.7722817416609</v>
      </c>
      <c r="CZ39" s="2930">
        <f t="shared" si="126"/>
        <v>1622.7722817416609</v>
      </c>
      <c r="DA39" s="2930">
        <f t="shared" si="126"/>
        <v>1622.7722817416609</v>
      </c>
      <c r="DB39" s="2930">
        <f t="shared" si="126"/>
        <v>1991.2038375749939</v>
      </c>
      <c r="DC39" s="2286">
        <f t="shared" si="126"/>
        <v>2384.7722817416607</v>
      </c>
      <c r="DD39" s="2766"/>
      <c r="DE39" s="2587"/>
      <c r="DF39" s="2587"/>
      <c r="DG39" s="1913">
        <f t="shared" si="14"/>
        <v>0.34933209536109033</v>
      </c>
      <c r="DH39" s="1913">
        <f t="shared" si="15"/>
        <v>0.11571172663798568</v>
      </c>
      <c r="DI39" s="1913">
        <f t="shared" si="16"/>
        <v>-1.8069680394041443E-2</v>
      </c>
      <c r="DJ39" s="2968">
        <f t="shared" si="25"/>
        <v>4867.7676430000047</v>
      </c>
      <c r="DK39" s="2968">
        <f t="shared" si="26"/>
        <v>2175.6427079999958</v>
      </c>
      <c r="DL39" s="2968">
        <f t="shared" si="17"/>
        <v>-379.06411262769689</v>
      </c>
      <c r="DM39" s="2544"/>
      <c r="DN39" s="430"/>
      <c r="DO39" s="28"/>
    </row>
    <row r="40" spans="2:120" ht="20.25" customHeight="1">
      <c r="B40" s="40" t="s">
        <v>83</v>
      </c>
      <c r="C40" s="41"/>
      <c r="D40" s="66"/>
      <c r="E40" s="1340"/>
      <c r="F40" s="1340"/>
      <c r="G40" s="1340"/>
      <c r="H40" s="1340"/>
      <c r="I40" s="1340"/>
      <c r="J40" s="1340"/>
      <c r="K40" s="1340"/>
      <c r="L40" s="1340"/>
      <c r="M40" s="1340"/>
      <c r="N40" s="1340"/>
      <c r="O40" s="1340"/>
      <c r="P40" s="1340"/>
      <c r="Q40" s="64">
        <f t="shared" si="74"/>
        <v>3703.023584</v>
      </c>
      <c r="R40" s="1340">
        <f t="shared" ref="R40:AP40" si="127">R116</f>
        <v>311.69916699999999</v>
      </c>
      <c r="S40" s="1340">
        <f t="shared" si="127"/>
        <v>291.721363</v>
      </c>
      <c r="T40" s="1340">
        <f t="shared" si="127"/>
        <v>285.14561600000002</v>
      </c>
      <c r="U40" s="1340">
        <f t="shared" si="127"/>
        <v>309.33114599999999</v>
      </c>
      <c r="V40" s="1340">
        <f t="shared" si="127"/>
        <v>294.19730599999997</v>
      </c>
      <c r="W40" s="1340">
        <f t="shared" si="127"/>
        <v>340.09307000000001</v>
      </c>
      <c r="X40" s="1340">
        <f t="shared" si="127"/>
        <v>312.39981799999998</v>
      </c>
      <c r="Y40" s="1340">
        <f t="shared" si="127"/>
        <v>310.93338700000004</v>
      </c>
      <c r="Z40" s="1340">
        <f t="shared" si="127"/>
        <v>284.29793899999999</v>
      </c>
      <c r="AA40" s="1340">
        <f t="shared" si="127"/>
        <v>274.14137999999997</v>
      </c>
      <c r="AB40" s="1340">
        <f t="shared" si="127"/>
        <v>339.628197</v>
      </c>
      <c r="AC40" s="1341">
        <f t="shared" si="127"/>
        <v>349.43519500000002</v>
      </c>
      <c r="AD40" s="1119">
        <v>4333.4974869999996</v>
      </c>
      <c r="AE40" s="1058">
        <f t="shared" si="127"/>
        <v>256.32951600000001</v>
      </c>
      <c r="AF40" s="1058">
        <f t="shared" si="127"/>
        <v>253.03621300000003</v>
      </c>
      <c r="AG40" s="1058">
        <f t="shared" si="127"/>
        <v>309.98887499999995</v>
      </c>
      <c r="AH40" s="1058">
        <f t="shared" si="127"/>
        <v>323.53885400000001</v>
      </c>
      <c r="AI40" s="1058">
        <f t="shared" si="127"/>
        <v>301.02144699999997</v>
      </c>
      <c r="AJ40" s="1058">
        <f t="shared" si="127"/>
        <v>417.04779000000008</v>
      </c>
      <c r="AK40" s="1058">
        <f t="shared" si="127"/>
        <v>354.057526</v>
      </c>
      <c r="AL40" s="1058">
        <f t="shared" si="127"/>
        <v>342.19849300000004</v>
      </c>
      <c r="AM40" s="1058">
        <f t="shared" si="127"/>
        <v>346.80098799999996</v>
      </c>
      <c r="AN40" s="1058">
        <f t="shared" si="127"/>
        <v>307.02500200000003</v>
      </c>
      <c r="AO40" s="1058">
        <f t="shared" si="127"/>
        <v>452.71628900000002</v>
      </c>
      <c r="AP40" s="1059">
        <f t="shared" si="127"/>
        <v>669.73649399999999</v>
      </c>
      <c r="AQ40" s="64">
        <v>6475.865648</v>
      </c>
      <c r="AR40" s="1340">
        <v>309.29052700000005</v>
      </c>
      <c r="AS40" s="1340">
        <v>296.914244</v>
      </c>
      <c r="AT40" s="1340">
        <v>383.32290999999992</v>
      </c>
      <c r="AU40" s="1340">
        <v>500.26002000000005</v>
      </c>
      <c r="AV40" s="1340">
        <v>429.53559899999999</v>
      </c>
      <c r="AW40" s="1340">
        <v>449.58723700000007</v>
      </c>
      <c r="AX40" s="1340">
        <v>1150.92668</v>
      </c>
      <c r="AY40" s="1340">
        <v>500.29552300000006</v>
      </c>
      <c r="AZ40" s="1340">
        <v>481.32842099999999</v>
      </c>
      <c r="BA40" s="1340">
        <v>536.28275800000006</v>
      </c>
      <c r="BB40" s="1340">
        <v>519.83239300000002</v>
      </c>
      <c r="BC40" s="1340">
        <v>918.28933600000005</v>
      </c>
      <c r="BD40" s="64">
        <f t="shared" ref="BD40:BD51" si="128">SUM(BE40:BP40)</f>
        <v>6992.1641540000001</v>
      </c>
      <c r="BE40" s="1340">
        <f>기타운영비!AS20</f>
        <v>478.74433999999997</v>
      </c>
      <c r="BF40" s="1340">
        <f>기타운영비!AT20</f>
        <v>471.90378499999997</v>
      </c>
      <c r="BG40" s="1340">
        <f>기타운영비!AU20</f>
        <v>514.92114000000004</v>
      </c>
      <c r="BH40" s="1340">
        <f>기타운영비!AV20</f>
        <v>552.42318799999998</v>
      </c>
      <c r="BI40" s="1340">
        <f>기타운영비!AW20</f>
        <v>463.97591999999997</v>
      </c>
      <c r="BJ40" s="1340">
        <f>기타운영비!AX20</f>
        <v>489.33604000000003</v>
      </c>
      <c r="BK40" s="1340">
        <f>기타운영비!AY20</f>
        <v>545.54200399999991</v>
      </c>
      <c r="BL40" s="1340">
        <f>기타운영비!AZ20</f>
        <v>980.74200200000007</v>
      </c>
      <c r="BM40" s="1340">
        <f>기타운영비!BA20</f>
        <v>432.97332400000005</v>
      </c>
      <c r="BN40" s="1340">
        <f>기타운영비!BB20</f>
        <v>510.07288100000005</v>
      </c>
      <c r="BO40" s="1340">
        <f>기타운영비!BC20</f>
        <v>512.94129399999997</v>
      </c>
      <c r="BP40" s="1340">
        <f>기타운영비!BD20</f>
        <v>1038.5882359999998</v>
      </c>
      <c r="BQ40" s="64">
        <f t="shared" si="123"/>
        <v>5929.8489210000007</v>
      </c>
      <c r="BR40" s="1781">
        <f>기타운영비!BF20</f>
        <v>488.33468800000003</v>
      </c>
      <c r="BS40" s="1781">
        <f>기타운영비!BG20</f>
        <v>413.16232500000001</v>
      </c>
      <c r="BT40" s="1781">
        <f>기타운영비!BH20</f>
        <v>438.62072799999993</v>
      </c>
      <c r="BU40" s="1781">
        <f>기타운영비!BI20</f>
        <v>457.11065300000001</v>
      </c>
      <c r="BV40" s="1781">
        <f>기타운영비!BJ20</f>
        <v>398.97305899999998</v>
      </c>
      <c r="BW40" s="1781">
        <f>기타운영비!BK20</f>
        <v>491.88131000000004</v>
      </c>
      <c r="BX40" s="1781">
        <f>기타운영비!BL20</f>
        <v>538.33424200000002</v>
      </c>
      <c r="BY40" s="1781">
        <f>기타운영비!BM20</f>
        <v>380.04313200000007</v>
      </c>
      <c r="BZ40" s="1781">
        <f>기타운영비!BN20</f>
        <v>411.48899599999999</v>
      </c>
      <c r="CA40" s="1781">
        <f>기타운영비!BO20</f>
        <v>485.416203</v>
      </c>
      <c r="CB40" s="1781">
        <f>기타운영비!BP20</f>
        <v>428.83191699999998</v>
      </c>
      <c r="CC40" s="1782">
        <f>기타운영비!BQ20</f>
        <v>997.65166800000009</v>
      </c>
      <c r="CD40" s="1710">
        <f t="shared" si="124"/>
        <v>6253.1447559999997</v>
      </c>
      <c r="CE40" s="1930">
        <f>기타운영비!BS20</f>
        <v>436.23994099999999</v>
      </c>
      <c r="CF40" s="1930">
        <f>기타운영비!BT20</f>
        <v>430.79148600000002</v>
      </c>
      <c r="CG40" s="1930">
        <f>기타운영비!BU20</f>
        <v>427.81093999999996</v>
      </c>
      <c r="CH40" s="1930">
        <f>기타운영비!BV20</f>
        <v>492.14913000000001</v>
      </c>
      <c r="CI40" s="1930">
        <f>기타운영비!BW20</f>
        <v>427.29929899999996</v>
      </c>
      <c r="CJ40" s="1930">
        <f>기타운영비!BX20</f>
        <v>475.69622700000002</v>
      </c>
      <c r="CK40" s="1930">
        <f>기타운영비!BY20</f>
        <v>606.12594300000012</v>
      </c>
      <c r="CL40" s="1930">
        <f>기타운영비!BZ20</f>
        <v>421.44966099999999</v>
      </c>
      <c r="CM40" s="1930">
        <f>기타운영비!CA20</f>
        <v>567.89280700000006</v>
      </c>
      <c r="CN40" s="1930">
        <f>기타운영비!CB20</f>
        <v>439.27412800000002</v>
      </c>
      <c r="CO40" s="1930">
        <f>기타운영비!CC20</f>
        <v>480.66261600000007</v>
      </c>
      <c r="CP40" s="1931">
        <f>기타운영비!CD20</f>
        <v>1047.7525779999999</v>
      </c>
      <c r="CQ40" s="2580">
        <f t="shared" si="125"/>
        <v>6414.9786007124985</v>
      </c>
      <c r="CR40" s="2929">
        <f t="shared" ref="CR40:DC40" si="129">CR116+CR164</f>
        <v>496.51544183088197</v>
      </c>
      <c r="CS40" s="2929">
        <f t="shared" si="129"/>
        <v>459.17598215612111</v>
      </c>
      <c r="CT40" s="2929">
        <f t="shared" si="129"/>
        <v>512.05809636869776</v>
      </c>
      <c r="CU40" s="2929">
        <f t="shared" si="129"/>
        <v>469.47057906506393</v>
      </c>
      <c r="CV40" s="2929">
        <f t="shared" si="129"/>
        <v>469.63351786003136</v>
      </c>
      <c r="CW40" s="2929">
        <f t="shared" si="129"/>
        <v>467.60361348799279</v>
      </c>
      <c r="CX40" s="2929">
        <f t="shared" si="129"/>
        <v>522.45649023282169</v>
      </c>
      <c r="CY40" s="2930">
        <f t="shared" si="129"/>
        <v>475.68984755117208</v>
      </c>
      <c r="CZ40" s="2930">
        <f t="shared" si="129"/>
        <v>536.02628962329618</v>
      </c>
      <c r="DA40" s="2930">
        <f t="shared" si="129"/>
        <v>491.37412761320388</v>
      </c>
      <c r="DB40" s="2930">
        <f t="shared" si="129"/>
        <v>527.65869201618239</v>
      </c>
      <c r="DC40" s="2286">
        <f t="shared" si="129"/>
        <v>987.31592290703361</v>
      </c>
      <c r="DD40" s="2766"/>
      <c r="DE40" s="2587"/>
      <c r="DF40" s="2587"/>
      <c r="DG40" s="1913">
        <f t="shared" si="14"/>
        <v>-0.15192938975728731</v>
      </c>
      <c r="DH40" s="1913">
        <f t="shared" si="15"/>
        <v>5.4520079568145086E-2</v>
      </c>
      <c r="DI40" s="1913">
        <f t="shared" si="16"/>
        <v>2.5880393150536918E-2</v>
      </c>
      <c r="DJ40" s="2968">
        <f t="shared" si="25"/>
        <v>-1062.3152329999994</v>
      </c>
      <c r="DK40" s="2968">
        <f t="shared" si="26"/>
        <v>323.29583499999899</v>
      </c>
      <c r="DL40" s="2968">
        <f t="shared" si="17"/>
        <v>161.83384471249883</v>
      </c>
      <c r="DM40" s="2544"/>
      <c r="DN40" s="28"/>
      <c r="DO40" s="28"/>
    </row>
    <row r="41" spans="2:120" ht="20.25" customHeight="1">
      <c r="B41" s="40" t="s">
        <v>84</v>
      </c>
      <c r="C41" s="41"/>
      <c r="D41" s="66"/>
      <c r="E41" s="1340"/>
      <c r="F41" s="1340"/>
      <c r="G41" s="1340"/>
      <c r="H41" s="1340"/>
      <c r="I41" s="1340"/>
      <c r="J41" s="1340"/>
      <c r="K41" s="1340"/>
      <c r="L41" s="1340"/>
      <c r="M41" s="1340"/>
      <c r="N41" s="1340"/>
      <c r="O41" s="1340"/>
      <c r="P41" s="1340"/>
      <c r="Q41" s="64">
        <f t="shared" si="74"/>
        <v>4241.7283950000001</v>
      </c>
      <c r="R41" s="1340">
        <f t="shared" ref="R41:AP41" si="130">R117</f>
        <v>313.23659099999998</v>
      </c>
      <c r="S41" s="1340">
        <f t="shared" si="130"/>
        <v>345.45678900000001</v>
      </c>
      <c r="T41" s="1340">
        <f t="shared" si="130"/>
        <v>355.99176499999999</v>
      </c>
      <c r="U41" s="1340">
        <f t="shared" si="130"/>
        <v>305.494935</v>
      </c>
      <c r="V41" s="1340">
        <f t="shared" si="130"/>
        <v>354.84050000000002</v>
      </c>
      <c r="W41" s="1340">
        <f t="shared" si="130"/>
        <v>321.54570799999999</v>
      </c>
      <c r="X41" s="1340">
        <f t="shared" si="130"/>
        <v>318.50304</v>
      </c>
      <c r="Y41" s="1340">
        <f t="shared" si="130"/>
        <v>400.34410700000001</v>
      </c>
      <c r="Z41" s="1340">
        <f t="shared" si="130"/>
        <v>316.47444200000001</v>
      </c>
      <c r="AA41" s="1340">
        <f t="shared" si="130"/>
        <v>344.94173899999998</v>
      </c>
      <c r="AB41" s="1340">
        <f t="shared" si="130"/>
        <v>484.13782900000001</v>
      </c>
      <c r="AC41" s="1341">
        <f t="shared" si="130"/>
        <v>380.76094999999998</v>
      </c>
      <c r="AD41" s="1119">
        <v>5009.6638869999997</v>
      </c>
      <c r="AE41" s="1058">
        <f t="shared" si="130"/>
        <v>421.38668799999999</v>
      </c>
      <c r="AF41" s="1058">
        <f t="shared" si="130"/>
        <v>319.815314</v>
      </c>
      <c r="AG41" s="1058">
        <f t="shared" si="130"/>
        <v>331.34862700000002</v>
      </c>
      <c r="AH41" s="1058">
        <f t="shared" si="130"/>
        <v>323.23251499999998</v>
      </c>
      <c r="AI41" s="1058">
        <f t="shared" si="130"/>
        <v>329.56617999999997</v>
      </c>
      <c r="AJ41" s="1058">
        <f t="shared" si="130"/>
        <v>355.23067200000003</v>
      </c>
      <c r="AK41" s="1058">
        <f t="shared" si="130"/>
        <v>361.72110400000003</v>
      </c>
      <c r="AL41" s="1058">
        <f t="shared" si="130"/>
        <v>461.27678300000002</v>
      </c>
      <c r="AM41" s="1058">
        <f t="shared" si="130"/>
        <v>486.68433099999999</v>
      </c>
      <c r="AN41" s="1058">
        <f t="shared" si="130"/>
        <v>650.11604499999999</v>
      </c>
      <c r="AO41" s="1058">
        <f t="shared" si="130"/>
        <v>530.65975000000003</v>
      </c>
      <c r="AP41" s="1059">
        <f t="shared" si="130"/>
        <v>438.625878</v>
      </c>
      <c r="AQ41" s="64">
        <v>5249.1823430000004</v>
      </c>
      <c r="AR41" s="1340">
        <v>377.95118600000001</v>
      </c>
      <c r="AS41" s="1340">
        <v>442.15393599999999</v>
      </c>
      <c r="AT41" s="1340">
        <v>510.70118300000001</v>
      </c>
      <c r="AU41" s="1340">
        <v>460.66191700000002</v>
      </c>
      <c r="AV41" s="1340">
        <v>442.38296400000002</v>
      </c>
      <c r="AW41" s="1340">
        <v>417.89888400000001</v>
      </c>
      <c r="AX41" s="1340">
        <v>379.48032599999999</v>
      </c>
      <c r="AY41" s="1340">
        <v>515.00113799999997</v>
      </c>
      <c r="AZ41" s="1340">
        <v>351.42615599999999</v>
      </c>
      <c r="BA41" s="1340">
        <v>548.83955100000003</v>
      </c>
      <c r="BB41" s="1340">
        <v>402.45764400000002</v>
      </c>
      <c r="BC41" s="1340">
        <v>400.22745800000001</v>
      </c>
      <c r="BD41" s="64">
        <f t="shared" si="128"/>
        <v>4347.9426939999994</v>
      </c>
      <c r="BE41" s="1340">
        <f>기타운영비!AS28</f>
        <v>377.44305700000001</v>
      </c>
      <c r="BF41" s="1340">
        <f>기타운영비!AT28</f>
        <v>453.56723499999998</v>
      </c>
      <c r="BG41" s="1340">
        <f>기타운영비!AU28</f>
        <v>367.66426200000001</v>
      </c>
      <c r="BH41" s="1340">
        <f>기타운영비!AV28</f>
        <v>351.404943</v>
      </c>
      <c r="BI41" s="1340">
        <f>기타운영비!AW28</f>
        <v>329.22386699999998</v>
      </c>
      <c r="BJ41" s="1340">
        <f>기타운영비!AX28</f>
        <v>322.12681600000002</v>
      </c>
      <c r="BK41" s="1340">
        <f>기타운영비!AY28</f>
        <v>325.27263499999998</v>
      </c>
      <c r="BL41" s="1340">
        <f>기타운영비!AZ28</f>
        <v>441.97614700000003</v>
      </c>
      <c r="BM41" s="1340">
        <f>기타운영비!BA28</f>
        <v>170.97494399999999</v>
      </c>
      <c r="BN41" s="1340">
        <f>기타운영비!BB28</f>
        <v>519.77551700000004</v>
      </c>
      <c r="BO41" s="1340">
        <f>기타운영비!BC28</f>
        <v>334.94185199999998</v>
      </c>
      <c r="BP41" s="1340">
        <f>기타운영비!BD28</f>
        <v>353.57141899999999</v>
      </c>
      <c r="BQ41" s="64">
        <f t="shared" si="123"/>
        <v>4452.6043090000003</v>
      </c>
      <c r="BR41" s="1781">
        <f>기타운영비!BF28</f>
        <v>478.51869900000003</v>
      </c>
      <c r="BS41" s="1781">
        <f>기타운영비!BG28</f>
        <v>391.408389</v>
      </c>
      <c r="BT41" s="1781">
        <f>기타운영비!BH28</f>
        <v>354.42021099999999</v>
      </c>
      <c r="BU41" s="1781">
        <f>기타운영비!BI28</f>
        <v>329.90308199999998</v>
      </c>
      <c r="BV41" s="1781">
        <f>기타운영비!BJ28</f>
        <v>329.25166400000001</v>
      </c>
      <c r="BW41" s="1781">
        <f>기타운영비!BK28</f>
        <v>299.56427500000001</v>
      </c>
      <c r="BX41" s="1781">
        <f>기타운영비!BL28</f>
        <v>454.71395799999999</v>
      </c>
      <c r="BY41" s="1781">
        <f>기타운영비!BM28</f>
        <v>298.64040999999997</v>
      </c>
      <c r="BZ41" s="1781">
        <f>기타운영비!BN28</f>
        <v>458.55045200000001</v>
      </c>
      <c r="CA41" s="1781">
        <f>기타운영비!BO28</f>
        <v>426.195716</v>
      </c>
      <c r="CB41" s="1781">
        <f>기타운영비!BP28</f>
        <v>306.47291899999999</v>
      </c>
      <c r="CC41" s="1782">
        <f>기타운영비!BQ28</f>
        <v>324.96453400000001</v>
      </c>
      <c r="CD41" s="1710">
        <f t="shared" si="124"/>
        <v>4731.2440649999999</v>
      </c>
      <c r="CE41" s="1930">
        <f>기타운영비!BS28</f>
        <v>294.36073299999998</v>
      </c>
      <c r="CF41" s="1930">
        <f>기타운영비!BT28</f>
        <v>577.17226700000003</v>
      </c>
      <c r="CG41" s="1930">
        <f>기타운영비!BU28</f>
        <v>242.864204</v>
      </c>
      <c r="CH41" s="1930">
        <f>기타운영비!BV28</f>
        <v>324.58544000000001</v>
      </c>
      <c r="CI41" s="1930">
        <f>기타운영비!BW28</f>
        <v>392.61589700000002</v>
      </c>
      <c r="CJ41" s="1930">
        <f>기타운영비!BX28</f>
        <v>323.19973900000002</v>
      </c>
      <c r="CK41" s="1930">
        <f>기타운영비!BY28</f>
        <v>496.44607100000002</v>
      </c>
      <c r="CL41" s="1930">
        <f>기타운영비!BZ28</f>
        <v>396.32875200000001</v>
      </c>
      <c r="CM41" s="1930">
        <f>기타운영비!CA28</f>
        <v>524.55371500000001</v>
      </c>
      <c r="CN41" s="1930">
        <f>기타운영비!CB28</f>
        <v>390.47527100000002</v>
      </c>
      <c r="CO41" s="1930">
        <f>기타운영비!CC28</f>
        <v>363.54603600000002</v>
      </c>
      <c r="CP41" s="1931">
        <f>기타운영비!CD28</f>
        <v>405.09593999999998</v>
      </c>
      <c r="CQ41" s="2580">
        <f t="shared" si="125"/>
        <v>4873.0933142162203</v>
      </c>
      <c r="CR41" s="2929">
        <f t="shared" ref="CR41:DC41" si="131">CR117+CR165</f>
        <v>428.88542993637884</v>
      </c>
      <c r="CS41" s="2929">
        <f t="shared" si="131"/>
        <v>349.11837946491892</v>
      </c>
      <c r="CT41" s="2929">
        <f t="shared" si="131"/>
        <v>463.35976078651925</v>
      </c>
      <c r="CU41" s="2929">
        <f t="shared" si="131"/>
        <v>371.89739316099519</v>
      </c>
      <c r="CV41" s="2929">
        <f t="shared" si="131"/>
        <v>371.47808060401991</v>
      </c>
      <c r="CW41" s="2929">
        <f t="shared" si="131"/>
        <v>367.03617222149177</v>
      </c>
      <c r="CX41" s="2929">
        <f t="shared" si="131"/>
        <v>483.74534280588466</v>
      </c>
      <c r="CY41" s="2930">
        <f t="shared" si="131"/>
        <v>382.89131335473263</v>
      </c>
      <c r="CZ41" s="2930">
        <f t="shared" si="131"/>
        <v>512.15188588303408</v>
      </c>
      <c r="DA41" s="2930">
        <f t="shared" si="131"/>
        <v>416.55797193256251</v>
      </c>
      <c r="DB41" s="2930">
        <f t="shared" si="131"/>
        <v>387.63578071166393</v>
      </c>
      <c r="DC41" s="2286">
        <f t="shared" si="131"/>
        <v>338.33580335401871</v>
      </c>
      <c r="DD41" s="2766"/>
      <c r="DE41" s="2587"/>
      <c r="DF41" s="2587"/>
      <c r="DG41" s="1913">
        <f t="shared" si="14"/>
        <v>2.4071525860823728E-2</v>
      </c>
      <c r="DH41" s="1913">
        <f t="shared" si="15"/>
        <v>6.2579051867867053E-2</v>
      </c>
      <c r="DI41" s="1913">
        <f t="shared" si="16"/>
        <v>2.9981384867791672E-2</v>
      </c>
      <c r="DJ41" s="2968">
        <f t="shared" si="25"/>
        <v>104.66161500000089</v>
      </c>
      <c r="DK41" s="2968">
        <f t="shared" si="26"/>
        <v>278.63975599999958</v>
      </c>
      <c r="DL41" s="2968">
        <f t="shared" si="17"/>
        <v>141.84924921622041</v>
      </c>
      <c r="DM41" s="2544"/>
      <c r="DN41" s="28"/>
      <c r="DO41" s="28"/>
    </row>
    <row r="42" spans="2:120" ht="20.25" customHeight="1">
      <c r="B42" s="40" t="s">
        <v>85</v>
      </c>
      <c r="C42" s="41"/>
      <c r="D42" s="66"/>
      <c r="E42" s="1340"/>
      <c r="F42" s="1340"/>
      <c r="G42" s="1340"/>
      <c r="H42" s="1340"/>
      <c r="I42" s="1340"/>
      <c r="J42" s="1340"/>
      <c r="K42" s="1340"/>
      <c r="L42" s="1340"/>
      <c r="M42" s="1340"/>
      <c r="N42" s="1340"/>
      <c r="O42" s="1340"/>
      <c r="P42" s="1340"/>
      <c r="Q42" s="64">
        <f t="shared" si="74"/>
        <v>323.39981900000004</v>
      </c>
      <c r="R42" s="1340">
        <f t="shared" ref="R42:AP42" si="132">R118</f>
        <v>92.327652999999998</v>
      </c>
      <c r="S42" s="1340">
        <f t="shared" si="132"/>
        <v>18.033156999999999</v>
      </c>
      <c r="T42" s="1340">
        <f t="shared" si="132"/>
        <v>-2.0875509999999999</v>
      </c>
      <c r="U42" s="1340">
        <f t="shared" si="132"/>
        <v>2.1573899999999999</v>
      </c>
      <c r="V42" s="1340">
        <f t="shared" si="132"/>
        <v>5.4749809999999997</v>
      </c>
      <c r="W42" s="1340">
        <f t="shared" si="132"/>
        <v>18.775095</v>
      </c>
      <c r="X42" s="1340">
        <f t="shared" si="132"/>
        <v>63.029646</v>
      </c>
      <c r="Y42" s="1340">
        <f t="shared" si="132"/>
        <v>6.9826079999999999</v>
      </c>
      <c r="Z42" s="1340">
        <f t="shared" si="132"/>
        <v>17.306066000000001</v>
      </c>
      <c r="AA42" s="1340">
        <f t="shared" si="132"/>
        <v>9.7915030000000005</v>
      </c>
      <c r="AB42" s="1340">
        <f t="shared" si="132"/>
        <v>61.785699000000001</v>
      </c>
      <c r="AC42" s="1341">
        <f t="shared" si="132"/>
        <v>29.823571999999999</v>
      </c>
      <c r="AD42" s="1119">
        <v>521.45880799999998</v>
      </c>
      <c r="AE42" s="1058">
        <f t="shared" si="132"/>
        <v>13.022167</v>
      </c>
      <c r="AF42" s="1058">
        <f t="shared" si="132"/>
        <v>14.420661000000001</v>
      </c>
      <c r="AG42" s="1058">
        <f t="shared" si="132"/>
        <v>7.6454719999999998</v>
      </c>
      <c r="AH42" s="1058">
        <f t="shared" si="132"/>
        <v>20.036014000000002</v>
      </c>
      <c r="AI42" s="1058">
        <f t="shared" si="132"/>
        <v>8.4133650000000006</v>
      </c>
      <c r="AJ42" s="1058">
        <f t="shared" si="132"/>
        <v>23.641030000000001</v>
      </c>
      <c r="AK42" s="1058">
        <f t="shared" si="132"/>
        <v>165.59588099999999</v>
      </c>
      <c r="AL42" s="1058">
        <f t="shared" si="132"/>
        <v>5.2586110000000001</v>
      </c>
      <c r="AM42" s="1058">
        <f t="shared" si="132"/>
        <v>75.991376000000002</v>
      </c>
      <c r="AN42" s="1058">
        <f t="shared" si="132"/>
        <v>15.55034</v>
      </c>
      <c r="AO42" s="1058">
        <f t="shared" si="132"/>
        <v>41.205311000000002</v>
      </c>
      <c r="AP42" s="1059">
        <f t="shared" si="132"/>
        <v>130.67858000000001</v>
      </c>
      <c r="AQ42" s="64">
        <v>885.59376700000007</v>
      </c>
      <c r="AR42" s="1340">
        <v>28.012008000000002</v>
      </c>
      <c r="AS42" s="1340">
        <v>14.885332</v>
      </c>
      <c r="AT42" s="1340">
        <v>20.336041000000002</v>
      </c>
      <c r="AU42" s="1340">
        <v>180.330983</v>
      </c>
      <c r="AV42" s="1340">
        <v>34.016795000000002</v>
      </c>
      <c r="AW42" s="1340">
        <v>50.743423</v>
      </c>
      <c r="AX42" s="1340">
        <v>194.319412</v>
      </c>
      <c r="AY42" s="1340">
        <v>26.952853999999999</v>
      </c>
      <c r="AZ42" s="1340">
        <v>45.912398000000003</v>
      </c>
      <c r="BA42" s="1340">
        <v>53.810975999999997</v>
      </c>
      <c r="BB42" s="1340">
        <v>65.527901999999997</v>
      </c>
      <c r="BC42" s="1340">
        <v>170.745643</v>
      </c>
      <c r="BD42" s="64">
        <f t="shared" si="128"/>
        <v>839.96375500000011</v>
      </c>
      <c r="BE42" s="1340">
        <f>기타운영비!AS30</f>
        <v>37.074312999999997</v>
      </c>
      <c r="BF42" s="1340">
        <f>기타운영비!AT30</f>
        <v>19.139544000000001</v>
      </c>
      <c r="BG42" s="1340">
        <f>기타운영비!AU30</f>
        <v>72.206608000000003</v>
      </c>
      <c r="BH42" s="1340">
        <f>기타운영비!AV30</f>
        <v>23.643315000000001</v>
      </c>
      <c r="BI42" s="1340">
        <f>기타운영비!AW30</f>
        <v>16.831766999999999</v>
      </c>
      <c r="BJ42" s="1340">
        <f>기타운영비!AX30</f>
        <v>50.467615000000002</v>
      </c>
      <c r="BK42" s="1340">
        <f>기타운영비!AY30</f>
        <v>158.78094999999999</v>
      </c>
      <c r="BL42" s="1340">
        <f>기타운영비!AZ30</f>
        <v>29.247973999999999</v>
      </c>
      <c r="BM42" s="1340">
        <f>기타운영비!BA30</f>
        <v>145.25455099999999</v>
      </c>
      <c r="BN42" s="1340">
        <f>기타운영비!BB30</f>
        <v>46.368648999999998</v>
      </c>
      <c r="BO42" s="1340">
        <f>기타운영비!BC30</f>
        <v>130.380841</v>
      </c>
      <c r="BP42" s="1340">
        <f>기타운영비!BD30</f>
        <v>110.567628</v>
      </c>
      <c r="BQ42" s="64">
        <f t="shared" si="123"/>
        <v>942.93550200000004</v>
      </c>
      <c r="BR42" s="1781">
        <f>기타운영비!BF30</f>
        <v>37.373182999999997</v>
      </c>
      <c r="BS42" s="1781">
        <f>기타운영비!BG30</f>
        <v>32.404677999999997</v>
      </c>
      <c r="BT42" s="1781">
        <f>기타운영비!BH30</f>
        <v>27.160269</v>
      </c>
      <c r="BU42" s="1781">
        <f>기타운영비!BI30</f>
        <v>62.228341999999998</v>
      </c>
      <c r="BV42" s="1781">
        <f>기타운영비!BJ30</f>
        <v>25.575593999999999</v>
      </c>
      <c r="BW42" s="1781">
        <f>기타운영비!BK30</f>
        <v>171.32511700000001</v>
      </c>
      <c r="BX42" s="1781">
        <f>기타운영비!BL30</f>
        <v>66.974866000000006</v>
      </c>
      <c r="BY42" s="1781">
        <f>기타운영비!BM30</f>
        <v>-25.690020000000001</v>
      </c>
      <c r="BZ42" s="1781">
        <f>기타운영비!BN30</f>
        <v>8.823874</v>
      </c>
      <c r="CA42" s="1781">
        <f>기타운영비!BO30</f>
        <v>293.67880300000002</v>
      </c>
      <c r="CB42" s="1781">
        <f>기타운영비!BP30</f>
        <v>166.98197999999999</v>
      </c>
      <c r="CC42" s="1782">
        <f>기타운영비!BQ30</f>
        <v>76.098815999999999</v>
      </c>
      <c r="CD42" s="1710">
        <f t="shared" si="124"/>
        <v>863.30343300000004</v>
      </c>
      <c r="CE42" s="1930">
        <f>기타운영비!BS30</f>
        <v>30.978331000000001</v>
      </c>
      <c r="CF42" s="1930">
        <f>기타운영비!BT30</f>
        <v>14.051783</v>
      </c>
      <c r="CG42" s="1930">
        <f>기타운영비!BU30</f>
        <v>23.843495000000001</v>
      </c>
      <c r="CH42" s="1930">
        <f>기타운영비!BV30</f>
        <v>27.213749</v>
      </c>
      <c r="CI42" s="1930">
        <f>기타운영비!BW30</f>
        <v>83.954356000000004</v>
      </c>
      <c r="CJ42" s="1930">
        <f>기타운영비!BX30</f>
        <v>28.030895999999998</v>
      </c>
      <c r="CK42" s="1930">
        <f>기타운영비!BY30</f>
        <v>187.00326799999999</v>
      </c>
      <c r="CL42" s="1930">
        <f>기타운영비!BZ30</f>
        <v>32.552112000000001</v>
      </c>
      <c r="CM42" s="1930">
        <f>기타운영비!CA30</f>
        <v>28.345769000000001</v>
      </c>
      <c r="CN42" s="1930">
        <f>기타운영비!CB30</f>
        <v>91.638863000000001</v>
      </c>
      <c r="CO42" s="1930">
        <f>기타운영비!CC30</f>
        <v>143.358295</v>
      </c>
      <c r="CP42" s="1931">
        <f>기타운영비!CD30</f>
        <v>172.332516</v>
      </c>
      <c r="CQ42" s="2580">
        <f t="shared" si="125"/>
        <v>929.91039487920705</v>
      </c>
      <c r="CR42" s="2929">
        <f t="shared" ref="CR42:DC42" si="133">CR118+CR166</f>
        <v>76.85849695798295</v>
      </c>
      <c r="CS42" s="2929">
        <f t="shared" si="133"/>
        <v>76.58201024783007</v>
      </c>
      <c r="CT42" s="2929">
        <f t="shared" si="133"/>
        <v>76.473819796031108</v>
      </c>
      <c r="CU42" s="2929">
        <f t="shared" si="133"/>
        <v>76.348799718396734</v>
      </c>
      <c r="CV42" s="2929">
        <f t="shared" si="133"/>
        <v>82.651732983433845</v>
      </c>
      <c r="CW42" s="2929">
        <f t="shared" si="133"/>
        <v>76.67817953831802</v>
      </c>
      <c r="CX42" s="2929">
        <f t="shared" si="133"/>
        <v>77.269620674819038</v>
      </c>
      <c r="CY42" s="2930">
        <f t="shared" si="133"/>
        <v>77.296067229703212</v>
      </c>
      <c r="CZ42" s="2930">
        <f t="shared" si="133"/>
        <v>77.599000494740324</v>
      </c>
      <c r="DA42" s="2930">
        <f t="shared" si="133"/>
        <v>77.348960339471603</v>
      </c>
      <c r="DB42" s="2930">
        <f t="shared" si="133"/>
        <v>77.098920184202896</v>
      </c>
      <c r="DC42" s="2286">
        <f t="shared" si="133"/>
        <v>77.704786714277091</v>
      </c>
      <c r="DD42" s="2766"/>
      <c r="DE42" s="2587"/>
      <c r="DF42" s="2587"/>
      <c r="DG42" s="1913">
        <f t="shared" si="14"/>
        <v>0.12259070273811989</v>
      </c>
      <c r="DH42" s="1913">
        <f t="shared" si="15"/>
        <v>-8.4451236411289599E-2</v>
      </c>
      <c r="DI42" s="1913">
        <f t="shared" si="16"/>
        <v>7.715359320157722E-2</v>
      </c>
      <c r="DJ42" s="2968">
        <f t="shared" si="25"/>
        <v>102.97174699999994</v>
      </c>
      <c r="DK42" s="2968">
        <f t="shared" si="26"/>
        <v>-79.632069000000001</v>
      </c>
      <c r="DL42" s="2968">
        <f t="shared" si="17"/>
        <v>66.606961879207006</v>
      </c>
      <c r="DM42" s="2544"/>
      <c r="DN42" s="28"/>
      <c r="DO42" s="28"/>
    </row>
    <row r="43" spans="2:120" ht="20.25" customHeight="1">
      <c r="B43" s="40" t="s">
        <v>86</v>
      </c>
      <c r="C43" s="41"/>
      <c r="D43" s="66"/>
      <c r="E43" s="1340"/>
      <c r="F43" s="1340"/>
      <c r="G43" s="1340"/>
      <c r="H43" s="1340"/>
      <c r="I43" s="1340"/>
      <c r="J43" s="1340"/>
      <c r="K43" s="1340"/>
      <c r="L43" s="1340"/>
      <c r="M43" s="1340"/>
      <c r="N43" s="1340"/>
      <c r="O43" s="1340"/>
      <c r="P43" s="1340"/>
      <c r="Q43" s="64">
        <f t="shared" si="74"/>
        <v>875.42642000000012</v>
      </c>
      <c r="R43" s="1340">
        <f t="shared" ref="R43:AP43" si="134">R119</f>
        <v>64.366017999999997</v>
      </c>
      <c r="S43" s="1340">
        <f t="shared" si="134"/>
        <v>61.252482000000001</v>
      </c>
      <c r="T43" s="1340">
        <f t="shared" si="134"/>
        <v>64.661236000000002</v>
      </c>
      <c r="U43" s="1340">
        <f t="shared" si="134"/>
        <v>61.989928999999997</v>
      </c>
      <c r="V43" s="1340">
        <f t="shared" si="134"/>
        <v>62.676468</v>
      </c>
      <c r="W43" s="1340">
        <f t="shared" si="134"/>
        <v>164.74719999999999</v>
      </c>
      <c r="X43" s="1340">
        <f t="shared" si="134"/>
        <v>61.65484</v>
      </c>
      <c r="Y43" s="1340">
        <f t="shared" si="134"/>
        <v>62.583139000000003</v>
      </c>
      <c r="Z43" s="1340">
        <f t="shared" si="134"/>
        <v>64.550195000000002</v>
      </c>
      <c r="AA43" s="1340">
        <f t="shared" si="134"/>
        <v>61.954684999999998</v>
      </c>
      <c r="AB43" s="1340">
        <f t="shared" si="134"/>
        <v>72.992206999999993</v>
      </c>
      <c r="AC43" s="1341">
        <f t="shared" si="134"/>
        <v>71.998020999999994</v>
      </c>
      <c r="AD43" s="1119">
        <v>856.63505099999998</v>
      </c>
      <c r="AE43" s="1058">
        <f t="shared" si="134"/>
        <v>73.348996999999997</v>
      </c>
      <c r="AF43" s="1058">
        <f t="shared" si="134"/>
        <v>73.907360999999995</v>
      </c>
      <c r="AG43" s="1058">
        <f t="shared" si="134"/>
        <v>72.103870999999998</v>
      </c>
      <c r="AH43" s="1058">
        <f t="shared" si="134"/>
        <v>72.859599000000003</v>
      </c>
      <c r="AI43" s="1058">
        <f t="shared" si="134"/>
        <v>72.045862</v>
      </c>
      <c r="AJ43" s="1058">
        <f t="shared" si="134"/>
        <v>67.728333000000006</v>
      </c>
      <c r="AK43" s="1058">
        <f t="shared" si="134"/>
        <v>71.461899000000003</v>
      </c>
      <c r="AL43" s="1058">
        <f t="shared" si="134"/>
        <v>72.173114999999996</v>
      </c>
      <c r="AM43" s="1058">
        <f t="shared" si="134"/>
        <v>72.437236999999996</v>
      </c>
      <c r="AN43" s="1058">
        <f t="shared" si="134"/>
        <v>71.427152000000007</v>
      </c>
      <c r="AO43" s="1058">
        <f t="shared" si="134"/>
        <v>68.198778000000004</v>
      </c>
      <c r="AP43" s="1059">
        <f t="shared" si="134"/>
        <v>68.942847</v>
      </c>
      <c r="AQ43" s="64">
        <v>854.93248500000004</v>
      </c>
      <c r="AR43" s="1340">
        <v>66.553906999999995</v>
      </c>
      <c r="AS43" s="1340">
        <v>62.206795999999997</v>
      </c>
      <c r="AT43" s="1340">
        <v>66.051008999999993</v>
      </c>
      <c r="AU43" s="1340">
        <v>73.191967000000005</v>
      </c>
      <c r="AV43" s="1340">
        <v>74.015153999999995</v>
      </c>
      <c r="AW43" s="1340">
        <v>71.318016999999998</v>
      </c>
      <c r="AX43" s="1340">
        <v>70.216375999999997</v>
      </c>
      <c r="AY43" s="1340">
        <v>71.675483</v>
      </c>
      <c r="AZ43" s="1340">
        <v>77.994112000000001</v>
      </c>
      <c r="BA43" s="1340">
        <v>74.521369000000007</v>
      </c>
      <c r="BB43" s="1340">
        <v>72.623053999999996</v>
      </c>
      <c r="BC43" s="1340">
        <v>74.565241</v>
      </c>
      <c r="BD43" s="64">
        <f t="shared" si="128"/>
        <v>824.72214200000008</v>
      </c>
      <c r="BE43" s="1340">
        <f>기타운영비!AS32</f>
        <v>72.808867000000006</v>
      </c>
      <c r="BF43" s="1340">
        <f>기타운영비!AT32</f>
        <v>69.870351999999997</v>
      </c>
      <c r="BG43" s="1340">
        <f>기타운영비!AU32</f>
        <v>70.535837999999998</v>
      </c>
      <c r="BH43" s="1340">
        <f>기타운영비!AV32</f>
        <v>67.027694999999994</v>
      </c>
      <c r="BI43" s="1340">
        <f>기타운영비!AW32</f>
        <v>68.592184000000003</v>
      </c>
      <c r="BJ43" s="1340">
        <f>기타운영비!AX32</f>
        <v>66.882166999999995</v>
      </c>
      <c r="BK43" s="1340">
        <f>기타운영비!AY32</f>
        <v>67.242610999999997</v>
      </c>
      <c r="BL43" s="1340">
        <f>기타운영비!AZ32</f>
        <v>72.176147</v>
      </c>
      <c r="BM43" s="1340">
        <f>기타운영비!BA32</f>
        <v>69.012283999999994</v>
      </c>
      <c r="BN43" s="1340">
        <f>기타운영비!BB32</f>
        <v>67.524860000000004</v>
      </c>
      <c r="BO43" s="1340">
        <f>기타운영비!BC32</f>
        <v>67.115392</v>
      </c>
      <c r="BP43" s="1340">
        <f>기타운영비!BD32</f>
        <v>65.933745000000002</v>
      </c>
      <c r="BQ43" s="64">
        <f t="shared" si="123"/>
        <v>894.15289100000007</v>
      </c>
      <c r="BR43" s="1781">
        <f>기타운영비!BF32</f>
        <v>67.628157000000002</v>
      </c>
      <c r="BS43" s="1781">
        <f>기타운영비!BG32</f>
        <v>70.566115999999994</v>
      </c>
      <c r="BT43" s="1781">
        <f>기타운영비!BH32</f>
        <v>64.666602999999995</v>
      </c>
      <c r="BU43" s="1781">
        <f>기타운영비!BI32</f>
        <v>63.118426999999997</v>
      </c>
      <c r="BV43" s="1781">
        <f>기타운영비!BJ32</f>
        <v>65.920035999999996</v>
      </c>
      <c r="BW43" s="1781">
        <f>기타운영비!BK32</f>
        <v>64.901308999999998</v>
      </c>
      <c r="BX43" s="1781">
        <f>기타운영비!BL32</f>
        <v>69.91453700000001</v>
      </c>
      <c r="BY43" s="1781">
        <f>기타운영비!BM32</f>
        <v>69.359395000000006</v>
      </c>
      <c r="BZ43" s="1781">
        <f>기타운영비!BN32</f>
        <v>65.433113000000006</v>
      </c>
      <c r="CA43" s="1781">
        <f>기타운영비!BO32</f>
        <v>116.749088</v>
      </c>
      <c r="CB43" s="1781">
        <f>기타운영비!BP32</f>
        <v>103.954846</v>
      </c>
      <c r="CC43" s="1782">
        <f>기타운영비!BQ32</f>
        <v>71.941264000000004</v>
      </c>
      <c r="CD43" s="1710">
        <f t="shared" si="124"/>
        <v>945.07067800000004</v>
      </c>
      <c r="CE43" s="1930">
        <f>기타운영비!BS32</f>
        <v>74.973583000000005</v>
      </c>
      <c r="CF43" s="1930">
        <f>기타운영비!BT32</f>
        <v>76.536135000000002</v>
      </c>
      <c r="CG43" s="1930">
        <f>기타운영비!BU32</f>
        <v>73.643845999999996</v>
      </c>
      <c r="CH43" s="1930">
        <f>기타운영비!BV32</f>
        <v>73.597348999999994</v>
      </c>
      <c r="CI43" s="1930">
        <f>기타운영비!BW32</f>
        <v>74.715328999999997</v>
      </c>
      <c r="CJ43" s="1930">
        <f>기타운영비!BX32</f>
        <v>78.955467999999996</v>
      </c>
      <c r="CK43" s="1930">
        <f>기타운영비!BY32</f>
        <v>84.122896999999995</v>
      </c>
      <c r="CL43" s="1930">
        <f>기타운영비!BZ32</f>
        <v>82.841228999999998</v>
      </c>
      <c r="CM43" s="1930">
        <f>기타운영비!CA32</f>
        <v>79.126619000000005</v>
      </c>
      <c r="CN43" s="1930">
        <f>기타운영비!CB32</f>
        <v>80.618352000000002</v>
      </c>
      <c r="CO43" s="1930">
        <f>기타운영비!CC32</f>
        <v>79.492795999999998</v>
      </c>
      <c r="CP43" s="1931">
        <f>기타운영비!CD32</f>
        <v>86.447074999999998</v>
      </c>
      <c r="CQ43" s="2580">
        <f t="shared" si="125"/>
        <v>1010.5877658655576</v>
      </c>
      <c r="CR43" s="2929">
        <f t="shared" ref="CR43:DC43" si="135">CR119+CR167</f>
        <v>80.907882689124321</v>
      </c>
      <c r="CS43" s="2929">
        <f t="shared" si="135"/>
        <v>82.616828931953123</v>
      </c>
      <c r="CT43" s="2929">
        <f t="shared" si="135"/>
        <v>82.502938331320891</v>
      </c>
      <c r="CU43" s="2929">
        <f t="shared" si="135"/>
        <v>82.371331415034788</v>
      </c>
      <c r="CV43" s="2929">
        <f t="shared" si="135"/>
        <v>84.690225096804994</v>
      </c>
      <c r="CW43" s="2929">
        <f t="shared" si="135"/>
        <v>84.718065021403973</v>
      </c>
      <c r="CX43" s="2929">
        <f t="shared" si="135"/>
        <v>85.340666971526758</v>
      </c>
      <c r="CY43" s="2930">
        <f t="shared" si="135"/>
        <v>85.368506896125737</v>
      </c>
      <c r="CZ43" s="2930">
        <f t="shared" si="135"/>
        <v>85.687400577895929</v>
      </c>
      <c r="DA43" s="2930">
        <f t="shared" si="135"/>
        <v>85.424186745323709</v>
      </c>
      <c r="DB43" s="2930">
        <f t="shared" si="135"/>
        <v>85.160972912751461</v>
      </c>
      <c r="DC43" s="2286">
        <f t="shared" si="135"/>
        <v>85.798760276291873</v>
      </c>
      <c r="DD43" s="2766"/>
      <c r="DE43" s="2587"/>
      <c r="DF43" s="2587"/>
      <c r="DG43" s="1913">
        <f t="shared" si="14"/>
        <v>8.418683755916434E-2</v>
      </c>
      <c r="DH43" s="1913">
        <f t="shared" si="15"/>
        <v>5.694528028987822E-2</v>
      </c>
      <c r="DI43" s="1913">
        <f t="shared" si="16"/>
        <v>6.9325066781468214E-2</v>
      </c>
      <c r="DJ43" s="2968">
        <f t="shared" si="25"/>
        <v>69.430748999999992</v>
      </c>
      <c r="DK43" s="2968">
        <f t="shared" si="26"/>
        <v>50.917786999999976</v>
      </c>
      <c r="DL43" s="2968">
        <f t="shared" si="17"/>
        <v>65.517087865557528</v>
      </c>
      <c r="DM43" s="2544"/>
      <c r="DN43" s="28"/>
      <c r="DO43" s="2982"/>
    </row>
    <row r="44" spans="2:120" ht="20.25" customHeight="1">
      <c r="B44" s="40" t="s">
        <v>87</v>
      </c>
      <c r="C44" s="41"/>
      <c r="D44" s="66"/>
      <c r="E44" s="1340"/>
      <c r="F44" s="1340"/>
      <c r="G44" s="1340"/>
      <c r="H44" s="1340"/>
      <c r="I44" s="1340"/>
      <c r="J44" s="1340"/>
      <c r="K44" s="1340"/>
      <c r="L44" s="1340"/>
      <c r="M44" s="1340"/>
      <c r="N44" s="1340"/>
      <c r="O44" s="1340"/>
      <c r="P44" s="1340"/>
      <c r="Q44" s="64">
        <f t="shared" si="74"/>
        <v>1282.5662969999998</v>
      </c>
      <c r="R44" s="1340">
        <f t="shared" ref="R44:AP44" si="136">R120</f>
        <v>106.312152</v>
      </c>
      <c r="S44" s="1340">
        <f t="shared" si="136"/>
        <v>143.16126399999999</v>
      </c>
      <c r="T44" s="1340">
        <f t="shared" si="136"/>
        <v>111.867558</v>
      </c>
      <c r="U44" s="1340">
        <f t="shared" si="136"/>
        <v>97.659762000000001</v>
      </c>
      <c r="V44" s="1340">
        <f t="shared" si="136"/>
        <v>91.874725999999995</v>
      </c>
      <c r="W44" s="1340">
        <f t="shared" si="136"/>
        <v>102.619946</v>
      </c>
      <c r="X44" s="1340">
        <f t="shared" si="136"/>
        <v>92.140224000000003</v>
      </c>
      <c r="Y44" s="1340">
        <f t="shared" si="136"/>
        <v>86.598078999999998</v>
      </c>
      <c r="Z44" s="1340">
        <f t="shared" si="136"/>
        <v>96.382289</v>
      </c>
      <c r="AA44" s="1340">
        <f t="shared" si="136"/>
        <v>104.319796</v>
      </c>
      <c r="AB44" s="1340">
        <f t="shared" si="136"/>
        <v>97.638671000000002</v>
      </c>
      <c r="AC44" s="1341">
        <f t="shared" si="136"/>
        <v>151.99182999999999</v>
      </c>
      <c r="AD44" s="1119">
        <v>1816.5009250000001</v>
      </c>
      <c r="AE44" s="1058">
        <f t="shared" si="136"/>
        <v>91.079194000000001</v>
      </c>
      <c r="AF44" s="1058">
        <f t="shared" si="136"/>
        <v>152.23155299999999</v>
      </c>
      <c r="AG44" s="1058">
        <f t="shared" si="136"/>
        <v>103.33819200000001</v>
      </c>
      <c r="AH44" s="1058">
        <f t="shared" si="136"/>
        <v>130.265593</v>
      </c>
      <c r="AI44" s="1058">
        <f t="shared" si="136"/>
        <v>104.443719</v>
      </c>
      <c r="AJ44" s="1058">
        <f t="shared" si="136"/>
        <v>106.25638600000001</v>
      </c>
      <c r="AK44" s="1058">
        <f t="shared" si="136"/>
        <v>108.14138699999999</v>
      </c>
      <c r="AL44" s="1058">
        <f t="shared" si="136"/>
        <v>103.573098</v>
      </c>
      <c r="AM44" s="1058">
        <f t="shared" si="136"/>
        <v>86.559213</v>
      </c>
      <c r="AN44" s="1058">
        <f t="shared" si="136"/>
        <v>122.280991</v>
      </c>
      <c r="AO44" s="1058">
        <f t="shared" si="136"/>
        <v>108.870186</v>
      </c>
      <c r="AP44" s="1059">
        <f t="shared" si="136"/>
        <v>599.46141299999999</v>
      </c>
      <c r="AQ44" s="64">
        <v>1349.5731019999998</v>
      </c>
      <c r="AR44" s="1340">
        <v>110.211399</v>
      </c>
      <c r="AS44" s="1340">
        <v>99.981373000000005</v>
      </c>
      <c r="AT44" s="1340">
        <v>98.673209999999997</v>
      </c>
      <c r="AU44" s="1340">
        <v>151.959631</v>
      </c>
      <c r="AV44" s="1340">
        <v>141.47633099999999</v>
      </c>
      <c r="AW44" s="1340">
        <v>74.581081999999995</v>
      </c>
      <c r="AX44" s="1340">
        <v>122.06431499999999</v>
      </c>
      <c r="AY44" s="1340">
        <v>92.240926999999999</v>
      </c>
      <c r="AZ44" s="1340">
        <v>92.752910999999997</v>
      </c>
      <c r="BA44" s="1340">
        <v>111.892449</v>
      </c>
      <c r="BB44" s="1340">
        <v>83.060788000000002</v>
      </c>
      <c r="BC44" s="1340">
        <v>170.678686</v>
      </c>
      <c r="BD44" s="64">
        <f t="shared" si="128"/>
        <v>1167.6784950000001</v>
      </c>
      <c r="BE44" s="1340">
        <f>기타운영비!AS34+기타운영비!AS52</f>
        <v>105.374793</v>
      </c>
      <c r="BF44" s="1340">
        <f>기타운영비!AT34+기타운영비!AT52</f>
        <v>85.826843999999994</v>
      </c>
      <c r="BG44" s="1340">
        <f>기타운영비!AU34+기타운영비!AU52</f>
        <v>99.879159999999999</v>
      </c>
      <c r="BH44" s="1340">
        <f>기타운영비!AV34+기타운영비!AV52</f>
        <v>92.467646000000002</v>
      </c>
      <c r="BI44" s="1340">
        <f>기타운영비!AW34+기타운영비!AW52</f>
        <v>85.219193000000004</v>
      </c>
      <c r="BJ44" s="1340">
        <f>기타운영비!AX34+기타운영비!AX52</f>
        <v>69.369452999999993</v>
      </c>
      <c r="BK44" s="1340">
        <f>기타운영비!AY34+기타운영비!AY52</f>
        <v>139.99495999999999</v>
      </c>
      <c r="BL44" s="1340">
        <f>기타운영비!AZ34+기타운영비!AZ52</f>
        <v>95.302975000000004</v>
      </c>
      <c r="BM44" s="1340">
        <f>기타운영비!BA34+기타운영비!BA52</f>
        <v>61.351132</v>
      </c>
      <c r="BN44" s="1340">
        <f>기타운영비!BB34+기타운영비!BB52</f>
        <v>88.316636000000003</v>
      </c>
      <c r="BO44" s="1340">
        <f>기타운영비!BC34+기타운영비!BC52</f>
        <v>97.477003999999994</v>
      </c>
      <c r="BP44" s="1340">
        <f>기타운영비!BD34+기타운영비!BD52</f>
        <v>147.09869900000001</v>
      </c>
      <c r="BQ44" s="64">
        <f t="shared" si="123"/>
        <v>2298.8505110000001</v>
      </c>
      <c r="BR44" s="1781">
        <f>기타운영비!BF34+기타운영비!BF52</f>
        <v>106.687725</v>
      </c>
      <c r="BS44" s="1781">
        <f>기타운영비!BG34+기타운영비!BG52</f>
        <v>82.214734000000007</v>
      </c>
      <c r="BT44" s="1781">
        <f>기타운영비!BH34+기타운영비!BH52</f>
        <v>124.39828199999999</v>
      </c>
      <c r="BU44" s="1781">
        <f>기타운영비!BI34+기타운영비!BI52</f>
        <v>94.869114999999994</v>
      </c>
      <c r="BV44" s="1781">
        <f>기타운영비!BJ34+기타운영비!BJ52</f>
        <v>101.164879</v>
      </c>
      <c r="BW44" s="1781">
        <f>기타운영비!BK34+기타운영비!BK52</f>
        <v>154.85498999999999</v>
      </c>
      <c r="BX44" s="1781">
        <f>기타운영비!BL34+기타운영비!BL52</f>
        <v>931.82860000000005</v>
      </c>
      <c r="BY44" s="1781">
        <f>기타운영비!BM34+기타운영비!BM52</f>
        <v>85.248356000000001</v>
      </c>
      <c r="BZ44" s="1781">
        <f>기타운영비!BN34+기타운영비!BN52</f>
        <v>80.034533999999994</v>
      </c>
      <c r="CA44" s="1781">
        <f>기타운영비!BO34+기타운영비!BO52</f>
        <v>154.555419</v>
      </c>
      <c r="CB44" s="1781">
        <f>기타운영비!BP34+기타운영비!BP52</f>
        <v>163.40456499999999</v>
      </c>
      <c r="CC44" s="1782">
        <f>기타운영비!BQ34+기타운영비!BQ52</f>
        <v>219.58931200000001</v>
      </c>
      <c r="CD44" s="1710">
        <f t="shared" si="124"/>
        <v>1449.4285559999998</v>
      </c>
      <c r="CE44" s="1930">
        <f>기타운영비!BS34</f>
        <v>131.061374</v>
      </c>
      <c r="CF44" s="1930">
        <f>기타운영비!BT34</f>
        <v>81.985692</v>
      </c>
      <c r="CG44" s="1930">
        <f>기타운영비!BU34</f>
        <v>103.759046</v>
      </c>
      <c r="CH44" s="1930">
        <f>기타운영비!BV34</f>
        <v>97.362499999999997</v>
      </c>
      <c r="CI44" s="1930">
        <f>기타운영비!BW34</f>
        <v>93.138609000000002</v>
      </c>
      <c r="CJ44" s="1930">
        <f>기타운영비!BX34</f>
        <v>145.32474199999999</v>
      </c>
      <c r="CK44" s="1930">
        <f>기타운영비!BY34</f>
        <v>175.90343100000001</v>
      </c>
      <c r="CL44" s="1930">
        <f>기타운영비!BZ34</f>
        <v>99.719471999999996</v>
      </c>
      <c r="CM44" s="1930">
        <f>기타운영비!CA34</f>
        <v>122.823324</v>
      </c>
      <c r="CN44" s="1930">
        <f>기타운영비!CB34</f>
        <v>126.418492</v>
      </c>
      <c r="CO44" s="1930">
        <f>기타운영비!CC34</f>
        <v>127.3853</v>
      </c>
      <c r="CP44" s="1931">
        <f>기타운영비!CD34</f>
        <v>144.54657399999999</v>
      </c>
      <c r="CQ44" s="2580">
        <f t="shared" si="125"/>
        <v>1481.6910502704052</v>
      </c>
      <c r="CR44" s="2929">
        <f t="shared" ref="CR44:DC44" si="137">CR120+CR168</f>
        <v>123.04033249573703</v>
      </c>
      <c r="CS44" s="2929">
        <f t="shared" si="137"/>
        <v>122.83154125959435</v>
      </c>
      <c r="CT44" s="2929">
        <f t="shared" si="137"/>
        <v>123.17288034110372</v>
      </c>
      <c r="CU44" s="2929">
        <f t="shared" si="137"/>
        <v>122.6554303908479</v>
      </c>
      <c r="CV44" s="2929">
        <f t="shared" si="137"/>
        <v>123.28079296262165</v>
      </c>
      <c r="CW44" s="2929">
        <f t="shared" si="137"/>
        <v>123.96176429825267</v>
      </c>
      <c r="CX44" s="2929">
        <f t="shared" si="137"/>
        <v>123.35079598600142</v>
      </c>
      <c r="CY44" s="2930">
        <f t="shared" si="137"/>
        <v>123.37076732163244</v>
      </c>
      <c r="CZ44" s="2930">
        <f t="shared" si="137"/>
        <v>123.59952989340619</v>
      </c>
      <c r="DA44" s="2930">
        <f t="shared" si="137"/>
        <v>123.41070999289454</v>
      </c>
      <c r="DB44" s="2930">
        <f t="shared" si="137"/>
        <v>124.27949009238286</v>
      </c>
      <c r="DC44" s="2286">
        <f t="shared" si="137"/>
        <v>124.73701523593034</v>
      </c>
      <c r="DD44" s="2766"/>
      <c r="DE44" s="2587"/>
      <c r="DF44" s="2587"/>
      <c r="DG44" s="1913">
        <f t="shared" si="14"/>
        <v>0.96873584710490013</v>
      </c>
      <c r="DH44" s="1913">
        <f t="shared" si="15"/>
        <v>-0.36949856066565268</v>
      </c>
      <c r="DI44" s="1913">
        <f t="shared" si="16"/>
        <v>2.2258768213757607E-2</v>
      </c>
      <c r="DJ44" s="2968">
        <f t="shared" si="25"/>
        <v>1131.172016</v>
      </c>
      <c r="DK44" s="2968">
        <f t="shared" si="26"/>
        <v>-849.42195500000025</v>
      </c>
      <c r="DL44" s="2968">
        <f t="shared" si="17"/>
        <v>32.262494270405341</v>
      </c>
      <c r="DM44" s="2544"/>
      <c r="DN44" s="28"/>
      <c r="DO44" s="2982"/>
    </row>
    <row r="45" spans="2:120" ht="20.25" customHeight="1">
      <c r="B45" s="40" t="s">
        <v>88</v>
      </c>
      <c r="C45" s="41"/>
      <c r="D45" s="66"/>
      <c r="E45" s="1340"/>
      <c r="F45" s="1340"/>
      <c r="G45" s="1340"/>
      <c r="H45" s="1340"/>
      <c r="I45" s="1340"/>
      <c r="J45" s="1340"/>
      <c r="K45" s="1340"/>
      <c r="L45" s="1340"/>
      <c r="M45" s="1340"/>
      <c r="N45" s="1340"/>
      <c r="O45" s="1340"/>
      <c r="P45" s="1340"/>
      <c r="Q45" s="64">
        <f t="shared" si="74"/>
        <v>118.595</v>
      </c>
      <c r="R45" s="1340">
        <f t="shared" ref="R45:AP45" si="138">R121</f>
        <v>47.01</v>
      </c>
      <c r="S45" s="1340">
        <f t="shared" si="138"/>
        <v>1.35</v>
      </c>
      <c r="T45" s="1340">
        <f t="shared" si="138"/>
        <v>2.6</v>
      </c>
      <c r="U45" s="1340">
        <f t="shared" si="138"/>
        <v>2.8</v>
      </c>
      <c r="V45" s="1340">
        <f t="shared" si="138"/>
        <v>3.4</v>
      </c>
      <c r="W45" s="1340">
        <f t="shared" si="138"/>
        <v>2.2999999999999998</v>
      </c>
      <c r="X45" s="1340">
        <f t="shared" si="138"/>
        <v>2.1800000000000002</v>
      </c>
      <c r="Y45" s="1340">
        <f t="shared" si="138"/>
        <v>1.9</v>
      </c>
      <c r="Z45" s="1340">
        <f t="shared" si="138"/>
        <v>48.255000000000003</v>
      </c>
      <c r="AA45" s="1340">
        <f t="shared" si="138"/>
        <v>2.4</v>
      </c>
      <c r="AB45" s="1340">
        <f t="shared" si="138"/>
        <v>2.5</v>
      </c>
      <c r="AC45" s="1341">
        <f t="shared" si="138"/>
        <v>1.9</v>
      </c>
      <c r="AD45" s="1119">
        <v>176.22908999999999</v>
      </c>
      <c r="AE45" s="1058">
        <f t="shared" si="138"/>
        <v>5.6724500000000004</v>
      </c>
      <c r="AF45" s="1058">
        <f t="shared" si="138"/>
        <v>42.25</v>
      </c>
      <c r="AG45" s="1058">
        <f t="shared" si="138"/>
        <v>2.3894000000000002</v>
      </c>
      <c r="AH45" s="1058">
        <f t="shared" si="138"/>
        <v>2.3702000000000001</v>
      </c>
      <c r="AI45" s="1058">
        <f t="shared" si="138"/>
        <v>2.0499999999999998</v>
      </c>
      <c r="AJ45" s="1058">
        <f t="shared" si="138"/>
        <v>3.5</v>
      </c>
      <c r="AK45" s="1058">
        <f t="shared" si="138"/>
        <v>8.8511000000000006</v>
      </c>
      <c r="AL45" s="1058">
        <f t="shared" si="138"/>
        <v>8.9009999999999998</v>
      </c>
      <c r="AM45" s="1058">
        <f t="shared" si="138"/>
        <v>62.207039999999999</v>
      </c>
      <c r="AN45" s="1058">
        <f t="shared" si="138"/>
        <v>16.949200000000001</v>
      </c>
      <c r="AO45" s="1058">
        <f t="shared" si="138"/>
        <v>14.480700000000001</v>
      </c>
      <c r="AP45" s="1059">
        <f t="shared" si="138"/>
        <v>6.6079999999999997</v>
      </c>
      <c r="AQ45" s="64">
        <v>257.60586599999993</v>
      </c>
      <c r="AR45" s="1340">
        <v>62.625799999999998</v>
      </c>
      <c r="AS45" s="1340">
        <v>6.4425460000000001</v>
      </c>
      <c r="AT45" s="1340">
        <v>12.632</v>
      </c>
      <c r="AU45" s="1340">
        <v>14.324</v>
      </c>
      <c r="AV45" s="1340">
        <v>15.448</v>
      </c>
      <c r="AW45" s="1340">
        <v>23.263500000000001</v>
      </c>
      <c r="AX45" s="1340">
        <v>15.0457</v>
      </c>
      <c r="AY45" s="1340">
        <v>20.2407</v>
      </c>
      <c r="AZ45" s="1340">
        <v>51.55762</v>
      </c>
      <c r="BA45" s="1340">
        <v>13.35</v>
      </c>
      <c r="BB45" s="1340">
        <v>10.884</v>
      </c>
      <c r="BC45" s="1340">
        <v>11.792</v>
      </c>
      <c r="BD45" s="64">
        <f t="shared" si="128"/>
        <v>221.48115999999999</v>
      </c>
      <c r="BE45" s="1340">
        <f>기타운영비!AS38</f>
        <v>32.69294</v>
      </c>
      <c r="BF45" s="1340">
        <f>기타운영비!AT38</f>
        <v>34.090000000000003</v>
      </c>
      <c r="BG45" s="1340">
        <f>기타운영비!AU38</f>
        <v>5.0679999999999996</v>
      </c>
      <c r="BH45" s="1340">
        <f>기타운영비!AV38</f>
        <v>4.3639999999999999</v>
      </c>
      <c r="BI45" s="1340">
        <f>기타운영비!AW38</f>
        <v>11.707000000000001</v>
      </c>
      <c r="BJ45" s="1340">
        <f>기타운영비!AX38</f>
        <v>10.696</v>
      </c>
      <c r="BK45" s="1340">
        <f>기타운영비!AY38</f>
        <v>14.159000000000001</v>
      </c>
      <c r="BL45" s="1340">
        <f>기타운영비!AZ38</f>
        <v>6.3520000000000003</v>
      </c>
      <c r="BM45" s="1340">
        <f>기타운영비!BA38</f>
        <v>75.364999999999995</v>
      </c>
      <c r="BN45" s="1340">
        <f>기타운영비!BB38</f>
        <v>8.9225999999999992</v>
      </c>
      <c r="BO45" s="1340">
        <f>기타운영비!BC38</f>
        <v>1.9</v>
      </c>
      <c r="BP45" s="1340">
        <f>기타운영비!BD38</f>
        <v>16.164619999999999</v>
      </c>
      <c r="BQ45" s="64">
        <f t="shared" si="123"/>
        <v>263.67071499999997</v>
      </c>
      <c r="BR45" s="1781">
        <f>기타운영비!BF38</f>
        <v>14.487120000000001</v>
      </c>
      <c r="BS45" s="1781">
        <f>기타운영비!BG38</f>
        <v>55.238</v>
      </c>
      <c r="BT45" s="1781">
        <f>기타운영비!BH38</f>
        <v>13.768000000000001</v>
      </c>
      <c r="BU45" s="1781">
        <f>기타운영비!BI38</f>
        <v>10.467000000000001</v>
      </c>
      <c r="BV45" s="1781">
        <f>기타운영비!BJ38</f>
        <v>13.6235</v>
      </c>
      <c r="BW45" s="1781">
        <f>기타운영비!BK38</f>
        <v>14.609</v>
      </c>
      <c r="BX45" s="1781">
        <f>기타운영비!BL38</f>
        <v>10.824999999999999</v>
      </c>
      <c r="BY45" s="1781">
        <f>기타운영비!BM38</f>
        <v>10.200495</v>
      </c>
      <c r="BZ45" s="1781">
        <f>기타운영비!BN38</f>
        <v>66.128100000000003</v>
      </c>
      <c r="CA45" s="1781">
        <f>기타운영비!BO38</f>
        <v>30.426500000000001</v>
      </c>
      <c r="CB45" s="1781">
        <f>기타운영비!BP38</f>
        <v>17.645</v>
      </c>
      <c r="CC45" s="1782">
        <f>기타운영비!BQ38</f>
        <v>6.2530000000000001</v>
      </c>
      <c r="CD45" s="1710">
        <f t="shared" si="124"/>
        <v>299.09793000000002</v>
      </c>
      <c r="CE45" s="1930">
        <f>기타운영비!BS38</f>
        <v>77.547200000000004</v>
      </c>
      <c r="CF45" s="1930">
        <f>기타운영비!BT38</f>
        <v>5.758</v>
      </c>
      <c r="CG45" s="1930">
        <f>기타운영비!BU38</f>
        <v>20.348099999999999</v>
      </c>
      <c r="CH45" s="1930">
        <f>기타운영비!BV38</f>
        <v>13.670999999999999</v>
      </c>
      <c r="CI45" s="1930">
        <f>기타운영비!BW38</f>
        <v>20.782499999999999</v>
      </c>
      <c r="CJ45" s="1930">
        <f>기타운영비!BX38</f>
        <v>18.4102</v>
      </c>
      <c r="CK45" s="1930">
        <f>기타운영비!BY38</f>
        <v>17.919499999999999</v>
      </c>
      <c r="CL45" s="1930">
        <f>기타운영비!BZ38</f>
        <v>22.030999999999999</v>
      </c>
      <c r="CM45" s="1930">
        <f>기타운영비!CA38</f>
        <v>46.281239999999997</v>
      </c>
      <c r="CN45" s="1930">
        <f>기타운영비!CB38</f>
        <v>18.1416</v>
      </c>
      <c r="CO45" s="1930">
        <f>기타운영비!CC38</f>
        <v>26.69659</v>
      </c>
      <c r="CP45" s="1931">
        <f>기타운영비!CD38</f>
        <v>11.510999999999999</v>
      </c>
      <c r="CQ45" s="2580">
        <f t="shared" si="125"/>
        <v>322.42502000000002</v>
      </c>
      <c r="CR45" s="2929">
        <f t="shared" ref="CR45:DC45" si="139">CR121+CR169</f>
        <v>26.868751666666668</v>
      </c>
      <c r="CS45" s="2929">
        <f t="shared" si="139"/>
        <v>26.868751666666668</v>
      </c>
      <c r="CT45" s="2929">
        <f t="shared" si="139"/>
        <v>26.868751666666668</v>
      </c>
      <c r="CU45" s="2929">
        <f t="shared" si="139"/>
        <v>26.868751666666668</v>
      </c>
      <c r="CV45" s="2929">
        <f t="shared" si="139"/>
        <v>26.868751666666668</v>
      </c>
      <c r="CW45" s="2929">
        <f t="shared" si="139"/>
        <v>26.868751666666668</v>
      </c>
      <c r="CX45" s="2929">
        <f t="shared" si="139"/>
        <v>26.868751666666668</v>
      </c>
      <c r="CY45" s="2930">
        <f t="shared" si="139"/>
        <v>26.868751666666668</v>
      </c>
      <c r="CZ45" s="2930">
        <f t="shared" si="139"/>
        <v>26.868751666666668</v>
      </c>
      <c r="DA45" s="2930">
        <f t="shared" si="139"/>
        <v>26.868751666666668</v>
      </c>
      <c r="DB45" s="2930">
        <f t="shared" si="139"/>
        <v>26.868751666666668</v>
      </c>
      <c r="DC45" s="2286">
        <f t="shared" si="139"/>
        <v>26.868751666666668</v>
      </c>
      <c r="DD45" s="2766"/>
      <c r="DE45" s="2587"/>
      <c r="DF45" s="2587"/>
      <c r="DG45" s="1913">
        <f t="shared" si="14"/>
        <v>0.19048823385248648</v>
      </c>
      <c r="DH45" s="1913">
        <f t="shared" si="15"/>
        <v>0.13436158429653466</v>
      </c>
      <c r="DI45" s="1913">
        <f t="shared" si="16"/>
        <v>7.7991479245610229E-2</v>
      </c>
      <c r="DJ45" s="2968">
        <f t="shared" si="25"/>
        <v>42.189554999999984</v>
      </c>
      <c r="DK45" s="2968">
        <f t="shared" si="26"/>
        <v>35.427215000000047</v>
      </c>
      <c r="DL45" s="2968">
        <f t="shared" si="17"/>
        <v>23.327089999999998</v>
      </c>
      <c r="DM45" s="2544"/>
      <c r="DN45" s="28"/>
      <c r="DO45" s="28"/>
    </row>
    <row r="46" spans="2:120" ht="20.25" customHeight="1">
      <c r="B46" s="40" t="s">
        <v>89</v>
      </c>
      <c r="C46" s="41"/>
      <c r="D46" s="66"/>
      <c r="E46" s="1340"/>
      <c r="F46" s="1340"/>
      <c r="G46" s="1340"/>
      <c r="H46" s="1340"/>
      <c r="I46" s="1340"/>
      <c r="J46" s="1340"/>
      <c r="K46" s="1340"/>
      <c r="L46" s="1340"/>
      <c r="M46" s="1340"/>
      <c r="N46" s="1340"/>
      <c r="O46" s="1340"/>
      <c r="P46" s="1340"/>
      <c r="Q46" s="64">
        <f t="shared" si="74"/>
        <v>1329.3977789999997</v>
      </c>
      <c r="R46" s="1340">
        <f t="shared" ref="R46:AP46" si="140">R122</f>
        <v>838.51259400000004</v>
      </c>
      <c r="S46" s="1340">
        <f t="shared" si="140"/>
        <v>40.857596999999998</v>
      </c>
      <c r="T46" s="1340">
        <f t="shared" si="140"/>
        <v>42.520546000000003</v>
      </c>
      <c r="U46" s="1340">
        <f t="shared" si="140"/>
        <v>34.749302999999998</v>
      </c>
      <c r="V46" s="1340">
        <f t="shared" si="140"/>
        <v>42.357377999999997</v>
      </c>
      <c r="W46" s="1340">
        <f t="shared" si="140"/>
        <v>42.047097999999998</v>
      </c>
      <c r="X46" s="1340">
        <f t="shared" si="140"/>
        <v>57.572671</v>
      </c>
      <c r="Y46" s="1340">
        <f t="shared" si="140"/>
        <v>56.638252000000001</v>
      </c>
      <c r="Z46" s="1340">
        <f t="shared" si="140"/>
        <v>44.528512999999997</v>
      </c>
      <c r="AA46" s="1340">
        <f t="shared" si="140"/>
        <v>40.954464000000002</v>
      </c>
      <c r="AB46" s="1340">
        <f t="shared" si="140"/>
        <v>39.585920000000002</v>
      </c>
      <c r="AC46" s="1341">
        <f t="shared" si="140"/>
        <v>49.073442999999997</v>
      </c>
      <c r="AD46" s="1119">
        <v>2016.5891590000001</v>
      </c>
      <c r="AE46" s="1058">
        <f t="shared" si="140"/>
        <v>862.11679400000003</v>
      </c>
      <c r="AF46" s="1058">
        <f t="shared" si="140"/>
        <v>41.430579999999999</v>
      </c>
      <c r="AG46" s="1058">
        <f t="shared" si="140"/>
        <v>42.522649000000001</v>
      </c>
      <c r="AH46" s="1058">
        <f t="shared" si="140"/>
        <v>41.150950999999999</v>
      </c>
      <c r="AI46" s="1058">
        <f t="shared" si="140"/>
        <v>42.582293999999997</v>
      </c>
      <c r="AJ46" s="1058">
        <f t="shared" si="140"/>
        <v>41.150950999999999</v>
      </c>
      <c r="AK46" s="1058">
        <f t="shared" si="140"/>
        <v>66.433890000000005</v>
      </c>
      <c r="AL46" s="1058">
        <f t="shared" si="140"/>
        <v>51.269348000000001</v>
      </c>
      <c r="AM46" s="1058">
        <f t="shared" si="140"/>
        <v>46.869756000000002</v>
      </c>
      <c r="AN46" s="1058">
        <f t="shared" si="140"/>
        <v>49.090072999999997</v>
      </c>
      <c r="AO46" s="1058">
        <f t="shared" si="140"/>
        <v>47.562933000000001</v>
      </c>
      <c r="AP46" s="1059">
        <f t="shared" si="140"/>
        <v>684.40894000000003</v>
      </c>
      <c r="AQ46" s="64">
        <v>599.09047600000008</v>
      </c>
      <c r="AR46" s="1340">
        <v>-33.029499999999999</v>
      </c>
      <c r="AS46" s="1340">
        <v>45.571767000000001</v>
      </c>
      <c r="AT46" s="1340">
        <v>51.272202999999998</v>
      </c>
      <c r="AU46" s="1340">
        <v>77.978470999999999</v>
      </c>
      <c r="AV46" s="1340">
        <v>51.453293000000002</v>
      </c>
      <c r="AW46" s="1340">
        <v>52.795121999999999</v>
      </c>
      <c r="AX46" s="1340">
        <v>54.709366000000003</v>
      </c>
      <c r="AY46" s="1340">
        <v>57.734842999999998</v>
      </c>
      <c r="AZ46" s="1340">
        <v>53.529380000000003</v>
      </c>
      <c r="BA46" s="1340">
        <v>55.151645000000002</v>
      </c>
      <c r="BB46" s="1340">
        <v>67.401889999999995</v>
      </c>
      <c r="BC46" s="1340">
        <v>64.521996000000001</v>
      </c>
      <c r="BD46" s="64">
        <f t="shared" si="128"/>
        <v>763.88472999999999</v>
      </c>
      <c r="BE46" s="1340">
        <f>기타운영비!AS39</f>
        <v>64.420361999999997</v>
      </c>
      <c r="BF46" s="1340">
        <f>기타운영비!AT39</f>
        <v>49.947899999999997</v>
      </c>
      <c r="BG46" s="1340">
        <f>기타운영비!AU39</f>
        <v>54.161822999999998</v>
      </c>
      <c r="BH46" s="1340">
        <f>기타운영비!AV39</f>
        <v>62.527476</v>
      </c>
      <c r="BI46" s="1340">
        <f>기타운영비!AW39</f>
        <v>54.133682999999998</v>
      </c>
      <c r="BJ46" s="1340">
        <f>기타운영비!AX39</f>
        <v>52.358246000000001</v>
      </c>
      <c r="BK46" s="1340">
        <f>기타운영비!AY39</f>
        <v>53.733815999999997</v>
      </c>
      <c r="BL46" s="1340">
        <f>기타운영비!AZ39</f>
        <v>57.443496999999994</v>
      </c>
      <c r="BM46" s="1340">
        <f>기타운영비!BA39</f>
        <v>51.968959999999996</v>
      </c>
      <c r="BN46" s="1340">
        <f>기타운영비!BB39</f>
        <v>74.50984600000001</v>
      </c>
      <c r="BO46" s="1340">
        <f>기타운영비!BC39</f>
        <v>52.000540999999998</v>
      </c>
      <c r="BP46" s="1340">
        <f>기타운영비!BD39</f>
        <v>136.67858000000001</v>
      </c>
      <c r="BQ46" s="64">
        <f t="shared" si="123"/>
        <v>783.1864119999999</v>
      </c>
      <c r="BR46" s="1781">
        <f>기타운영비!BF39</f>
        <v>84.945335999999998</v>
      </c>
      <c r="BS46" s="1781">
        <f>기타운영비!BG39</f>
        <v>66.825074999999998</v>
      </c>
      <c r="BT46" s="1781">
        <f>기타운영비!BH39</f>
        <v>60.513421999999998</v>
      </c>
      <c r="BU46" s="1781">
        <f>기타운영비!BI39</f>
        <v>53.637171000000002</v>
      </c>
      <c r="BV46" s="1781">
        <f>기타운영비!BJ39</f>
        <v>60.127521999999999</v>
      </c>
      <c r="BW46" s="1781">
        <f>기타운영비!BK39</f>
        <v>58.672145999999998</v>
      </c>
      <c r="BX46" s="1781">
        <f>기타운영비!BL39</f>
        <v>61.714564000000003</v>
      </c>
      <c r="BY46" s="1781">
        <f>기타운영비!BM39</f>
        <v>64.443855999999997</v>
      </c>
      <c r="BZ46" s="1781">
        <f>기타운영비!BN39</f>
        <v>58.514485999999998</v>
      </c>
      <c r="CA46" s="1781">
        <f>기타운영비!BO39</f>
        <v>81.465980000000002</v>
      </c>
      <c r="CB46" s="1781">
        <f>기타운영비!BP39</f>
        <v>58.791854000000001</v>
      </c>
      <c r="CC46" s="1782">
        <f>기타운영비!BQ39</f>
        <v>73.534999999999997</v>
      </c>
      <c r="CD46" s="1710">
        <f t="shared" si="124"/>
        <v>886.86351400000001</v>
      </c>
      <c r="CE46" s="1930">
        <f>기타운영비!BS39</f>
        <v>73.289779999999993</v>
      </c>
      <c r="CF46" s="1930">
        <f>기타운영비!BT39</f>
        <v>55.032052</v>
      </c>
      <c r="CG46" s="1930">
        <f>기타운영비!BU39</f>
        <v>70.889920000000004</v>
      </c>
      <c r="CH46" s="1930">
        <f>기타운영비!BV39</f>
        <v>68.556836000000004</v>
      </c>
      <c r="CI46" s="1930">
        <f>기타운영비!BW39</f>
        <v>115.892481</v>
      </c>
      <c r="CJ46" s="1930">
        <f>기타운영비!BX39</f>
        <v>68.209175999999999</v>
      </c>
      <c r="CK46" s="1930">
        <f>기타운영비!BY39</f>
        <v>67.824595000000002</v>
      </c>
      <c r="CL46" s="1930">
        <f>기타운영비!BZ39</f>
        <v>72.204939999999993</v>
      </c>
      <c r="CM46" s="1930">
        <f>기타운영비!CA39</f>
        <v>70.528009999999995</v>
      </c>
      <c r="CN46" s="1930">
        <f>기타운영비!CB39</f>
        <v>70.509349999999998</v>
      </c>
      <c r="CO46" s="1930">
        <f>기타운영비!CC39</f>
        <v>66.152341000000007</v>
      </c>
      <c r="CP46" s="1931">
        <f>기타운영비!CD39</f>
        <v>87.774033000000003</v>
      </c>
      <c r="CQ46" s="2580">
        <f t="shared" si="125"/>
        <v>933.75119464270119</v>
      </c>
      <c r="CR46" s="2929">
        <f t="shared" ref="CR46:DC46" si="141">CR122+CR170</f>
        <v>77.706941281566714</v>
      </c>
      <c r="CS46" s="2929">
        <f t="shared" si="141"/>
        <v>77.488991482839438</v>
      </c>
      <c r="CT46" s="2929">
        <f t="shared" si="141"/>
        <v>77.40370677898963</v>
      </c>
      <c r="CU46" s="2929">
        <f t="shared" si="141"/>
        <v>77.305155565652086</v>
      </c>
      <c r="CV46" s="2929">
        <f t="shared" si="141"/>
        <v>77.54395273643155</v>
      </c>
      <c r="CW46" s="2929">
        <f t="shared" si="141"/>
        <v>77.564800108483709</v>
      </c>
      <c r="CX46" s="2929">
        <f t="shared" si="141"/>
        <v>78.031023156195971</v>
      </c>
      <c r="CY46" s="2930">
        <f t="shared" si="141"/>
        <v>78.051870528248145</v>
      </c>
      <c r="CZ46" s="2930">
        <f t="shared" si="141"/>
        <v>78.290667699027608</v>
      </c>
      <c r="DA46" s="2930">
        <f t="shared" si="141"/>
        <v>78.093565272352492</v>
      </c>
      <c r="DB46" s="2930">
        <f t="shared" si="141"/>
        <v>77.896462845677405</v>
      </c>
      <c r="DC46" s="2286">
        <f t="shared" si="141"/>
        <v>78.374057187236303</v>
      </c>
      <c r="DD46" s="2766"/>
      <c r="DE46" s="2587"/>
      <c r="DF46" s="2587"/>
      <c r="DG46" s="1913">
        <f t="shared" si="14"/>
        <v>2.5267794003422273E-2</v>
      </c>
      <c r="DH46" s="1913">
        <f t="shared" si="15"/>
        <v>0.13237857604710346</v>
      </c>
      <c r="DI46" s="1913">
        <f t="shared" si="16"/>
        <v>5.2869105451440523E-2</v>
      </c>
      <c r="DJ46" s="2968">
        <f t="shared" si="25"/>
        <v>19.301681999999914</v>
      </c>
      <c r="DK46" s="2968">
        <f t="shared" si="26"/>
        <v>103.6771020000001</v>
      </c>
      <c r="DL46" s="2968">
        <f t="shared" si="17"/>
        <v>46.887680642701184</v>
      </c>
      <c r="DM46" s="2544"/>
      <c r="DN46" s="28"/>
      <c r="DO46" s="28"/>
    </row>
    <row r="47" spans="2:120" ht="20.25" customHeight="1">
      <c r="B47" s="40" t="s">
        <v>90</v>
      </c>
      <c r="C47" s="41"/>
      <c r="D47" s="66"/>
      <c r="E47" s="1340"/>
      <c r="F47" s="1340"/>
      <c r="G47" s="1340"/>
      <c r="H47" s="1340"/>
      <c r="I47" s="1340"/>
      <c r="J47" s="1340"/>
      <c r="K47" s="1340"/>
      <c r="L47" s="1340"/>
      <c r="M47" s="1340"/>
      <c r="N47" s="1340"/>
      <c r="O47" s="1340"/>
      <c r="P47" s="1340"/>
      <c r="Q47" s="64">
        <f t="shared" si="74"/>
        <v>193.23578799999996</v>
      </c>
      <c r="R47" s="1340">
        <f t="shared" ref="R47:AP47" si="142">R123</f>
        <v>12.868449999999999</v>
      </c>
      <c r="S47" s="1340">
        <f t="shared" si="142"/>
        <v>10.75216</v>
      </c>
      <c r="T47" s="1340">
        <f t="shared" si="142"/>
        <v>12.547750000000001</v>
      </c>
      <c r="U47" s="1340">
        <f t="shared" si="142"/>
        <v>16.64273</v>
      </c>
      <c r="V47" s="1340">
        <f t="shared" si="142"/>
        <v>9.6627700000000001</v>
      </c>
      <c r="W47" s="1340">
        <f t="shared" si="142"/>
        <v>7.2116069999999999</v>
      </c>
      <c r="X47" s="1340">
        <f t="shared" si="142"/>
        <v>17.62509</v>
      </c>
      <c r="Y47" s="1340">
        <f t="shared" si="142"/>
        <v>74.314899999999994</v>
      </c>
      <c r="Z47" s="1340">
        <f t="shared" si="142"/>
        <v>7.3954700000000004</v>
      </c>
      <c r="AA47" s="1340">
        <f t="shared" si="142"/>
        <v>10.517511000000001</v>
      </c>
      <c r="AB47" s="1340">
        <f t="shared" si="142"/>
        <v>7.1087499999999997</v>
      </c>
      <c r="AC47" s="1341">
        <f t="shared" si="142"/>
        <v>6.5885999999999996</v>
      </c>
      <c r="AD47" s="1119">
        <v>202.40366399999999</v>
      </c>
      <c r="AE47" s="1058">
        <f t="shared" si="142"/>
        <v>11.44388</v>
      </c>
      <c r="AF47" s="1058">
        <f t="shared" si="142"/>
        <v>6.1403699999999999</v>
      </c>
      <c r="AG47" s="1058">
        <f t="shared" si="142"/>
        <v>7.3143000000000002</v>
      </c>
      <c r="AH47" s="1058">
        <f t="shared" si="142"/>
        <v>15.559189999999999</v>
      </c>
      <c r="AI47" s="1058">
        <f t="shared" si="142"/>
        <v>11.15775</v>
      </c>
      <c r="AJ47" s="1058">
        <f t="shared" si="142"/>
        <v>8.4592179999999999</v>
      </c>
      <c r="AK47" s="1058">
        <f t="shared" si="142"/>
        <v>7.5685399999999996</v>
      </c>
      <c r="AL47" s="1058">
        <f t="shared" si="142"/>
        <v>100.58695</v>
      </c>
      <c r="AM47" s="1058">
        <f t="shared" si="142"/>
        <v>8.0209100000000007</v>
      </c>
      <c r="AN47" s="1058">
        <f t="shared" si="142"/>
        <v>9.0402660000000008</v>
      </c>
      <c r="AO47" s="1058">
        <f t="shared" si="142"/>
        <v>8.8894099999999998</v>
      </c>
      <c r="AP47" s="1059">
        <f t="shared" si="142"/>
        <v>8.22288</v>
      </c>
      <c r="AQ47" s="64">
        <v>196.15882100000002</v>
      </c>
      <c r="AR47" s="1340">
        <v>10.975849999999999</v>
      </c>
      <c r="AS47" s="1340">
        <v>6.18804</v>
      </c>
      <c r="AT47" s="1340">
        <v>7.9767599999999996</v>
      </c>
      <c r="AU47" s="1340">
        <v>16.039549999999998</v>
      </c>
      <c r="AV47" s="1340">
        <v>7.5802899999999998</v>
      </c>
      <c r="AW47" s="1340">
        <v>8.1558100000000007</v>
      </c>
      <c r="AX47" s="1340">
        <v>6.9520499999999998</v>
      </c>
      <c r="AY47" s="1340">
        <v>96.475980000000007</v>
      </c>
      <c r="AZ47" s="1340">
        <v>7.2684800000000003</v>
      </c>
      <c r="BA47" s="1340">
        <v>8.2550910000000002</v>
      </c>
      <c r="BB47" s="1340">
        <v>8.0796200000000002</v>
      </c>
      <c r="BC47" s="1340">
        <v>12.2113</v>
      </c>
      <c r="BD47" s="64">
        <f t="shared" si="128"/>
        <v>193.87601900000001</v>
      </c>
      <c r="BE47" s="1340">
        <f>기타운영비!AS43</f>
        <v>8.8558400000000006</v>
      </c>
      <c r="BF47" s="1340">
        <f>기타운영비!AT43</f>
        <v>9.8330900000000003</v>
      </c>
      <c r="BG47" s="1340">
        <f>기타운영비!AU43</f>
        <v>7.2264600000000003</v>
      </c>
      <c r="BH47" s="1340">
        <f>기타운영비!AV43</f>
        <v>16.525362000000001</v>
      </c>
      <c r="BI47" s="1340">
        <f>기타운영비!AW43</f>
        <v>8.1939899999999994</v>
      </c>
      <c r="BJ47" s="1340">
        <f>기타운영비!AX43</f>
        <v>7.6582100000000004</v>
      </c>
      <c r="BK47" s="1340">
        <f>기타운영비!AY43</f>
        <v>6.9799699999999998</v>
      </c>
      <c r="BL47" s="1340">
        <f>기타운영비!AZ43</f>
        <v>95.802490000000006</v>
      </c>
      <c r="BM47" s="1340">
        <f>기타운영비!BA43</f>
        <v>6.8324100000000003</v>
      </c>
      <c r="BN47" s="1340">
        <f>기타운영비!BB43</f>
        <v>8.2867899999999999</v>
      </c>
      <c r="BO47" s="1340">
        <f>기타운영비!BC43</f>
        <v>8.0620250000000002</v>
      </c>
      <c r="BP47" s="1340">
        <f>기타운영비!BD43</f>
        <v>9.6193819999999999</v>
      </c>
      <c r="BQ47" s="64">
        <f t="shared" si="123"/>
        <v>233.32802800000002</v>
      </c>
      <c r="BR47" s="1781">
        <f>기타운영비!BF43</f>
        <v>10.385249999999999</v>
      </c>
      <c r="BS47" s="1781">
        <f>기타운영비!BG43</f>
        <v>6.5329100000000002</v>
      </c>
      <c r="BT47" s="1781">
        <f>기타운영비!BH43</f>
        <v>8.2549700000000001</v>
      </c>
      <c r="BU47" s="1781">
        <f>기타운영비!BI43</f>
        <v>18.072389999999999</v>
      </c>
      <c r="BV47" s="1781">
        <f>기타운영비!BJ43</f>
        <v>11.349360000000001</v>
      </c>
      <c r="BW47" s="1781">
        <f>기타운영비!BK43</f>
        <v>10.00121</v>
      </c>
      <c r="BX47" s="1781">
        <f>기타운영비!BL43</f>
        <v>11.129148000000001</v>
      </c>
      <c r="BY47" s="1781">
        <f>기타운영비!BM43</f>
        <v>105.71973199999999</v>
      </c>
      <c r="BZ47" s="1781">
        <f>기타운영비!BN43</f>
        <v>10.55264</v>
      </c>
      <c r="CA47" s="1781">
        <f>기타운영비!BO43</f>
        <v>14.507149999999999</v>
      </c>
      <c r="CB47" s="1781">
        <f>기타운영비!BP43</f>
        <v>15.281978000000001</v>
      </c>
      <c r="CC47" s="1782">
        <f>기타운영비!BQ43</f>
        <v>11.54129</v>
      </c>
      <c r="CD47" s="1710">
        <f t="shared" si="124"/>
        <v>241.69809099999998</v>
      </c>
      <c r="CE47" s="1930">
        <f>기타운영비!BS43</f>
        <v>17.11458</v>
      </c>
      <c r="CF47" s="1930">
        <f>기타운영비!BT43</f>
        <v>11.417199999999999</v>
      </c>
      <c r="CG47" s="1930">
        <f>기타운영비!BU43</f>
        <v>11.912979999999999</v>
      </c>
      <c r="CH47" s="1930">
        <f>기타운영비!BV43</f>
        <v>10.674939999999999</v>
      </c>
      <c r="CI47" s="1930">
        <f>기타운영비!BW43</f>
        <v>13.042776999999999</v>
      </c>
      <c r="CJ47" s="1930">
        <f>기타운영비!BX43</f>
        <v>11.700329999999999</v>
      </c>
      <c r="CK47" s="1930">
        <f>기타운영비!BY43</f>
        <v>11.11294</v>
      </c>
      <c r="CL47" s="1930">
        <f>기타운영비!BZ43</f>
        <v>15.553900000000001</v>
      </c>
      <c r="CM47" s="1930">
        <f>기타운영비!CA43</f>
        <v>98.789079999999998</v>
      </c>
      <c r="CN47" s="1930">
        <f>기타운영비!CB43</f>
        <v>13.603249</v>
      </c>
      <c r="CO47" s="1930">
        <f>기타운영비!CC43</f>
        <v>15.828279999999999</v>
      </c>
      <c r="CP47" s="1931">
        <f>기타운영비!CD43</f>
        <v>10.947835</v>
      </c>
      <c r="CQ47" s="2580">
        <f t="shared" si="125"/>
        <v>258.92561399999994</v>
      </c>
      <c r="CR47" s="2929">
        <f t="shared" ref="CR47:DC47" si="143">CR123+CR171</f>
        <v>13.243801166666664</v>
      </c>
      <c r="CS47" s="2929">
        <f t="shared" si="143"/>
        <v>13.243801166666664</v>
      </c>
      <c r="CT47" s="2929">
        <f t="shared" si="143"/>
        <v>13.243801166666664</v>
      </c>
      <c r="CU47" s="2929">
        <f t="shared" si="143"/>
        <v>13.243801166666664</v>
      </c>
      <c r="CV47" s="2929">
        <f t="shared" si="143"/>
        <v>13.243801166666664</v>
      </c>
      <c r="CW47" s="2929">
        <f t="shared" si="143"/>
        <v>13.243801166666664</v>
      </c>
      <c r="CX47" s="2929">
        <f t="shared" si="143"/>
        <v>13.243801166666664</v>
      </c>
      <c r="CY47" s="2930">
        <f t="shared" si="143"/>
        <v>113.24380116666666</v>
      </c>
      <c r="CZ47" s="2930">
        <f t="shared" si="143"/>
        <v>13.243801166666664</v>
      </c>
      <c r="DA47" s="2930">
        <f t="shared" si="143"/>
        <v>13.243801166666664</v>
      </c>
      <c r="DB47" s="2930">
        <f t="shared" si="143"/>
        <v>13.243801166666664</v>
      </c>
      <c r="DC47" s="2286">
        <f t="shared" si="143"/>
        <v>13.243801166666664</v>
      </c>
      <c r="DD47" s="2766"/>
      <c r="DE47" s="2587"/>
      <c r="DF47" s="2587"/>
      <c r="DG47" s="1913">
        <f t="shared" si="14"/>
        <v>0.20349091756417792</v>
      </c>
      <c r="DH47" s="1913">
        <f t="shared" si="15"/>
        <v>3.5872514209908557E-2</v>
      </c>
      <c r="DI47" s="1913">
        <f t="shared" si="16"/>
        <v>7.1277033793369693E-2</v>
      </c>
      <c r="DJ47" s="2968">
        <f t="shared" si="25"/>
        <v>39.452009000000004</v>
      </c>
      <c r="DK47" s="2968">
        <f t="shared" si="26"/>
        <v>8.3700629999999592</v>
      </c>
      <c r="DL47" s="2968">
        <f t="shared" si="17"/>
        <v>17.227522999999962</v>
      </c>
      <c r="DM47" s="2544"/>
      <c r="DN47" s="28"/>
      <c r="DO47" s="28"/>
      <c r="DP47" s="2603"/>
    </row>
    <row r="48" spans="2:120" ht="20.25" customHeight="1">
      <c r="B48" s="47" t="s">
        <v>91</v>
      </c>
      <c r="C48" s="41"/>
      <c r="D48" s="66"/>
      <c r="E48" s="1340"/>
      <c r="F48" s="1340"/>
      <c r="G48" s="1340"/>
      <c r="H48" s="1340"/>
      <c r="I48" s="1340"/>
      <c r="J48" s="1340"/>
      <c r="K48" s="1340"/>
      <c r="L48" s="1340"/>
      <c r="M48" s="1340"/>
      <c r="N48" s="1340"/>
      <c r="O48" s="1340"/>
      <c r="P48" s="1340"/>
      <c r="Q48" s="64">
        <f t="shared" si="74"/>
        <v>832.08382299999982</v>
      </c>
      <c r="R48" s="1340">
        <f t="shared" ref="R48:AP48" si="144">R124</f>
        <v>70.689469000000003</v>
      </c>
      <c r="S48" s="1340">
        <f t="shared" si="144"/>
        <v>71.844575000000006</v>
      </c>
      <c r="T48" s="1340">
        <f t="shared" si="144"/>
        <v>70.641704000000004</v>
      </c>
      <c r="U48" s="1340">
        <f t="shared" si="144"/>
        <v>64.720895999999996</v>
      </c>
      <c r="V48" s="1340">
        <f t="shared" si="144"/>
        <v>66.428392000000002</v>
      </c>
      <c r="W48" s="1340">
        <f t="shared" si="144"/>
        <v>69.767897000000005</v>
      </c>
      <c r="X48" s="1340">
        <f t="shared" si="144"/>
        <v>74.471566999999993</v>
      </c>
      <c r="Y48" s="1340">
        <f t="shared" si="144"/>
        <v>66.495339999999999</v>
      </c>
      <c r="Z48" s="1340">
        <f t="shared" si="144"/>
        <v>65.554509999999993</v>
      </c>
      <c r="AA48" s="1340">
        <f t="shared" si="144"/>
        <v>64.103891000000004</v>
      </c>
      <c r="AB48" s="1340">
        <f t="shared" si="144"/>
        <v>67.264770999999996</v>
      </c>
      <c r="AC48" s="1341">
        <f t="shared" si="144"/>
        <v>80.100810999999993</v>
      </c>
      <c r="AD48" s="1119">
        <v>918.38006400000006</v>
      </c>
      <c r="AE48" s="1058">
        <f t="shared" si="144"/>
        <v>74.633940999999993</v>
      </c>
      <c r="AF48" s="1058">
        <f t="shared" si="144"/>
        <v>71.166649000000007</v>
      </c>
      <c r="AG48" s="1058">
        <f t="shared" si="144"/>
        <v>75.755239000000003</v>
      </c>
      <c r="AH48" s="1058">
        <f t="shared" si="144"/>
        <v>72.459930999999997</v>
      </c>
      <c r="AI48" s="1058">
        <f t="shared" si="144"/>
        <v>73.461241999999999</v>
      </c>
      <c r="AJ48" s="1058">
        <f t="shared" si="144"/>
        <v>78.524807999999993</v>
      </c>
      <c r="AK48" s="1058">
        <f t="shared" si="144"/>
        <v>83.997309999999999</v>
      </c>
      <c r="AL48" s="1058">
        <f t="shared" si="144"/>
        <v>76.581008999999995</v>
      </c>
      <c r="AM48" s="1058">
        <f t="shared" si="144"/>
        <v>74.944796999999994</v>
      </c>
      <c r="AN48" s="1058">
        <f t="shared" si="144"/>
        <v>75.294245000000004</v>
      </c>
      <c r="AO48" s="1058">
        <f t="shared" si="144"/>
        <v>79.698428000000007</v>
      </c>
      <c r="AP48" s="1059">
        <f t="shared" si="144"/>
        <v>81.862465</v>
      </c>
      <c r="AQ48" s="64">
        <v>1007.4548179999999</v>
      </c>
      <c r="AR48" s="1340">
        <v>80.434579999999997</v>
      </c>
      <c r="AS48" s="1340">
        <v>77.890084999999999</v>
      </c>
      <c r="AT48" s="1340">
        <v>79.784092999999999</v>
      </c>
      <c r="AU48" s="1340">
        <v>79.307367999999997</v>
      </c>
      <c r="AV48" s="1340">
        <v>82.824701000000005</v>
      </c>
      <c r="AW48" s="1340">
        <v>84.973697999999999</v>
      </c>
      <c r="AX48" s="1340">
        <v>91.515000000000001</v>
      </c>
      <c r="AY48" s="1340">
        <v>83.909251999999995</v>
      </c>
      <c r="AZ48" s="1340">
        <v>89.576515999999998</v>
      </c>
      <c r="BA48" s="1340">
        <v>81.517099999999999</v>
      </c>
      <c r="BB48" s="1340">
        <v>87.540093999999996</v>
      </c>
      <c r="BC48" s="1340">
        <v>88.182331000000005</v>
      </c>
      <c r="BD48" s="64">
        <f t="shared" si="128"/>
        <v>1080.4895980000001</v>
      </c>
      <c r="BE48" s="1340">
        <f>기타운영비!AS44</f>
        <v>90.245945000000006</v>
      </c>
      <c r="BF48" s="1340">
        <f>기타운영비!AT44</f>
        <v>87.151295000000005</v>
      </c>
      <c r="BG48" s="1340">
        <f>기타운영비!AU44</f>
        <v>96.471896999999998</v>
      </c>
      <c r="BH48" s="1340">
        <f>기타운영비!AV44</f>
        <v>84.275239999999997</v>
      </c>
      <c r="BI48" s="1340">
        <f>기타운영비!AW44</f>
        <v>84.903396000000001</v>
      </c>
      <c r="BJ48" s="1340">
        <f>기타운영비!AX44</f>
        <v>86.525572999999994</v>
      </c>
      <c r="BK48" s="1340">
        <f>기타운영비!AY44</f>
        <v>91.178783999999993</v>
      </c>
      <c r="BL48" s="1340">
        <f>기타운영비!AZ44</f>
        <v>95.754007999999999</v>
      </c>
      <c r="BM48" s="1340">
        <f>기타운영비!BA44</f>
        <v>89.888686000000007</v>
      </c>
      <c r="BN48" s="1340">
        <f>기타운영비!BB44</f>
        <v>88.429378</v>
      </c>
      <c r="BO48" s="1340">
        <f>기타운영비!BC44</f>
        <v>88.864018000000002</v>
      </c>
      <c r="BP48" s="1340">
        <f>기타운영비!BD44</f>
        <v>96.801378</v>
      </c>
      <c r="BQ48" s="64">
        <f t="shared" si="123"/>
        <v>1164.996895</v>
      </c>
      <c r="BR48" s="1781">
        <f>기타운영비!BF44</f>
        <v>100.305092</v>
      </c>
      <c r="BS48" s="1781">
        <f>기타운영비!BG44</f>
        <v>90.885180000000005</v>
      </c>
      <c r="BT48" s="1781">
        <f>기타운영비!BH44</f>
        <v>92.488979999999998</v>
      </c>
      <c r="BU48" s="1781">
        <f>기타운영비!BI44</f>
        <v>89.238587999999993</v>
      </c>
      <c r="BV48" s="1781">
        <f>기타운영비!BJ44</f>
        <v>88.310844000000003</v>
      </c>
      <c r="BW48" s="1781">
        <f>기타운영비!BK44</f>
        <v>96.327995999999999</v>
      </c>
      <c r="BX48" s="1781">
        <f>기타운영비!BL44</f>
        <v>99.366741000000005</v>
      </c>
      <c r="BY48" s="1781">
        <f>기타운영비!BM44</f>
        <v>101.59487300000001</v>
      </c>
      <c r="BZ48" s="1781">
        <f>기타운영비!BN44</f>
        <v>93.022769999999994</v>
      </c>
      <c r="CA48" s="1781">
        <f>기타운영비!BO44</f>
        <v>95.830389999999994</v>
      </c>
      <c r="CB48" s="1781">
        <f>기타운영비!BP44</f>
        <v>109.13377800000001</v>
      </c>
      <c r="CC48" s="1782">
        <f>기타운영비!BQ44</f>
        <v>108.491663</v>
      </c>
      <c r="CD48" s="1710">
        <f t="shared" si="124"/>
        <v>1287.7631480000002</v>
      </c>
      <c r="CE48" s="1930">
        <f>기타운영비!BS44</f>
        <v>105.416647</v>
      </c>
      <c r="CF48" s="1930">
        <f>기타운영비!BT44</f>
        <v>112.32548</v>
      </c>
      <c r="CG48" s="1930">
        <f>기타운영비!BU44</f>
        <v>108.05552400000001</v>
      </c>
      <c r="CH48" s="1930">
        <f>기타운영비!BV44</f>
        <v>101.903395</v>
      </c>
      <c r="CI48" s="1930">
        <f>기타운영비!BW44</f>
        <v>101.405669</v>
      </c>
      <c r="CJ48" s="1930">
        <f>기타운영비!BX44</f>
        <v>99.325541000000001</v>
      </c>
      <c r="CK48" s="1930">
        <f>기타운영비!BY44</f>
        <v>111.09965699999999</v>
      </c>
      <c r="CL48" s="1930">
        <f>기타운영비!BZ44</f>
        <v>106.48882999999999</v>
      </c>
      <c r="CM48" s="1930">
        <f>기타운영비!CA44</f>
        <v>112.067145</v>
      </c>
      <c r="CN48" s="1930">
        <f>기타운영비!CB44</f>
        <v>99.567847</v>
      </c>
      <c r="CO48" s="1930">
        <f>기타운영비!CC44</f>
        <v>110.94134</v>
      </c>
      <c r="CP48" s="1931">
        <f>기타운영비!CD44</f>
        <v>119.166073</v>
      </c>
      <c r="CQ48" s="2580">
        <f t="shared" si="125"/>
        <v>1346.6629519444871</v>
      </c>
      <c r="CR48" s="2929">
        <f t="shared" ref="CR48:DC48" si="145">CR124+CR172</f>
        <v>112.02654604723412</v>
      </c>
      <c r="CS48" s="2929">
        <f t="shared" si="145"/>
        <v>111.62354764897862</v>
      </c>
      <c r="CT48" s="2929">
        <f t="shared" si="145"/>
        <v>111.46585262357429</v>
      </c>
      <c r="CU48" s="2929">
        <f t="shared" si="145"/>
        <v>111.28362726088484</v>
      </c>
      <c r="CV48" s="2929">
        <f t="shared" si="145"/>
        <v>111.72517333201696</v>
      </c>
      <c r="CW48" s="2929">
        <f t="shared" si="145"/>
        <v>111.76372100489357</v>
      </c>
      <c r="CX48" s="2929">
        <f t="shared" si="145"/>
        <v>112.62578714377059</v>
      </c>
      <c r="CY48" s="2930">
        <f t="shared" si="145"/>
        <v>112.66433481664718</v>
      </c>
      <c r="CZ48" s="2930">
        <f t="shared" si="145"/>
        <v>113.10588088777931</v>
      </c>
      <c r="DA48" s="2930">
        <f t="shared" si="145"/>
        <v>112.74143016240041</v>
      </c>
      <c r="DB48" s="2930">
        <f t="shared" si="145"/>
        <v>112.37697943702152</v>
      </c>
      <c r="DC48" s="2286">
        <f t="shared" si="145"/>
        <v>113.26007157928575</v>
      </c>
      <c r="DD48" s="2766"/>
      <c r="DE48" s="2587"/>
      <c r="DF48" s="2587"/>
      <c r="DG48" s="1913">
        <f t="shared" si="14"/>
        <v>7.8212041241696229E-2</v>
      </c>
      <c r="DH48" s="1913">
        <f t="shared" si="15"/>
        <v>0.1053790387999276</v>
      </c>
      <c r="DI48" s="1913">
        <f t="shared" si="16"/>
        <v>4.5738072281353181E-2</v>
      </c>
      <c r="DJ48" s="2968">
        <f t="shared" si="25"/>
        <v>84.50729699999988</v>
      </c>
      <c r="DK48" s="2968">
        <f t="shared" si="26"/>
        <v>122.76625300000023</v>
      </c>
      <c r="DL48" s="2968">
        <f t="shared" si="17"/>
        <v>58.899803944486848</v>
      </c>
      <c r="DM48" s="2544"/>
      <c r="DN48" s="28"/>
      <c r="DO48" s="28"/>
      <c r="DP48" s="2603"/>
    </row>
    <row r="49" spans="1:120" ht="20.25" customHeight="1">
      <c r="B49" s="47" t="s">
        <v>92</v>
      </c>
      <c r="C49" s="41"/>
      <c r="D49" s="66"/>
      <c r="E49" s="1340"/>
      <c r="F49" s="1340"/>
      <c r="G49" s="1340"/>
      <c r="H49" s="1340"/>
      <c r="I49" s="1340"/>
      <c r="J49" s="1340"/>
      <c r="K49" s="1340"/>
      <c r="L49" s="1340"/>
      <c r="M49" s="1340"/>
      <c r="N49" s="1340"/>
      <c r="O49" s="1340"/>
      <c r="P49" s="1340"/>
      <c r="Q49" s="64">
        <f t="shared" si="74"/>
        <v>119.72083300000001</v>
      </c>
      <c r="R49" s="1340">
        <f t="shared" ref="R49:AP49" si="146">R125</f>
        <v>14.969009</v>
      </c>
      <c r="S49" s="1340">
        <f t="shared" si="146"/>
        <v>12.045540000000001</v>
      </c>
      <c r="T49" s="1340">
        <f t="shared" si="146"/>
        <v>9.9604990000000004</v>
      </c>
      <c r="U49" s="1340">
        <f t="shared" si="146"/>
        <v>6.4630000000000001</v>
      </c>
      <c r="V49" s="1340">
        <f t="shared" si="146"/>
        <v>8.4376999999999995</v>
      </c>
      <c r="W49" s="1340">
        <f t="shared" si="146"/>
        <v>14.673814999999999</v>
      </c>
      <c r="X49" s="1340">
        <f t="shared" si="146"/>
        <v>12.2072</v>
      </c>
      <c r="Y49" s="1340">
        <f t="shared" si="146"/>
        <v>7.6589999999999998</v>
      </c>
      <c r="Z49" s="1340">
        <f t="shared" si="146"/>
        <v>5.9127999999999998</v>
      </c>
      <c r="AA49" s="1340">
        <f t="shared" si="146"/>
        <v>10.72517</v>
      </c>
      <c r="AB49" s="1340">
        <f t="shared" si="146"/>
        <v>10.8886</v>
      </c>
      <c r="AC49" s="1341">
        <f t="shared" si="146"/>
        <v>5.7785000000000002</v>
      </c>
      <c r="AD49" s="1119">
        <v>110.0504</v>
      </c>
      <c r="AE49" s="1058">
        <f t="shared" si="146"/>
        <v>8.6281400000000001</v>
      </c>
      <c r="AF49" s="1058">
        <f t="shared" si="146"/>
        <v>7.639456</v>
      </c>
      <c r="AG49" s="1058">
        <f t="shared" si="146"/>
        <v>14.320209999999999</v>
      </c>
      <c r="AH49" s="1058">
        <f t="shared" si="146"/>
        <v>10.833500000000001</v>
      </c>
      <c r="AI49" s="1058">
        <f t="shared" si="146"/>
        <v>9.2927800000000005</v>
      </c>
      <c r="AJ49" s="1058">
        <f t="shared" si="146"/>
        <v>12.785600000000001</v>
      </c>
      <c r="AK49" s="1058">
        <f t="shared" si="146"/>
        <v>8.5349430000000002</v>
      </c>
      <c r="AL49" s="1058">
        <f t="shared" si="146"/>
        <v>4.9768999999999997</v>
      </c>
      <c r="AM49" s="1058">
        <f t="shared" si="146"/>
        <v>5.0213999999999999</v>
      </c>
      <c r="AN49" s="1058">
        <f t="shared" si="146"/>
        <v>5.2656999999999998</v>
      </c>
      <c r="AO49" s="1058">
        <f t="shared" si="146"/>
        <v>12.644470999999999</v>
      </c>
      <c r="AP49" s="1059">
        <f t="shared" si="146"/>
        <v>10.1073</v>
      </c>
      <c r="AQ49" s="64">
        <v>203.299466</v>
      </c>
      <c r="AR49" s="1340">
        <v>11.042310000000001</v>
      </c>
      <c r="AS49" s="1340">
        <v>7.0422909999999996</v>
      </c>
      <c r="AT49" s="1340">
        <v>10.029773</v>
      </c>
      <c r="AU49" s="1340">
        <v>12.929114999999999</v>
      </c>
      <c r="AV49" s="1340">
        <v>21.566618999999999</v>
      </c>
      <c r="AW49" s="1340">
        <v>18.05621</v>
      </c>
      <c r="AX49" s="1340">
        <v>41.659131000000002</v>
      </c>
      <c r="AY49" s="1340">
        <v>11.48014</v>
      </c>
      <c r="AZ49" s="1340">
        <v>17.298487000000002</v>
      </c>
      <c r="BA49" s="1340">
        <v>11.2545</v>
      </c>
      <c r="BB49" s="1340">
        <v>22.404699999999998</v>
      </c>
      <c r="BC49" s="1340">
        <v>18.536190000000001</v>
      </c>
      <c r="BD49" s="64">
        <f t="shared" si="128"/>
        <v>210.56455100000002</v>
      </c>
      <c r="BE49" s="1340">
        <f>기타운영비!AS46</f>
        <v>17.90775</v>
      </c>
      <c r="BF49" s="1340">
        <f>기타운영비!AT46</f>
        <v>11.828809</v>
      </c>
      <c r="BG49" s="1340">
        <f>기타운영비!AU46</f>
        <v>17.011849999999999</v>
      </c>
      <c r="BH49" s="1340">
        <f>기타운영비!AV46</f>
        <v>15.713374999999999</v>
      </c>
      <c r="BI49" s="1340">
        <f>기타운영비!AW46</f>
        <v>13.756180000000001</v>
      </c>
      <c r="BJ49" s="1340">
        <f>기타운영비!AX46</f>
        <v>14.690020000000001</v>
      </c>
      <c r="BK49" s="1340">
        <f>기타운영비!AY46</f>
        <v>19.940860000000001</v>
      </c>
      <c r="BL49" s="1340">
        <f>기타운영비!AZ46</f>
        <v>15.399900000000001</v>
      </c>
      <c r="BM49" s="1340">
        <f>기타운영비!BA46</f>
        <v>19.53285</v>
      </c>
      <c r="BN49" s="1340">
        <f>기타운영비!BB46</f>
        <v>17.57375</v>
      </c>
      <c r="BO49" s="1340">
        <f>기타운영비!BC46</f>
        <v>19.549009000000002</v>
      </c>
      <c r="BP49" s="1340">
        <f>기타운영비!BD46</f>
        <v>27.660198000000001</v>
      </c>
      <c r="BQ49" s="64">
        <f t="shared" si="123"/>
        <v>408.28156499999994</v>
      </c>
      <c r="BR49" s="1781">
        <f>기타운영비!BF46</f>
        <v>14.33085</v>
      </c>
      <c r="BS49" s="1781">
        <f>기타운영비!BG46</f>
        <v>31.954281999999999</v>
      </c>
      <c r="BT49" s="1781">
        <f>기타운영비!BH46</f>
        <v>29.929148999999999</v>
      </c>
      <c r="BU49" s="1781">
        <f>기타운영비!BI46</f>
        <v>37.208734</v>
      </c>
      <c r="BV49" s="1781">
        <f>기타운영비!BJ46</f>
        <v>25.859484999999999</v>
      </c>
      <c r="BW49" s="1781">
        <f>기타운영비!BK46</f>
        <v>30.561703999999999</v>
      </c>
      <c r="BX49" s="1781">
        <f>기타운영비!BL46</f>
        <v>38.620444999999997</v>
      </c>
      <c r="BY49" s="1781">
        <f>기타운영비!BM46</f>
        <v>36.977829</v>
      </c>
      <c r="BZ49" s="1781">
        <f>기타운영비!BN46</f>
        <v>29.196179999999998</v>
      </c>
      <c r="CA49" s="1781">
        <f>기타운영비!BO46</f>
        <v>42.125852999999999</v>
      </c>
      <c r="CB49" s="1781">
        <f>기타운영비!BP46</f>
        <v>50.900826000000002</v>
      </c>
      <c r="CC49" s="1782">
        <f>기타운영비!BQ46</f>
        <v>40.616228</v>
      </c>
      <c r="CD49" s="1710">
        <f t="shared" si="124"/>
        <v>584.98419899999988</v>
      </c>
      <c r="CE49" s="1930">
        <f>기타운영비!BS46</f>
        <v>45.411704999999998</v>
      </c>
      <c r="CF49" s="1930">
        <f>기타운영비!BT46</f>
        <v>53.513151999999998</v>
      </c>
      <c r="CG49" s="1930">
        <f>기타운영비!BU46</f>
        <v>59.293056</v>
      </c>
      <c r="CH49" s="1930">
        <f>기타운영비!BV46</f>
        <v>53.227117999999997</v>
      </c>
      <c r="CI49" s="1930">
        <f>기타운영비!BW46</f>
        <v>40.721719</v>
      </c>
      <c r="CJ49" s="1930">
        <f>기타운영비!BX46</f>
        <v>54.730980000000002</v>
      </c>
      <c r="CK49" s="1930">
        <f>기타운영비!BY46</f>
        <v>51.206105999999998</v>
      </c>
      <c r="CL49" s="1930">
        <f>기타운영비!BZ46</f>
        <v>35.999037000000001</v>
      </c>
      <c r="CM49" s="1930">
        <f>기타운영비!CA46</f>
        <v>53.198766999999997</v>
      </c>
      <c r="CN49" s="1930">
        <f>기타운영비!CB46</f>
        <v>42.503084000000001</v>
      </c>
      <c r="CO49" s="1930">
        <f>기타운영비!CC46</f>
        <v>44.896455000000003</v>
      </c>
      <c r="CP49" s="1931">
        <f>기타운영비!CD46</f>
        <v>50.28302</v>
      </c>
      <c r="CQ49" s="2580">
        <f t="shared" si="125"/>
        <v>616.6097422075851</v>
      </c>
      <c r="CR49" s="2929">
        <f t="shared" ref="CR49:DC49" si="147">CR125+CR173</f>
        <v>50.545996432054537</v>
      </c>
      <c r="CS49" s="2929">
        <f t="shared" si="147"/>
        <v>51.364164925870654</v>
      </c>
      <c r="CT49" s="2929">
        <f t="shared" si="147"/>
        <v>51.293013466929139</v>
      </c>
      <c r="CU49" s="2929">
        <f t="shared" si="147"/>
        <v>51.210794003263381</v>
      </c>
      <c r="CV49" s="2929">
        <f t="shared" si="147"/>
        <v>51.410018088299637</v>
      </c>
      <c r="CW49" s="2929">
        <f t="shared" si="147"/>
        <v>51.427410667152003</v>
      </c>
      <c r="CX49" s="2929">
        <f t="shared" si="147"/>
        <v>51.816371976032315</v>
      </c>
      <c r="CY49" s="2930">
        <f t="shared" si="147"/>
        <v>51.833764554884681</v>
      </c>
      <c r="CZ49" s="2930">
        <f t="shared" si="147"/>
        <v>52.032988639920937</v>
      </c>
      <c r="DA49" s="2930">
        <f t="shared" si="147"/>
        <v>51.868549712589427</v>
      </c>
      <c r="DB49" s="2930">
        <f t="shared" si="147"/>
        <v>50.70411078525791</v>
      </c>
      <c r="DC49" s="2286">
        <f t="shared" si="147"/>
        <v>51.102558955330423</v>
      </c>
      <c r="DD49" s="2766"/>
      <c r="DE49" s="2587"/>
      <c r="DF49" s="2587"/>
      <c r="DG49" s="1913">
        <f t="shared" si="14"/>
        <v>0.93898528057555097</v>
      </c>
      <c r="DH49" s="1913">
        <f t="shared" si="15"/>
        <v>0.43279601419182367</v>
      </c>
      <c r="DI49" s="1913">
        <f t="shared" si="16"/>
        <v>5.4062217854170092E-2</v>
      </c>
      <c r="DJ49" s="2968">
        <f t="shared" si="25"/>
        <v>197.71701399999992</v>
      </c>
      <c r="DK49" s="2968">
        <f t="shared" si="26"/>
        <v>176.70263399999993</v>
      </c>
      <c r="DL49" s="2968">
        <f t="shared" si="17"/>
        <v>31.625543207585224</v>
      </c>
      <c r="DM49" s="2544"/>
      <c r="DN49" s="28"/>
      <c r="DO49" s="28"/>
    </row>
    <row r="50" spans="1:120" ht="20.25" customHeight="1">
      <c r="B50" s="47" t="s">
        <v>93</v>
      </c>
      <c r="C50" s="41"/>
      <c r="D50" s="66"/>
      <c r="E50" s="1340"/>
      <c r="F50" s="1340"/>
      <c r="G50" s="1340"/>
      <c r="H50" s="1340"/>
      <c r="I50" s="1340"/>
      <c r="J50" s="1340"/>
      <c r="K50" s="1340"/>
      <c r="L50" s="1340"/>
      <c r="M50" s="1340"/>
      <c r="N50" s="1340"/>
      <c r="O50" s="1340"/>
      <c r="P50" s="1340"/>
      <c r="Q50" s="64">
        <f t="shared" si="74"/>
        <v>3.4664160000000002</v>
      </c>
      <c r="R50" s="1340">
        <f t="shared" ref="R50:AP50" si="148">R126</f>
        <v>0.174654</v>
      </c>
      <c r="S50" s="1340">
        <f t="shared" si="148"/>
        <v>0.200345</v>
      </c>
      <c r="T50" s="1340">
        <f t="shared" si="148"/>
        <v>0.27954499999999999</v>
      </c>
      <c r="U50" s="1340">
        <f t="shared" si="148"/>
        <v>5.3090999999999999E-2</v>
      </c>
      <c r="V50" s="1340">
        <f t="shared" si="148"/>
        <v>0.16181899999999999</v>
      </c>
      <c r="W50" s="1340">
        <f t="shared" si="148"/>
        <v>0.19372700000000001</v>
      </c>
      <c r="X50" s="1340">
        <f t="shared" si="148"/>
        <v>6.4727000000000007E-2</v>
      </c>
      <c r="Y50" s="1340">
        <f t="shared" si="148"/>
        <v>4.7817999999999999E-2</v>
      </c>
      <c r="Z50" s="1340">
        <f t="shared" si="148"/>
        <v>0.06</v>
      </c>
      <c r="AA50" s="1340">
        <f t="shared" si="148"/>
        <v>0.17408199999999999</v>
      </c>
      <c r="AB50" s="1340">
        <f t="shared" si="148"/>
        <v>1.650163</v>
      </c>
      <c r="AC50" s="1341">
        <f t="shared" si="148"/>
        <v>0.406445</v>
      </c>
      <c r="AD50" s="1119">
        <v>2.9648170000000005</v>
      </c>
      <c r="AE50" s="1058">
        <f t="shared" si="148"/>
        <v>6.6764000000000004E-2</v>
      </c>
      <c r="AF50" s="1058">
        <f t="shared" si="148"/>
        <v>0</v>
      </c>
      <c r="AG50" s="1058">
        <f t="shared" si="148"/>
        <v>7.4545E-2</v>
      </c>
      <c r="AH50" s="1058">
        <f t="shared" si="148"/>
        <v>2.7817999999999999E-2</v>
      </c>
      <c r="AI50" s="1058">
        <f t="shared" si="148"/>
        <v>0.863182</v>
      </c>
      <c r="AJ50" s="1058">
        <f t="shared" si="148"/>
        <v>0.11233700000000001</v>
      </c>
      <c r="AK50" s="1058">
        <f t="shared" si="148"/>
        <v>0.29072700000000001</v>
      </c>
      <c r="AL50" s="1058">
        <f t="shared" si="148"/>
        <v>0.74210799999999999</v>
      </c>
      <c r="AM50" s="1058">
        <f t="shared" si="148"/>
        <v>0.13509099999999999</v>
      </c>
      <c r="AN50" s="1058">
        <f t="shared" si="148"/>
        <v>0.25715500000000002</v>
      </c>
      <c r="AO50" s="1058">
        <f t="shared" si="148"/>
        <v>0</v>
      </c>
      <c r="AP50" s="1059">
        <f t="shared" si="148"/>
        <v>0.39509</v>
      </c>
      <c r="AQ50" s="64">
        <v>4.0553160000000004</v>
      </c>
      <c r="AR50" s="1340">
        <v>0.13909099999999999</v>
      </c>
      <c r="AS50" s="1340">
        <v>0.10909099999999999</v>
      </c>
      <c r="AT50" s="1340">
        <v>0.183</v>
      </c>
      <c r="AU50" s="1340">
        <v>0</v>
      </c>
      <c r="AV50" s="1340">
        <v>2.5118230000000001</v>
      </c>
      <c r="AW50" s="1340">
        <v>0</v>
      </c>
      <c r="AX50" s="1340">
        <v>0</v>
      </c>
      <c r="AY50" s="1340">
        <v>0</v>
      </c>
      <c r="AZ50" s="1340">
        <v>0</v>
      </c>
      <c r="BA50" s="1340">
        <v>8.2955000000000001E-2</v>
      </c>
      <c r="BB50" s="1340">
        <v>2.9454999999999999E-2</v>
      </c>
      <c r="BC50" s="1340">
        <v>0.99990100000000004</v>
      </c>
      <c r="BD50" s="64">
        <f t="shared" si="128"/>
        <v>9.3871590000000005</v>
      </c>
      <c r="BE50" s="1340">
        <f>기타운영비!AS48</f>
        <v>0.184255</v>
      </c>
      <c r="BF50" s="1340">
        <f>기타운영비!AT48</f>
        <v>6.2728000000000006E-2</v>
      </c>
      <c r="BG50" s="1340">
        <f>기타운영비!AU48</f>
        <v>0</v>
      </c>
      <c r="BH50" s="1340">
        <f>기타운영비!AV48</f>
        <v>7.2728000000000001E-2</v>
      </c>
      <c r="BI50" s="1340">
        <f>기타운영비!AW48</f>
        <v>0</v>
      </c>
      <c r="BJ50" s="1340">
        <f>기타운영비!AX48</f>
        <v>0.66888199999999998</v>
      </c>
      <c r="BK50" s="1340">
        <f>기타운영비!AY48</f>
        <v>0</v>
      </c>
      <c r="BL50" s="1340">
        <f>기타운영비!AZ48</f>
        <v>1.4265000000000001</v>
      </c>
      <c r="BM50" s="1340">
        <f>기타운영비!BA48</f>
        <v>6.6147280000000004</v>
      </c>
      <c r="BN50" s="1340">
        <f>기타운영비!BB48</f>
        <v>0.18110999999999999</v>
      </c>
      <c r="BO50" s="1340">
        <f>기타운영비!BC48</f>
        <v>0</v>
      </c>
      <c r="BP50" s="1340">
        <f>기타운영비!BD48</f>
        <v>0.176228</v>
      </c>
      <c r="BQ50" s="64">
        <f t="shared" si="123"/>
        <v>1.1858469999999999</v>
      </c>
      <c r="BR50" s="1781">
        <f>기타운영비!BF48</f>
        <v>0.13421</v>
      </c>
      <c r="BS50" s="1781">
        <f>기타운영비!BG48</f>
        <v>0</v>
      </c>
      <c r="BT50" s="1781">
        <f>기타운영비!BH48</f>
        <v>0</v>
      </c>
      <c r="BU50" s="1781">
        <f>기타운영비!BI48</f>
        <v>0</v>
      </c>
      <c r="BV50" s="1781">
        <f>기타운영비!BJ48</f>
        <v>0.58909100000000003</v>
      </c>
      <c r="BW50" s="1781">
        <f>기타운영비!BK48</f>
        <v>0</v>
      </c>
      <c r="BX50" s="1781">
        <f>기타운영비!BL48</f>
        <v>0</v>
      </c>
      <c r="BY50" s="1781">
        <f>기타운영비!BM48</f>
        <v>0.19091</v>
      </c>
      <c r="BZ50" s="1781">
        <f>기타운영비!BN48</f>
        <v>0</v>
      </c>
      <c r="CA50" s="1781">
        <f>기타운영비!BO48</f>
        <v>0</v>
      </c>
      <c r="CB50" s="1781">
        <f>기타운영비!BP48</f>
        <v>0</v>
      </c>
      <c r="CC50" s="1782">
        <f>기타운영비!BQ48</f>
        <v>0.27163599999999999</v>
      </c>
      <c r="CD50" s="1710">
        <f t="shared" si="124"/>
        <v>3.2498750000000003</v>
      </c>
      <c r="CE50" s="1930">
        <f>기타운영비!BS48</f>
        <v>0.23097200000000001</v>
      </c>
      <c r="CF50" s="1930">
        <f>기타운영비!BT48</f>
        <v>0.34778300000000001</v>
      </c>
      <c r="CG50" s="1930">
        <f>기타운영비!BU48</f>
        <v>0.141455</v>
      </c>
      <c r="CH50" s="1930">
        <f>기타운영비!BV48</f>
        <v>0.1573</v>
      </c>
      <c r="CI50" s="1930">
        <f>기타운영비!BW48</f>
        <v>0.105546</v>
      </c>
      <c r="CJ50" s="1930">
        <f>기타운영비!BX48</f>
        <v>2.0455000000000001E-2</v>
      </c>
      <c r="CK50" s="1930">
        <f>기타운영비!BY48</f>
        <v>0</v>
      </c>
      <c r="CL50" s="1930">
        <f>기타운영비!BZ48</f>
        <v>0.35509099999999999</v>
      </c>
      <c r="CM50" s="1930">
        <f>기타운영비!CA48</f>
        <v>0</v>
      </c>
      <c r="CN50" s="1930">
        <f>기타운영비!CB48</f>
        <v>0.60709100000000005</v>
      </c>
      <c r="CO50" s="1930">
        <f>기타운영비!CC48</f>
        <v>0</v>
      </c>
      <c r="CP50" s="1931">
        <f>기타운영비!CD48</f>
        <v>1.2841819999999999</v>
      </c>
      <c r="CQ50" s="2580">
        <f t="shared" si="125"/>
        <v>3.9963456583660477</v>
      </c>
      <c r="CR50" s="2929">
        <f t="shared" ref="CR50:DC50" si="149">CR126+CR174</f>
        <v>0.26512575400010169</v>
      </c>
      <c r="CS50" s="2929">
        <f t="shared" si="149"/>
        <v>0.26417200457223605</v>
      </c>
      <c r="CT50" s="2929">
        <f t="shared" si="149"/>
        <v>0.26379879827437552</v>
      </c>
      <c r="CU50" s="2929">
        <f t="shared" si="149"/>
        <v>0.26336753766351451</v>
      </c>
      <c r="CV50" s="2929">
        <f t="shared" si="149"/>
        <v>0.26441251529752385</v>
      </c>
      <c r="CW50" s="2929">
        <f t="shared" si="149"/>
        <v>0.26450374350366751</v>
      </c>
      <c r="CX50" s="2929">
        <f t="shared" si="149"/>
        <v>0.26654393793197168</v>
      </c>
      <c r="CY50" s="2930">
        <f t="shared" si="149"/>
        <v>0.26663516613811533</v>
      </c>
      <c r="CZ50" s="2930">
        <f t="shared" si="149"/>
        <v>0.26768014377212479</v>
      </c>
      <c r="DA50" s="2930">
        <f t="shared" si="149"/>
        <v>0.2668176225504027</v>
      </c>
      <c r="DB50" s="2930">
        <f t="shared" si="149"/>
        <v>0.26595510132868067</v>
      </c>
      <c r="DC50" s="2286">
        <f t="shared" si="149"/>
        <v>1.0773333333333335</v>
      </c>
      <c r="DD50" s="2766"/>
      <c r="DE50" s="2587"/>
      <c r="DF50" s="2587"/>
      <c r="DG50" s="1913"/>
      <c r="DH50" s="1913"/>
      <c r="DI50" s="1913">
        <f t="shared" si="16"/>
        <v>0.22969211380931487</v>
      </c>
      <c r="DJ50" s="2968">
        <f t="shared" si="25"/>
        <v>-8.2013120000000015</v>
      </c>
      <c r="DK50" s="2968">
        <f t="shared" si="26"/>
        <v>2.0640280000000004</v>
      </c>
      <c r="DL50" s="2968">
        <f t="shared" si="17"/>
        <v>0.74647065836604742</v>
      </c>
      <c r="DM50" s="2544"/>
      <c r="DN50" s="28"/>
      <c r="DO50" s="28"/>
      <c r="DP50" s="2603"/>
    </row>
    <row r="51" spans="1:120">
      <c r="B51" s="48" t="s">
        <v>94</v>
      </c>
      <c r="C51" s="44"/>
      <c r="D51" s="45"/>
      <c r="E51" s="1346"/>
      <c r="F51" s="1346"/>
      <c r="G51" s="1346"/>
      <c r="H51" s="1346"/>
      <c r="I51" s="1346"/>
      <c r="J51" s="1346"/>
      <c r="K51" s="1346"/>
      <c r="L51" s="1346"/>
      <c r="M51" s="1346"/>
      <c r="N51" s="1346"/>
      <c r="O51" s="1346"/>
      <c r="P51" s="1346"/>
      <c r="Q51" s="1349">
        <f t="shared" si="74"/>
        <v>0</v>
      </c>
      <c r="R51" s="1346">
        <f t="shared" ref="R51:AP51" si="150">R127</f>
        <v>0</v>
      </c>
      <c r="S51" s="1346">
        <f t="shared" si="150"/>
        <v>0</v>
      </c>
      <c r="T51" s="1346">
        <f t="shared" si="150"/>
        <v>0</v>
      </c>
      <c r="U51" s="1346">
        <f t="shared" si="150"/>
        <v>0</v>
      </c>
      <c r="V51" s="1346">
        <f t="shared" si="150"/>
        <v>0</v>
      </c>
      <c r="W51" s="1346">
        <f t="shared" si="150"/>
        <v>0</v>
      </c>
      <c r="X51" s="1346">
        <f t="shared" si="150"/>
        <v>0</v>
      </c>
      <c r="Y51" s="1346">
        <f t="shared" si="150"/>
        <v>0</v>
      </c>
      <c r="Z51" s="1346">
        <f t="shared" si="150"/>
        <v>0</v>
      </c>
      <c r="AA51" s="1346">
        <f t="shared" si="150"/>
        <v>0</v>
      </c>
      <c r="AB51" s="1346">
        <f t="shared" si="150"/>
        <v>0</v>
      </c>
      <c r="AC51" s="1350">
        <f t="shared" si="150"/>
        <v>0</v>
      </c>
      <c r="AD51" s="1501">
        <v>0</v>
      </c>
      <c r="AE51" s="1062">
        <f t="shared" si="150"/>
        <v>0</v>
      </c>
      <c r="AF51" s="1062">
        <f t="shared" si="150"/>
        <v>0</v>
      </c>
      <c r="AG51" s="1062">
        <f t="shared" si="150"/>
        <v>0</v>
      </c>
      <c r="AH51" s="1062">
        <f t="shared" si="150"/>
        <v>0</v>
      </c>
      <c r="AI51" s="1062">
        <f t="shared" si="150"/>
        <v>0</v>
      </c>
      <c r="AJ51" s="1062">
        <f t="shared" si="150"/>
        <v>0</v>
      </c>
      <c r="AK51" s="1062">
        <f t="shared" si="150"/>
        <v>0</v>
      </c>
      <c r="AL51" s="1062">
        <f t="shared" si="150"/>
        <v>0</v>
      </c>
      <c r="AM51" s="1062">
        <f t="shared" si="150"/>
        <v>0</v>
      </c>
      <c r="AN51" s="1062">
        <f t="shared" si="150"/>
        <v>0</v>
      </c>
      <c r="AO51" s="1062">
        <f t="shared" si="150"/>
        <v>0</v>
      </c>
      <c r="AP51" s="1063">
        <f t="shared" si="150"/>
        <v>0</v>
      </c>
      <c r="AQ51" s="1349">
        <v>0</v>
      </c>
      <c r="AR51" s="1346">
        <v>0</v>
      </c>
      <c r="AS51" s="1346">
        <v>0</v>
      </c>
      <c r="AT51" s="1346">
        <v>0</v>
      </c>
      <c r="AU51" s="1346">
        <v>0</v>
      </c>
      <c r="AV51" s="1346">
        <v>0</v>
      </c>
      <c r="AW51" s="1346">
        <v>0</v>
      </c>
      <c r="AX51" s="1346">
        <v>0</v>
      </c>
      <c r="AY51" s="1346">
        <v>0</v>
      </c>
      <c r="AZ51" s="1346">
        <v>0</v>
      </c>
      <c r="BA51" s="1346">
        <v>0</v>
      </c>
      <c r="BB51" s="1346">
        <v>0</v>
      </c>
      <c r="BC51" s="1346">
        <v>0</v>
      </c>
      <c r="BD51" s="1349">
        <f t="shared" si="128"/>
        <v>0</v>
      </c>
      <c r="BE51" s="1346">
        <f>기타운영비!AS50</f>
        <v>0</v>
      </c>
      <c r="BF51" s="1346">
        <f>기타운영비!AT50</f>
        <v>0</v>
      </c>
      <c r="BG51" s="1346">
        <f>기타운영비!AU50</f>
        <v>0</v>
      </c>
      <c r="BH51" s="1346">
        <f>기타운영비!AV50</f>
        <v>0</v>
      </c>
      <c r="BI51" s="1346">
        <f>기타운영비!AW50</f>
        <v>0</v>
      </c>
      <c r="BJ51" s="1346">
        <f>기타운영비!AX50</f>
        <v>0</v>
      </c>
      <c r="BK51" s="1346">
        <f>기타운영비!AY50</f>
        <v>0</v>
      </c>
      <c r="BL51" s="1346">
        <f>기타운영비!AZ50</f>
        <v>0</v>
      </c>
      <c r="BM51" s="1346">
        <f>기타운영비!BA50</f>
        <v>0</v>
      </c>
      <c r="BN51" s="1346">
        <f>기타운영비!BB50</f>
        <v>0</v>
      </c>
      <c r="BO51" s="1346">
        <f>기타운영비!BC50</f>
        <v>0</v>
      </c>
      <c r="BP51" s="1346">
        <f>기타운영비!BD50</f>
        <v>0</v>
      </c>
      <c r="BQ51" s="1349">
        <f t="shared" si="123"/>
        <v>0</v>
      </c>
      <c r="BR51" s="1920">
        <f>기타운영비!BF50</f>
        <v>0</v>
      </c>
      <c r="BS51" s="1920">
        <f>기타운영비!BG50</f>
        <v>0</v>
      </c>
      <c r="BT51" s="1920">
        <f>기타운영비!BH50</f>
        <v>0</v>
      </c>
      <c r="BU51" s="1920">
        <f>기타운영비!BI50</f>
        <v>0</v>
      </c>
      <c r="BV51" s="1920">
        <f>기타운영비!BJ50</f>
        <v>0</v>
      </c>
      <c r="BW51" s="1920">
        <f>기타운영비!BK50</f>
        <v>0</v>
      </c>
      <c r="BX51" s="1920">
        <f>기타운영비!BL50</f>
        <v>0</v>
      </c>
      <c r="BY51" s="1920">
        <f>기타운영비!BM50</f>
        <v>0</v>
      </c>
      <c r="BZ51" s="1920">
        <f>기타운영비!BN50</f>
        <v>0</v>
      </c>
      <c r="CA51" s="1920">
        <f>기타운영비!BO50</f>
        <v>0</v>
      </c>
      <c r="CB51" s="1920">
        <f>기타운영비!BP50</f>
        <v>0</v>
      </c>
      <c r="CC51" s="1921">
        <f>기타운영비!BQ50</f>
        <v>0</v>
      </c>
      <c r="CD51" s="1349">
        <f t="shared" si="124"/>
        <v>0</v>
      </c>
      <c r="CE51" s="2851">
        <f>기타운영비!BS50</f>
        <v>0</v>
      </c>
      <c r="CF51" s="2851">
        <f>기타운영비!BT50</f>
        <v>0</v>
      </c>
      <c r="CG51" s="2851">
        <f>기타운영비!BU50</f>
        <v>0</v>
      </c>
      <c r="CH51" s="2851">
        <f>기타운영비!BV50</f>
        <v>0</v>
      </c>
      <c r="CI51" s="2851">
        <f>기타운영비!BW50</f>
        <v>0</v>
      </c>
      <c r="CJ51" s="2851">
        <f>기타운영비!BX50</f>
        <v>0</v>
      </c>
      <c r="CK51" s="2851">
        <f>기타운영비!BY50</f>
        <v>0</v>
      </c>
      <c r="CL51" s="2851">
        <f>기타운영비!BZ50</f>
        <v>0</v>
      </c>
      <c r="CM51" s="2851">
        <f>기타운영비!CA50</f>
        <v>0</v>
      </c>
      <c r="CN51" s="2851">
        <f>기타운영비!CB50</f>
        <v>0</v>
      </c>
      <c r="CO51" s="2851">
        <f>기타운영비!CC50</f>
        <v>0</v>
      </c>
      <c r="CP51" s="2878">
        <f>기타운영비!CD50</f>
        <v>0</v>
      </c>
      <c r="CQ51" s="2581">
        <f t="shared" si="125"/>
        <v>0</v>
      </c>
      <c r="CR51" s="2933">
        <f t="shared" ref="CR51:DC51" si="151">CR127+CR175</f>
        <v>0</v>
      </c>
      <c r="CS51" s="2933">
        <f t="shared" si="151"/>
        <v>0</v>
      </c>
      <c r="CT51" s="2933">
        <f t="shared" si="151"/>
        <v>0</v>
      </c>
      <c r="CU51" s="2933">
        <f t="shared" si="151"/>
        <v>0</v>
      </c>
      <c r="CV51" s="2933">
        <f t="shared" si="151"/>
        <v>0</v>
      </c>
      <c r="CW51" s="2933">
        <f t="shared" si="151"/>
        <v>0</v>
      </c>
      <c r="CX51" s="2933">
        <f t="shared" si="151"/>
        <v>0</v>
      </c>
      <c r="CY51" s="2015">
        <f t="shared" si="151"/>
        <v>0</v>
      </c>
      <c r="CZ51" s="2015">
        <f t="shared" si="151"/>
        <v>0</v>
      </c>
      <c r="DA51" s="2015">
        <f t="shared" si="151"/>
        <v>0</v>
      </c>
      <c r="DB51" s="2015">
        <f t="shared" si="151"/>
        <v>0</v>
      </c>
      <c r="DC51" s="2288">
        <f t="shared" si="151"/>
        <v>0</v>
      </c>
      <c r="DD51" s="2766"/>
      <c r="DE51" s="2587"/>
      <c r="DF51" s="2587"/>
      <c r="DG51" s="1913"/>
      <c r="DH51" s="1913"/>
      <c r="DI51" s="1913"/>
      <c r="DJ51" s="2968">
        <f t="shared" si="25"/>
        <v>0</v>
      </c>
      <c r="DK51" s="2971">
        <f t="shared" si="26"/>
        <v>0</v>
      </c>
      <c r="DL51" s="2971">
        <f t="shared" si="17"/>
        <v>0</v>
      </c>
      <c r="DM51" s="2309"/>
      <c r="DN51" s="28"/>
      <c r="DO51" s="28"/>
    </row>
    <row r="52" spans="1:120">
      <c r="A52" s="1327"/>
      <c r="B52" s="30" t="s">
        <v>95</v>
      </c>
      <c r="C52" s="31"/>
      <c r="D52" s="32"/>
      <c r="E52" s="417"/>
      <c r="F52" s="417"/>
      <c r="G52" s="417"/>
      <c r="H52" s="417"/>
      <c r="I52" s="417"/>
      <c r="J52" s="417"/>
      <c r="K52" s="417"/>
      <c r="L52" s="417"/>
      <c r="M52" s="417"/>
      <c r="N52" s="417"/>
      <c r="O52" s="417"/>
      <c r="P52" s="417"/>
      <c r="Q52" s="1031">
        <f t="shared" si="74"/>
        <v>1726.2868404545879</v>
      </c>
      <c r="R52" s="417">
        <f t="shared" ref="R52:AP52" si="152">R128</f>
        <v>-541.72646099999838</v>
      </c>
      <c r="S52" s="417">
        <f t="shared" si="152"/>
        <v>717.5286959999994</v>
      </c>
      <c r="T52" s="417">
        <f t="shared" si="152"/>
        <v>-586.03550700001142</v>
      </c>
      <c r="U52" s="417">
        <f t="shared" si="152"/>
        <v>1041.5637670000069</v>
      </c>
      <c r="V52" s="417">
        <f t="shared" si="152"/>
        <v>1027.3542820000057</v>
      </c>
      <c r="W52" s="417">
        <f t="shared" si="152"/>
        <v>-930.41912199999933</v>
      </c>
      <c r="X52" s="417">
        <f t="shared" si="152"/>
        <v>796.09129700000631</v>
      </c>
      <c r="Y52" s="417">
        <f t="shared" si="152"/>
        <v>2023.4601350000048</v>
      </c>
      <c r="Z52" s="417">
        <f t="shared" si="152"/>
        <v>-960.26562199999535</v>
      </c>
      <c r="AA52" s="417">
        <f t="shared" si="152"/>
        <v>2106.9216299999971</v>
      </c>
      <c r="AB52" s="417">
        <f t="shared" si="152"/>
        <v>1137.6866654545465</v>
      </c>
      <c r="AC52" s="1036">
        <f t="shared" si="152"/>
        <v>-4105.872919999998</v>
      </c>
      <c r="AD52" s="1498">
        <f>AD19-AD20</f>
        <v>4522.6212950000481</v>
      </c>
      <c r="AE52" s="1052">
        <f t="shared" si="152"/>
        <v>-411.27690500000608</v>
      </c>
      <c r="AF52" s="1052">
        <f t="shared" si="152"/>
        <v>510.90377199999057</v>
      </c>
      <c r="AG52" s="1052">
        <f t="shared" si="152"/>
        <v>733.60841000000801</v>
      </c>
      <c r="AH52" s="1052">
        <f t="shared" si="152"/>
        <v>208.1002729999982</v>
      </c>
      <c r="AI52" s="1052">
        <f t="shared" si="152"/>
        <v>779.67246900000464</v>
      </c>
      <c r="AJ52" s="1052">
        <f t="shared" si="152"/>
        <v>717.97615099999894</v>
      </c>
      <c r="AK52" s="1052">
        <f t="shared" si="152"/>
        <v>398.89343700000063</v>
      </c>
      <c r="AL52" s="1052">
        <f t="shared" si="152"/>
        <v>750.0731899999937</v>
      </c>
      <c r="AM52" s="1052">
        <f t="shared" si="152"/>
        <v>310.19175600000017</v>
      </c>
      <c r="AN52" s="1052">
        <f t="shared" si="152"/>
        <v>462.89976699999897</v>
      </c>
      <c r="AO52" s="1052">
        <f t="shared" si="152"/>
        <v>212.36780199999703</v>
      </c>
      <c r="AP52" s="1053">
        <f t="shared" si="152"/>
        <v>-150.7888269999894</v>
      </c>
      <c r="AQ52" s="1031">
        <v>7597.8199809999987</v>
      </c>
      <c r="AR52" s="1344">
        <v>299.69438999999693</v>
      </c>
      <c r="AS52" s="417">
        <v>824.12659700001495</v>
      </c>
      <c r="AT52" s="417">
        <v>2350.1746969999949</v>
      </c>
      <c r="AU52" s="417">
        <v>744.39980499999729</v>
      </c>
      <c r="AV52" s="417">
        <v>1968.8712779999951</v>
      </c>
      <c r="AW52" s="417">
        <v>2246.7643760000028</v>
      </c>
      <c r="AX52" s="417">
        <v>543.37288500000432</v>
      </c>
      <c r="AY52" s="417">
        <v>1043.3726100000094</v>
      </c>
      <c r="AZ52" s="417">
        <v>198.65060499999163</v>
      </c>
      <c r="BA52" s="417">
        <v>1466.6006839999936</v>
      </c>
      <c r="BB52" s="417">
        <v>-3004.0506180000048</v>
      </c>
      <c r="BC52" s="417">
        <v>-1084.1573279999975</v>
      </c>
      <c r="BD52" s="1031">
        <f>BD19-BD20</f>
        <v>9046.6820910000242</v>
      </c>
      <c r="BE52" s="417">
        <f>BE19-BE20</f>
        <v>261.41413100000136</v>
      </c>
      <c r="BF52" s="417">
        <f t="shared" ref="BF52:BP52" si="153">BF19-BF20</f>
        <v>1237.289910999998</v>
      </c>
      <c r="BG52" s="417">
        <f t="shared" si="153"/>
        <v>1135.4914839999983</v>
      </c>
      <c r="BH52" s="417">
        <f t="shared" si="153"/>
        <v>1036.3979950000048</v>
      </c>
      <c r="BI52" s="417">
        <f t="shared" si="153"/>
        <v>1650.4988500000018</v>
      </c>
      <c r="BJ52" s="417">
        <f t="shared" si="153"/>
        <v>1331.1008820000025</v>
      </c>
      <c r="BK52" s="417">
        <f t="shared" si="153"/>
        <v>786.40986700000576</v>
      </c>
      <c r="BL52" s="417">
        <f t="shared" si="153"/>
        <v>3493.9480539999931</v>
      </c>
      <c r="BM52" s="417">
        <f t="shared" si="153"/>
        <v>211.25077200000305</v>
      </c>
      <c r="BN52" s="417">
        <f t="shared" si="153"/>
        <v>2366.2705450000067</v>
      </c>
      <c r="BO52" s="417">
        <f t="shared" si="153"/>
        <v>-2967.5148769999942</v>
      </c>
      <c r="BP52" s="417">
        <f t="shared" si="153"/>
        <v>-1495.8755230000097</v>
      </c>
      <c r="BQ52" s="1031">
        <f>SUM(BR52:CC52)</f>
        <v>14469.036113999999</v>
      </c>
      <c r="BR52" s="417">
        <f t="shared" ref="BR52:CC52" si="154">BR19-BR20</f>
        <v>1646.6671010000136</v>
      </c>
      <c r="BS52" s="417">
        <f t="shared" si="154"/>
        <v>1688.1195770000049</v>
      </c>
      <c r="BT52" s="417">
        <f t="shared" si="154"/>
        <v>3262.5952280000001</v>
      </c>
      <c r="BU52" s="417">
        <f t="shared" si="154"/>
        <v>2737.3358809999991</v>
      </c>
      <c r="BV52" s="417">
        <f t="shared" si="154"/>
        <v>1570.0973959999974</v>
      </c>
      <c r="BW52" s="417">
        <f t="shared" si="154"/>
        <v>99.110638000000108</v>
      </c>
      <c r="BX52" s="417">
        <f t="shared" si="154"/>
        <v>2113.2214239999994</v>
      </c>
      <c r="BY52" s="417">
        <f t="shared" si="154"/>
        <v>362.5374069999998</v>
      </c>
      <c r="BZ52" s="417">
        <f t="shared" si="154"/>
        <v>1803.7906030000049</v>
      </c>
      <c r="CA52" s="417">
        <f t="shared" si="154"/>
        <v>-162.38108400001511</v>
      </c>
      <c r="CB52" s="417">
        <f t="shared" si="154"/>
        <v>203.38100099999792</v>
      </c>
      <c r="CC52" s="1334">
        <f t="shared" si="154"/>
        <v>-855.43905800000357</v>
      </c>
      <c r="CD52" s="1031">
        <f>SUM(CE52:CP52)</f>
        <v>16341.415247999987</v>
      </c>
      <c r="CE52" s="1708">
        <f t="shared" ref="CE52:DC52" si="155">CE19-CE20</f>
        <v>-397.7780989999992</v>
      </c>
      <c r="CF52" s="1708">
        <f t="shared" si="155"/>
        <v>4664.2093619999978</v>
      </c>
      <c r="CG52" s="1708">
        <f t="shared" si="155"/>
        <v>2015.2693189999991</v>
      </c>
      <c r="CH52" s="1708">
        <f t="shared" si="155"/>
        <v>2468.7534029999988</v>
      </c>
      <c r="CI52" s="1708">
        <f t="shared" si="155"/>
        <v>3421.4238730000034</v>
      </c>
      <c r="CJ52" s="1708">
        <f t="shared" si="155"/>
        <v>2501.195803999999</v>
      </c>
      <c r="CK52" s="1708">
        <f t="shared" si="155"/>
        <v>4143.1333010000017</v>
      </c>
      <c r="CL52" s="1708">
        <f t="shared" si="155"/>
        <v>322.29067299999588</v>
      </c>
      <c r="CM52" s="1708">
        <f t="shared" si="155"/>
        <v>2044.8268369999932</v>
      </c>
      <c r="CN52" s="1708">
        <f t="shared" si="155"/>
        <v>-1830.6896800000031</v>
      </c>
      <c r="CO52" s="1708">
        <f t="shared" si="155"/>
        <v>-824.87235299998792</v>
      </c>
      <c r="CP52" s="1334">
        <f t="shared" si="155"/>
        <v>-2186.347192000012</v>
      </c>
      <c r="CQ52" s="2575">
        <f t="shared" si="155"/>
        <v>17151.000000000291</v>
      </c>
      <c r="CR52" s="1029">
        <f>CR19-CR20</f>
        <v>2100.0372654402672</v>
      </c>
      <c r="CS52" s="1029">
        <f>CS19-CS20</f>
        <v>1736.172244739646</v>
      </c>
      <c r="CT52" s="1029">
        <f>CT19-CT20</f>
        <v>3906.3791306185449</v>
      </c>
      <c r="CU52" s="1029">
        <f>CU19-CU20</f>
        <v>2330.899753879472</v>
      </c>
      <c r="CV52" s="1029">
        <f>CV19-CV20</f>
        <v>2275.5780476855471</v>
      </c>
      <c r="CW52" s="1029">
        <f t="shared" ref="CW52" si="156">CW19-CW20</f>
        <v>1555.7975649974542</v>
      </c>
      <c r="CX52" s="1029">
        <f t="shared" si="155"/>
        <v>4194.6394089068053</v>
      </c>
      <c r="CY52" s="1708">
        <f t="shared" si="155"/>
        <v>1664.3568279499596</v>
      </c>
      <c r="CZ52" s="1708">
        <f t="shared" si="155"/>
        <v>327.69467571576752</v>
      </c>
      <c r="DA52" s="1708">
        <f t="shared" si="155"/>
        <v>1501.4303173987355</v>
      </c>
      <c r="DB52" s="1708">
        <f t="shared" si="155"/>
        <v>-611.76297286999397</v>
      </c>
      <c r="DC52" s="1334">
        <f t="shared" si="155"/>
        <v>-3830.2222644619251</v>
      </c>
      <c r="DD52" s="2952"/>
      <c r="DE52" s="2989"/>
      <c r="DF52" s="2989"/>
      <c r="DG52" s="2972"/>
      <c r="DH52" s="1913">
        <f>CD52/BQ52-1</f>
        <v>0.12940593410975776</v>
      </c>
      <c r="DI52" s="1913">
        <f>CQ52/CD52-1</f>
        <v>4.9541899505882059E-2</v>
      </c>
      <c r="DJ52" s="2968">
        <f t="shared" si="25"/>
        <v>5422.3540229999744</v>
      </c>
      <c r="DK52" s="2971">
        <f t="shared" si="26"/>
        <v>1872.379133999988</v>
      </c>
      <c r="DL52" s="2971">
        <f t="shared" si="17"/>
        <v>809.58475200030443</v>
      </c>
      <c r="DM52" s="2309"/>
      <c r="DN52" s="28"/>
      <c r="DO52" s="28"/>
    </row>
    <row r="53" spans="1:120">
      <c r="B53" s="30" t="s">
        <v>96</v>
      </c>
      <c r="C53" s="31"/>
      <c r="D53" s="32"/>
      <c r="E53" s="417">
        <f t="shared" ref="E53:AP53" si="157">SUM(E54:E64)</f>
        <v>37.653734</v>
      </c>
      <c r="F53" s="417">
        <f t="shared" si="157"/>
        <v>16.276665999999999</v>
      </c>
      <c r="G53" s="417">
        <f t="shared" si="157"/>
        <v>135.71673000000001</v>
      </c>
      <c r="H53" s="417">
        <f t="shared" si="157"/>
        <v>17.013287999999999</v>
      </c>
      <c r="I53" s="417">
        <f t="shared" si="157"/>
        <v>64.655004000000005</v>
      </c>
      <c r="J53" s="417">
        <f t="shared" si="157"/>
        <v>70.925050999999996</v>
      </c>
      <c r="K53" s="417">
        <f t="shared" si="157"/>
        <v>19.727477</v>
      </c>
      <c r="L53" s="417">
        <f t="shared" si="157"/>
        <v>31.942599000000001</v>
      </c>
      <c r="M53" s="417">
        <f t="shared" si="157"/>
        <v>144.79189400000001</v>
      </c>
      <c r="N53" s="417">
        <f t="shared" si="157"/>
        <v>90.17406299999999</v>
      </c>
      <c r="O53" s="417">
        <f t="shared" si="157"/>
        <v>12.913902999999999</v>
      </c>
      <c r="P53" s="417">
        <f t="shared" si="157"/>
        <v>961.34355799999992</v>
      </c>
      <c r="Q53" s="1031">
        <f t="shared" si="157"/>
        <v>4021.2924389999998</v>
      </c>
      <c r="R53" s="417">
        <f t="shared" si="157"/>
        <v>73.13176399999999</v>
      </c>
      <c r="S53" s="417">
        <f t="shared" si="157"/>
        <v>-38.379012000000003</v>
      </c>
      <c r="T53" s="417">
        <f t="shared" si="157"/>
        <v>119.07615300000001</v>
      </c>
      <c r="U53" s="417">
        <f t="shared" si="157"/>
        <v>18.262169</v>
      </c>
      <c r="V53" s="417">
        <f t="shared" si="157"/>
        <v>80.199630999999997</v>
      </c>
      <c r="W53" s="417">
        <f t="shared" si="157"/>
        <v>625.47008900000003</v>
      </c>
      <c r="X53" s="417">
        <f t="shared" si="157"/>
        <v>23.363569000000002</v>
      </c>
      <c r="Y53" s="417">
        <f t="shared" si="157"/>
        <v>31.629522999999999</v>
      </c>
      <c r="Z53" s="417">
        <f t="shared" si="157"/>
        <v>793.08794599999999</v>
      </c>
      <c r="AA53" s="417">
        <f t="shared" si="157"/>
        <v>29.858942999999996</v>
      </c>
      <c r="AB53" s="417">
        <f t="shared" si="157"/>
        <v>47.408333999999996</v>
      </c>
      <c r="AC53" s="1036">
        <f t="shared" si="157"/>
        <v>2218.1833299999998</v>
      </c>
      <c r="AD53" s="1031">
        <v>4453.8660900000004</v>
      </c>
      <c r="AE53" s="1683">
        <f t="shared" si="157"/>
        <v>14.271482999999998</v>
      </c>
      <c r="AF53" s="1052">
        <f t="shared" si="157"/>
        <v>2.9666510000000001</v>
      </c>
      <c r="AG53" s="1052">
        <f t="shared" si="157"/>
        <v>1326.5230180000001</v>
      </c>
      <c r="AH53" s="1052">
        <f t="shared" si="157"/>
        <v>20.225678000000002</v>
      </c>
      <c r="AI53" s="1052">
        <f t="shared" si="157"/>
        <v>157.81150599999998</v>
      </c>
      <c r="AJ53" s="1052">
        <f t="shared" si="157"/>
        <v>202.39463499999999</v>
      </c>
      <c r="AK53" s="1052">
        <f t="shared" si="157"/>
        <v>3.56732</v>
      </c>
      <c r="AL53" s="1052">
        <f t="shared" si="157"/>
        <v>16.100836000000001</v>
      </c>
      <c r="AM53" s="1052">
        <f t="shared" si="157"/>
        <v>2244.854296</v>
      </c>
      <c r="AN53" s="1052">
        <f t="shared" si="157"/>
        <v>17.068343000000002</v>
      </c>
      <c r="AO53" s="1052">
        <f t="shared" si="157"/>
        <v>13.639200000000001</v>
      </c>
      <c r="AP53" s="1053">
        <f t="shared" si="157"/>
        <v>434.44312400000001</v>
      </c>
      <c r="AQ53" s="1024">
        <f t="shared" ref="AQ53:BC53" si="158">SUM(AQ54:AQ64)</f>
        <v>6039.4779590000007</v>
      </c>
      <c r="AR53" s="1344">
        <f t="shared" si="158"/>
        <v>1758.503919</v>
      </c>
      <c r="AS53" s="417">
        <f t="shared" si="158"/>
        <v>16.297878999999998</v>
      </c>
      <c r="AT53" s="417">
        <f t="shared" si="158"/>
        <v>1311.0879109999998</v>
      </c>
      <c r="AU53" s="417">
        <f t="shared" si="158"/>
        <v>13.751760000000001</v>
      </c>
      <c r="AV53" s="417">
        <f t="shared" si="158"/>
        <v>15.372434</v>
      </c>
      <c r="AW53" s="417">
        <f t="shared" si="158"/>
        <v>3268.6048719999999</v>
      </c>
      <c r="AX53" s="417">
        <f t="shared" si="158"/>
        <v>24.994792999999998</v>
      </c>
      <c r="AY53" s="417">
        <f t="shared" si="158"/>
        <v>26.822523</v>
      </c>
      <c r="AZ53" s="417">
        <f t="shared" si="158"/>
        <v>5531.5418080000009</v>
      </c>
      <c r="BA53" s="417">
        <f t="shared" si="158"/>
        <v>299.15082699999999</v>
      </c>
      <c r="BB53" s="417">
        <f t="shared" si="158"/>
        <v>65.498659000000004</v>
      </c>
      <c r="BC53" s="417">
        <f t="shared" si="158"/>
        <v>-6292.1494259999999</v>
      </c>
      <c r="BD53" s="1031">
        <f t="shared" ref="BD53:BO53" si="159">SUM(BD54:BD64)</f>
        <v>4502.8645089999991</v>
      </c>
      <c r="BE53" s="417">
        <f t="shared" si="159"/>
        <v>57.735602</v>
      </c>
      <c r="BF53" s="417">
        <f t="shared" si="159"/>
        <v>53.831439000000003</v>
      </c>
      <c r="BG53" s="417">
        <f t="shared" si="159"/>
        <v>2681.738625</v>
      </c>
      <c r="BH53" s="417">
        <f t="shared" si="159"/>
        <v>62.725138000000001</v>
      </c>
      <c r="BI53" s="417">
        <f t="shared" si="159"/>
        <v>56.733711999999997</v>
      </c>
      <c r="BJ53" s="417">
        <f t="shared" si="159"/>
        <v>-162.94365499999998</v>
      </c>
      <c r="BK53" s="417">
        <f t="shared" si="159"/>
        <v>81.910431000000003</v>
      </c>
      <c r="BL53" s="417">
        <f t="shared" si="159"/>
        <v>62.307361</v>
      </c>
      <c r="BM53" s="417">
        <f t="shared" si="159"/>
        <v>701.87646700000005</v>
      </c>
      <c r="BN53" s="417">
        <f t="shared" si="159"/>
        <v>82.549947000000003</v>
      </c>
      <c r="BO53" s="417">
        <f t="shared" si="159"/>
        <v>127.836827</v>
      </c>
      <c r="BP53" s="417">
        <f t="shared" ref="BP53:CC53" si="160">SUM(BP54:BP64)</f>
        <v>696.56261499999994</v>
      </c>
      <c r="BQ53" s="1031">
        <f t="shared" si="160"/>
        <v>8967.5074879999993</v>
      </c>
      <c r="BR53" s="417">
        <f t="shared" si="160"/>
        <v>55.144052000000002</v>
      </c>
      <c r="BS53" s="417">
        <f t="shared" si="160"/>
        <v>73.618265000000008</v>
      </c>
      <c r="BT53" s="417">
        <f t="shared" si="160"/>
        <v>2494.8097039999998</v>
      </c>
      <c r="BU53" s="417">
        <f t="shared" si="160"/>
        <v>89.290752000000012</v>
      </c>
      <c r="BV53" s="417">
        <f t="shared" si="160"/>
        <v>150.882823</v>
      </c>
      <c r="BW53" s="417">
        <f t="shared" si="160"/>
        <v>2243.8706480000001</v>
      </c>
      <c r="BX53" s="417">
        <f t="shared" si="160"/>
        <v>175.62108799999999</v>
      </c>
      <c r="BY53" s="417">
        <f t="shared" si="160"/>
        <v>109.46442900000001</v>
      </c>
      <c r="BZ53" s="417">
        <f t="shared" si="160"/>
        <v>-2312.702738</v>
      </c>
      <c r="CA53" s="417">
        <f t="shared" si="160"/>
        <v>131.564075</v>
      </c>
      <c r="CB53" s="417">
        <f t="shared" si="160"/>
        <v>103.022122</v>
      </c>
      <c r="CC53" s="1334">
        <f t="shared" si="160"/>
        <v>5652.9222680000003</v>
      </c>
      <c r="CD53" s="1031">
        <f t="shared" ref="CD53:CP53" si="161">SUM(CD54:CD64)</f>
        <v>3771.6583049999999</v>
      </c>
      <c r="CE53" s="1708">
        <f t="shared" si="161"/>
        <v>60.936859999999996</v>
      </c>
      <c r="CF53" s="1708">
        <f t="shared" si="161"/>
        <v>85.543163000000007</v>
      </c>
      <c r="CG53" s="1708">
        <f t="shared" si="161"/>
        <v>1761.3488239999999</v>
      </c>
      <c r="CH53" s="1708">
        <f t="shared" si="161"/>
        <v>48.183886000000001</v>
      </c>
      <c r="CI53" s="1708">
        <f t="shared" si="161"/>
        <v>745.85816499999999</v>
      </c>
      <c r="CJ53" s="1708">
        <f t="shared" si="161"/>
        <v>2824.2361959999998</v>
      </c>
      <c r="CK53" s="1708">
        <f t="shared" si="161"/>
        <v>88.348652999999999</v>
      </c>
      <c r="CL53" s="1708">
        <f t="shared" si="161"/>
        <v>284.98648500000002</v>
      </c>
      <c r="CM53" s="1708">
        <f t="shared" si="161"/>
        <v>-1403.981749</v>
      </c>
      <c r="CN53" s="1708">
        <f t="shared" si="161"/>
        <v>128.67349099999998</v>
      </c>
      <c r="CO53" s="1708">
        <f t="shared" si="161"/>
        <v>82.540315000000007</v>
      </c>
      <c r="CP53" s="1334">
        <f t="shared" si="161"/>
        <v>-935.015984</v>
      </c>
      <c r="CQ53" s="1031">
        <f t="shared" ref="CQ53:DC53" si="162">SUM(CQ54:CQ64)</f>
        <v>4001</v>
      </c>
      <c r="CR53" s="1708">
        <f t="shared" si="162"/>
        <v>66</v>
      </c>
      <c r="CS53" s="1708">
        <f t="shared" si="162"/>
        <v>62</v>
      </c>
      <c r="CT53" s="1708">
        <f t="shared" si="162"/>
        <v>2381</v>
      </c>
      <c r="CU53" s="1708">
        <f t="shared" si="162"/>
        <v>64</v>
      </c>
      <c r="CV53" s="1708">
        <f t="shared" si="162"/>
        <v>66</v>
      </c>
      <c r="CW53" s="1708">
        <f t="shared" si="162"/>
        <v>366</v>
      </c>
      <c r="CX53" s="1708">
        <f t="shared" si="162"/>
        <v>66</v>
      </c>
      <c r="CY53" s="1708">
        <f t="shared" si="162"/>
        <v>68</v>
      </c>
      <c r="CZ53" s="1708">
        <f t="shared" si="162"/>
        <v>364</v>
      </c>
      <c r="DA53" s="1708">
        <f t="shared" si="162"/>
        <v>67</v>
      </c>
      <c r="DB53" s="1708">
        <f t="shared" si="162"/>
        <v>64</v>
      </c>
      <c r="DC53" s="1334">
        <f t="shared" si="162"/>
        <v>367</v>
      </c>
      <c r="DD53" s="2766"/>
      <c r="DE53" s="2587"/>
      <c r="DF53" s="2587"/>
      <c r="DG53" s="2972"/>
      <c r="DH53" s="2210"/>
      <c r="DI53" s="2210"/>
      <c r="DJ53" s="2210"/>
      <c r="DK53" s="1884"/>
      <c r="DN53" s="2603"/>
    </row>
    <row r="54" spans="1:120">
      <c r="B54" s="49" t="s">
        <v>97</v>
      </c>
      <c r="C54" s="50"/>
      <c r="D54" s="51"/>
      <c r="E54" s="1352">
        <v>22.993172000000001</v>
      </c>
      <c r="F54" s="1352">
        <v>16.276665999999999</v>
      </c>
      <c r="G54" s="1352">
        <v>135.509567</v>
      </c>
      <c r="H54" s="1352">
        <v>14.287015</v>
      </c>
      <c r="I54" s="1353">
        <v>15.488339</v>
      </c>
      <c r="J54" s="1353">
        <v>60.760508000000002</v>
      </c>
      <c r="K54" s="1353">
        <v>14.750869</v>
      </c>
      <c r="L54" s="1353">
        <v>16.893298999999999</v>
      </c>
      <c r="M54" s="1352">
        <v>133.71127300000001</v>
      </c>
      <c r="N54" s="1352">
        <v>9.124409</v>
      </c>
      <c r="O54" s="1352">
        <v>12.913902999999999</v>
      </c>
      <c r="P54" s="1352">
        <v>94.730872000000005</v>
      </c>
      <c r="Q54" s="1354">
        <f t="shared" ref="Q54:Q56" si="163">SUM(R54:AC54)</f>
        <v>369.85833200000002</v>
      </c>
      <c r="R54" s="1352">
        <v>17.915597999999999</v>
      </c>
      <c r="S54" s="1352">
        <v>9.4109839999999991</v>
      </c>
      <c r="T54" s="1352">
        <v>97.822484000000003</v>
      </c>
      <c r="U54" s="1352">
        <v>6.1348659999999997</v>
      </c>
      <c r="V54" s="1352">
        <v>5.8996310000000003</v>
      </c>
      <c r="W54" s="1352">
        <v>73.550095999999996</v>
      </c>
      <c r="X54" s="1352">
        <v>4.7143040000000003</v>
      </c>
      <c r="Y54" s="1352">
        <v>3.2779280000000002</v>
      </c>
      <c r="Z54" s="1352">
        <v>70.595472999999998</v>
      </c>
      <c r="AA54" s="1352">
        <v>5.9932740000000004</v>
      </c>
      <c r="AB54" s="1352">
        <v>4.4750040000000002</v>
      </c>
      <c r="AC54" s="1075">
        <v>70.068690000000004</v>
      </c>
      <c r="AD54" s="1502">
        <v>301.74016400000005</v>
      </c>
      <c r="AE54" s="1064">
        <v>4.7626109999999997</v>
      </c>
      <c r="AF54" s="1064">
        <v>2.9666510000000001</v>
      </c>
      <c r="AG54" s="1064">
        <v>59.031564000000003</v>
      </c>
      <c r="AH54" s="1064">
        <v>4.1009169999999999</v>
      </c>
      <c r="AI54" s="1064">
        <v>6.1276409999999997</v>
      </c>
      <c r="AJ54" s="1064">
        <v>53.159004000000003</v>
      </c>
      <c r="AK54" s="1064">
        <v>3.5673140000000001</v>
      </c>
      <c r="AL54" s="1064">
        <v>2.6591619999999998</v>
      </c>
      <c r="AM54" s="1064">
        <v>55.506706999999999</v>
      </c>
      <c r="AN54" s="1064">
        <v>17.068338000000001</v>
      </c>
      <c r="AO54" s="1064">
        <v>13.639200000000001</v>
      </c>
      <c r="AP54" s="1065">
        <v>79.151054999999999</v>
      </c>
      <c r="AQ54" s="1355">
        <f t="shared" ref="AQ54:AQ64" si="164">SUM(AR54:BC54)</f>
        <v>522.45699999999988</v>
      </c>
      <c r="AR54" s="1356">
        <v>14.231901000000001</v>
      </c>
      <c r="AS54" s="1356">
        <v>13.929288</v>
      </c>
      <c r="AT54" s="1356">
        <v>79.091076000000001</v>
      </c>
      <c r="AU54" s="1356">
        <v>12.863753000000001</v>
      </c>
      <c r="AV54" s="1356">
        <v>15.372434</v>
      </c>
      <c r="AW54" s="1356">
        <v>55.981591999999999</v>
      </c>
      <c r="AX54" s="1356">
        <v>24.867190999999998</v>
      </c>
      <c r="AY54" s="1356">
        <v>26.822523</v>
      </c>
      <c r="AZ54" s="1356">
        <v>66.013526999999996</v>
      </c>
      <c r="BA54" s="1356">
        <v>54.038823000000001</v>
      </c>
      <c r="BB54" s="1356">
        <v>65.498659000000004</v>
      </c>
      <c r="BC54" s="1356">
        <v>93.746233000000004</v>
      </c>
      <c r="BD54" s="1354">
        <f t="shared" ref="BD54:BD74" si="165">SUM(BE54:BP54)</f>
        <v>1080.0424129999999</v>
      </c>
      <c r="BE54" s="1356">
        <v>57.735596999999999</v>
      </c>
      <c r="BF54" s="1356">
        <v>53.776639000000003</v>
      </c>
      <c r="BG54" s="1356">
        <v>153.60259099999999</v>
      </c>
      <c r="BH54" s="1356">
        <v>62.725138000000001</v>
      </c>
      <c r="BI54" s="1356">
        <v>56.733711999999997</v>
      </c>
      <c r="BJ54" s="1356">
        <v>142.46356800000001</v>
      </c>
      <c r="BK54" s="1356">
        <v>64.582391999999999</v>
      </c>
      <c r="BL54" s="1352">
        <v>62.307361</v>
      </c>
      <c r="BM54" s="1352">
        <v>92.515028999999998</v>
      </c>
      <c r="BN54" s="1352">
        <v>82.549942000000001</v>
      </c>
      <c r="BO54" s="1352">
        <v>82.337827000000004</v>
      </c>
      <c r="BP54" s="1352">
        <v>168.71261699999999</v>
      </c>
      <c r="BQ54" s="1354">
        <f t="shared" ref="BQ54:BQ62" si="166">SUM(BR54:CC54)</f>
        <v>1694.2347569999999</v>
      </c>
      <c r="BR54" s="1922">
        <v>47.069732000000002</v>
      </c>
      <c r="BS54" s="1922">
        <v>69.166295000000005</v>
      </c>
      <c r="BT54" s="1922">
        <v>195.34901099999999</v>
      </c>
      <c r="BU54" s="1922">
        <v>88.565419000000006</v>
      </c>
      <c r="BV54" s="1922">
        <v>141.42738600000001</v>
      </c>
      <c r="BW54" s="1922">
        <v>272.80461400000002</v>
      </c>
      <c r="BX54" s="1922">
        <v>170.955108</v>
      </c>
      <c r="BY54" s="1922">
        <v>99.064429000000004</v>
      </c>
      <c r="BZ54" s="1922">
        <v>199.44830300000001</v>
      </c>
      <c r="CA54" s="1922">
        <v>128.86406700000001</v>
      </c>
      <c r="CB54" s="1922">
        <v>99.447121999999993</v>
      </c>
      <c r="CC54" s="1923">
        <v>182.07327100000001</v>
      </c>
      <c r="CD54" s="1354">
        <f t="shared" ref="CD54:CD62" si="167">SUM(CE54:CP54)</f>
        <v>1567.0016019999998</v>
      </c>
      <c r="CE54" s="1922">
        <v>47.181258999999997</v>
      </c>
      <c r="CF54" s="1922">
        <v>67.872425000000007</v>
      </c>
      <c r="CG54" s="1922">
        <v>295.59926899999999</v>
      </c>
      <c r="CH54" s="1922">
        <v>48.077159000000002</v>
      </c>
      <c r="CI54" s="1922">
        <v>95.389229999999998</v>
      </c>
      <c r="CJ54" s="1922">
        <v>221.58202499999999</v>
      </c>
      <c r="CK54" s="1922">
        <v>85.748649</v>
      </c>
      <c r="CL54" s="1922">
        <v>119.431285</v>
      </c>
      <c r="CM54" s="1922">
        <v>193.61506900000001</v>
      </c>
      <c r="CN54" s="1922">
        <v>126.573483</v>
      </c>
      <c r="CO54" s="1922">
        <v>79.540315000000007</v>
      </c>
      <c r="CP54" s="1923">
        <v>186.391434</v>
      </c>
      <c r="CQ54" s="1354">
        <f t="shared" ref="CQ54:CQ62" si="168">SUM(CR54:DC54)</f>
        <v>1978</v>
      </c>
      <c r="CR54" s="2934">
        <v>66</v>
      </c>
      <c r="CS54" s="2934">
        <v>60</v>
      </c>
      <c r="CT54" s="2934">
        <v>366</v>
      </c>
      <c r="CU54" s="2934">
        <v>64</v>
      </c>
      <c r="CV54" s="2934">
        <v>66</v>
      </c>
      <c r="CW54" s="2934">
        <v>364</v>
      </c>
      <c r="CX54" s="2934">
        <v>66</v>
      </c>
      <c r="CY54" s="2934">
        <v>66</v>
      </c>
      <c r="CZ54" s="2934">
        <v>364</v>
      </c>
      <c r="DA54" s="2934">
        <v>66</v>
      </c>
      <c r="DB54" s="2934">
        <v>64</v>
      </c>
      <c r="DC54" s="2935">
        <v>366</v>
      </c>
      <c r="DD54" s="2766"/>
      <c r="DE54" s="2587"/>
      <c r="DF54" s="2587"/>
      <c r="DG54" s="2594"/>
      <c r="DH54" s="2210"/>
      <c r="DI54" s="2210"/>
      <c r="DJ54" s="2210"/>
      <c r="DK54" s="1884"/>
    </row>
    <row r="55" spans="1:120">
      <c r="B55" s="36" t="s">
        <v>98</v>
      </c>
      <c r="C55" s="37"/>
      <c r="D55" s="481"/>
      <c r="E55" s="1340">
        <v>14.65056</v>
      </c>
      <c r="F55" s="1340"/>
      <c r="G55" s="1340"/>
      <c r="H55" s="1340"/>
      <c r="I55" s="1357">
        <v>0</v>
      </c>
      <c r="J55" s="1357">
        <v>0</v>
      </c>
      <c r="K55" s="1357">
        <v>4.9666079999999999</v>
      </c>
      <c r="L55" s="1357">
        <v>0</v>
      </c>
      <c r="M55" s="1340"/>
      <c r="N55" s="1340">
        <v>16.050654000000002</v>
      </c>
      <c r="O55" s="1340"/>
      <c r="P55" s="1340"/>
      <c r="Q55" s="64">
        <f t="shared" si="163"/>
        <v>40.702123</v>
      </c>
      <c r="R55" s="1340"/>
      <c r="S55" s="1340"/>
      <c r="T55" s="1340"/>
      <c r="U55" s="1340">
        <v>7.9643030000000001</v>
      </c>
      <c r="V55" s="1358"/>
      <c r="W55" s="1340">
        <v>7.8228929999999997</v>
      </c>
      <c r="X55" s="1340">
        <v>18.488703000000001</v>
      </c>
      <c r="Y55" s="1340"/>
      <c r="Z55" s="1340"/>
      <c r="AA55" s="1340"/>
      <c r="AB55" s="1340"/>
      <c r="AC55" s="1341">
        <v>6.4262240000000004</v>
      </c>
      <c r="AD55" s="1119">
        <v>78.582279999999997</v>
      </c>
      <c r="AE55" s="1058">
        <v>4.5098630000000002</v>
      </c>
      <c r="AF55" s="1058"/>
      <c r="AG55" s="1058">
        <v>8.7090350000000001</v>
      </c>
      <c r="AH55" s="1058">
        <v>14.226753</v>
      </c>
      <c r="AI55" s="1066">
        <v>11.685865</v>
      </c>
      <c r="AJ55" s="1058"/>
      <c r="AK55" s="1058"/>
      <c r="AL55" s="1058">
        <v>13.441674000000001</v>
      </c>
      <c r="AM55" s="1058">
        <v>10.318991</v>
      </c>
      <c r="AN55" s="1058"/>
      <c r="AO55" s="1058"/>
      <c r="AP55" s="1059">
        <v>15.690099</v>
      </c>
      <c r="AQ55" s="1359">
        <f t="shared" si="164"/>
        <v>9.7011099999999999</v>
      </c>
      <c r="AR55" s="1360"/>
      <c r="AS55" s="1360"/>
      <c r="AT55" s="1360"/>
      <c r="AU55" s="1360"/>
      <c r="AV55" s="1361"/>
      <c r="AW55" s="1360">
        <v>9.7011099999999999</v>
      </c>
      <c r="AX55" s="1360"/>
      <c r="AY55" s="1360"/>
      <c r="AZ55" s="1360"/>
      <c r="BA55" s="1360"/>
      <c r="BB55" s="1360"/>
      <c r="BC55" s="1360"/>
      <c r="BD55" s="64">
        <f t="shared" si="165"/>
        <v>17.328032</v>
      </c>
      <c r="BE55" s="1480"/>
      <c r="BF55" s="1480"/>
      <c r="BG55" s="1480"/>
      <c r="BH55" s="1480"/>
      <c r="BI55" s="1481"/>
      <c r="BJ55" s="1480"/>
      <c r="BK55" s="1480">
        <v>17.328032</v>
      </c>
      <c r="BL55" s="1412"/>
      <c r="BM55" s="1412"/>
      <c r="BN55" s="1412"/>
      <c r="BO55" s="1412"/>
      <c r="BP55" s="1412"/>
      <c r="BQ55" s="64">
        <f t="shared" si="166"/>
        <v>27.337037000000002</v>
      </c>
      <c r="BR55" s="1781">
        <v>8.0743170000000006</v>
      </c>
      <c r="BS55" s="1781"/>
      <c r="BT55" s="1781"/>
      <c r="BU55" s="1781"/>
      <c r="BV55" s="1924">
        <v>5.2312799999999999</v>
      </c>
      <c r="BW55" s="1781">
        <v>0</v>
      </c>
      <c r="BX55" s="1781">
        <v>4.6314399999999996</v>
      </c>
      <c r="BY55" s="1781">
        <v>9.4</v>
      </c>
      <c r="BZ55" s="1781"/>
      <c r="CA55" s="1781"/>
      <c r="CB55" s="1781"/>
      <c r="CC55" s="1782">
        <v>0</v>
      </c>
      <c r="CD55" s="1710">
        <f t="shared" si="167"/>
        <v>1203.1207999999999</v>
      </c>
      <c r="CE55" s="1930">
        <v>8.5055999999999994</v>
      </c>
      <c r="CF55" s="1930"/>
      <c r="CG55" s="1930">
        <v>994</v>
      </c>
      <c r="CH55" s="1930"/>
      <c r="CI55" s="2852">
        <v>21.463999999999999</v>
      </c>
      <c r="CJ55" s="1930">
        <v>2.508</v>
      </c>
      <c r="CK55" s="1930"/>
      <c r="CL55" s="1930">
        <v>164.15520000000001</v>
      </c>
      <c r="CM55" s="1930">
        <v>0</v>
      </c>
      <c r="CN55" s="1930"/>
      <c r="CO55" s="1930"/>
      <c r="CP55" s="1931">
        <v>12.488</v>
      </c>
      <c r="CQ55" s="1710">
        <f t="shared" si="168"/>
        <v>2012</v>
      </c>
      <c r="CR55" s="1711"/>
      <c r="CS55" s="1711"/>
      <c r="CT55" s="1711">
        <v>2012</v>
      </c>
      <c r="CU55" s="1711"/>
      <c r="CV55" s="2936"/>
      <c r="CW55" s="1711"/>
      <c r="CX55" s="1711"/>
      <c r="CY55" s="1711"/>
      <c r="CZ55" s="1711"/>
      <c r="DA55" s="1711"/>
      <c r="DB55" s="1711"/>
      <c r="DC55" s="2286"/>
      <c r="DD55" s="2766"/>
      <c r="DE55" s="2587"/>
      <c r="DF55" s="2587"/>
      <c r="DG55" s="2594"/>
      <c r="DH55" s="2210"/>
      <c r="DI55" s="2210"/>
      <c r="DJ55" s="2210"/>
      <c r="DK55" s="1884"/>
    </row>
    <row r="56" spans="1:120">
      <c r="B56" s="36" t="s">
        <v>99</v>
      </c>
      <c r="C56" s="37"/>
      <c r="D56" s="481"/>
      <c r="E56" s="1340"/>
      <c r="F56" s="1340"/>
      <c r="G56" s="1340"/>
      <c r="H56" s="1340"/>
      <c r="I56" s="1340"/>
      <c r="J56" s="1340"/>
      <c r="K56" s="1340"/>
      <c r="L56" s="1340"/>
      <c r="M56" s="1340"/>
      <c r="N56" s="1340"/>
      <c r="O56" s="1340"/>
      <c r="P56" s="1340"/>
      <c r="Q56" s="64">
        <f t="shared" si="163"/>
        <v>3275</v>
      </c>
      <c r="R56" s="1340"/>
      <c r="S56" s="1340"/>
      <c r="T56" s="1340"/>
      <c r="U56" s="1340"/>
      <c r="V56" s="1358"/>
      <c r="W56" s="1340">
        <v>457.5</v>
      </c>
      <c r="X56" s="1340"/>
      <c r="Y56" s="1340"/>
      <c r="Z56" s="1340">
        <v>680</v>
      </c>
      <c r="AA56" s="1340"/>
      <c r="AB56" s="1340"/>
      <c r="AC56" s="1341">
        <v>2137.5</v>
      </c>
      <c r="AD56" s="1119">
        <v>0</v>
      </c>
      <c r="AE56" s="1058"/>
      <c r="AF56" s="1058"/>
      <c r="AG56" s="1058">
        <v>45.5</v>
      </c>
      <c r="AH56" s="1058"/>
      <c r="AI56" s="1066"/>
      <c r="AJ56" s="1058">
        <v>45.5</v>
      </c>
      <c r="AK56" s="1058"/>
      <c r="AL56" s="1058"/>
      <c r="AM56" s="1058">
        <v>-91</v>
      </c>
      <c r="AN56" s="1058"/>
      <c r="AO56" s="1058"/>
      <c r="AP56" s="1059"/>
      <c r="AQ56" s="810">
        <f t="shared" si="164"/>
        <v>0</v>
      </c>
      <c r="AR56" s="1360"/>
      <c r="AS56" s="1360"/>
      <c r="AT56" s="1360"/>
      <c r="AU56" s="1360"/>
      <c r="AV56" s="1361"/>
      <c r="AW56" s="1360"/>
      <c r="AX56" s="1360"/>
      <c r="AY56" s="1360"/>
      <c r="AZ56" s="1360"/>
      <c r="BA56" s="1360"/>
      <c r="BB56" s="1360"/>
      <c r="BC56" s="1360"/>
      <c r="BD56" s="64">
        <f t="shared" si="165"/>
        <v>1071</v>
      </c>
      <c r="BE56" s="1480"/>
      <c r="BF56" s="1480"/>
      <c r="BG56" s="1480">
        <v>567</v>
      </c>
      <c r="BH56" s="1480"/>
      <c r="BI56" s="1481"/>
      <c r="BJ56" s="1480">
        <v>-315</v>
      </c>
      <c r="BK56" s="1480"/>
      <c r="BL56" s="1412"/>
      <c r="BM56" s="1412">
        <v>-252</v>
      </c>
      <c r="BN56" s="1412"/>
      <c r="BO56" s="1412"/>
      <c r="BP56" s="1412">
        <v>1071</v>
      </c>
      <c r="BQ56" s="64">
        <f t="shared" si="166"/>
        <v>0</v>
      </c>
      <c r="BR56" s="1781"/>
      <c r="BS56" s="1781"/>
      <c r="BT56" s="1781"/>
      <c r="BU56" s="1781"/>
      <c r="BV56" s="1924"/>
      <c r="BW56" s="1781">
        <v>0</v>
      </c>
      <c r="BX56" s="1781"/>
      <c r="BY56" s="1781"/>
      <c r="BZ56" s="1781"/>
      <c r="CA56" s="1781"/>
      <c r="CB56" s="1781"/>
      <c r="CC56" s="1782">
        <v>0</v>
      </c>
      <c r="CD56" s="1710">
        <f t="shared" si="167"/>
        <v>441</v>
      </c>
      <c r="CE56" s="1930"/>
      <c r="CF56" s="1930"/>
      <c r="CG56" s="1930"/>
      <c r="CH56" s="1930"/>
      <c r="CI56" s="2852"/>
      <c r="CJ56" s="1930">
        <v>3188.5</v>
      </c>
      <c r="CK56" s="1930"/>
      <c r="CL56" s="1930"/>
      <c r="CM56" s="1930">
        <v>-1603</v>
      </c>
      <c r="CN56" s="1930"/>
      <c r="CO56" s="1930"/>
      <c r="CP56" s="1931">
        <v>-1144.5</v>
      </c>
      <c r="CQ56" s="1710">
        <f t="shared" si="168"/>
        <v>0</v>
      </c>
      <c r="CR56" s="1711"/>
      <c r="CS56" s="1711"/>
      <c r="CT56" s="1711"/>
      <c r="CU56" s="1711"/>
      <c r="CV56" s="2936"/>
      <c r="CW56" s="1711"/>
      <c r="CX56" s="1711"/>
      <c r="CY56" s="1711"/>
      <c r="CZ56" s="1711"/>
      <c r="DA56" s="1711"/>
      <c r="DB56" s="1711"/>
      <c r="DC56" s="2286"/>
      <c r="DD56" s="2766"/>
      <c r="DE56" s="2587"/>
      <c r="DF56" s="2587"/>
      <c r="DG56" s="2594"/>
      <c r="DH56" s="2210"/>
      <c r="DI56" s="2210"/>
      <c r="DJ56" s="2210"/>
      <c r="DK56" s="1884"/>
    </row>
    <row r="57" spans="1:120">
      <c r="B57" s="36" t="s">
        <v>388</v>
      </c>
      <c r="C57" s="37"/>
      <c r="D57" s="481"/>
      <c r="E57" s="1340"/>
      <c r="F57" s="1340"/>
      <c r="G57" s="1340"/>
      <c r="H57" s="1340"/>
      <c r="I57" s="1340"/>
      <c r="J57" s="1340"/>
      <c r="K57" s="1340"/>
      <c r="L57" s="1340"/>
      <c r="M57" s="1340"/>
      <c r="N57" s="1340"/>
      <c r="O57" s="1340"/>
      <c r="P57" s="1340"/>
      <c r="Q57" s="64"/>
      <c r="R57" s="1340"/>
      <c r="S57" s="1340"/>
      <c r="T57" s="1340"/>
      <c r="U57" s="1340"/>
      <c r="V57" s="1358"/>
      <c r="W57" s="1340"/>
      <c r="X57" s="1340"/>
      <c r="Y57" s="1340"/>
      <c r="Z57" s="1340"/>
      <c r="AA57" s="1340"/>
      <c r="AB57" s="1340"/>
      <c r="AC57" s="1341"/>
      <c r="AD57" s="1119">
        <v>3613.0163430000002</v>
      </c>
      <c r="AE57" s="1058"/>
      <c r="AF57" s="1058"/>
      <c r="AG57" s="1058">
        <v>1194.107882</v>
      </c>
      <c r="AH57" s="1058"/>
      <c r="AI57" s="1066"/>
      <c r="AJ57" s="1058">
        <v>80.926956000000004</v>
      </c>
      <c r="AK57" s="1058"/>
      <c r="AL57" s="1058"/>
      <c r="AM57" s="1058">
        <v>2133.33527</v>
      </c>
      <c r="AN57" s="1058"/>
      <c r="AO57" s="1058"/>
      <c r="AP57" s="1059">
        <v>204.64623499999999</v>
      </c>
      <c r="AQ57" s="810">
        <f t="shared" si="164"/>
        <v>3236.2081510000007</v>
      </c>
      <c r="AR57" s="1360"/>
      <c r="AS57" s="1360"/>
      <c r="AT57" s="1360">
        <v>1109.671495</v>
      </c>
      <c r="AU57" s="1360"/>
      <c r="AV57" s="1361"/>
      <c r="AW57" s="1360">
        <v>3191.4993079999999</v>
      </c>
      <c r="AX57" s="1360"/>
      <c r="AY57" s="1360"/>
      <c r="AZ57" s="1360">
        <v>5448.4204280000004</v>
      </c>
      <c r="BA57" s="1360"/>
      <c r="BB57" s="1360"/>
      <c r="BC57" s="1360">
        <v>-6513.3830799999996</v>
      </c>
      <c r="BD57" s="64">
        <f t="shared" si="165"/>
        <v>1612.0846389999997</v>
      </c>
      <c r="BE57" s="1480"/>
      <c r="BF57" s="1480"/>
      <c r="BG57" s="1480">
        <v>1612.0846389999999</v>
      </c>
      <c r="BH57" s="1480"/>
      <c r="BI57" s="1481"/>
      <c r="BJ57" s="1480"/>
      <c r="BK57" s="1480"/>
      <c r="BL57" s="1412"/>
      <c r="BM57" s="1412">
        <v>573.13496599999996</v>
      </c>
      <c r="BN57" s="1412"/>
      <c r="BO57" s="1412"/>
      <c r="BP57" s="1412">
        <v>-573.13496599999996</v>
      </c>
      <c r="BQ57" s="64">
        <f t="shared" si="166"/>
        <v>6818.4486909999996</v>
      </c>
      <c r="BR57" s="1781"/>
      <c r="BS57" s="1781"/>
      <c r="BT57" s="1781">
        <v>2281.9003969999999</v>
      </c>
      <c r="BU57" s="1781"/>
      <c r="BV57" s="1924"/>
      <c r="BW57" s="1781">
        <v>1583.6640440000001</v>
      </c>
      <c r="BX57" s="1781"/>
      <c r="BY57" s="1781"/>
      <c r="BZ57" s="1781">
        <v>-2513.5510410000002</v>
      </c>
      <c r="CA57" s="1781"/>
      <c r="CB57" s="1781"/>
      <c r="CC57" s="1782">
        <v>5466.4352909999998</v>
      </c>
      <c r="CD57" s="1710">
        <f t="shared" si="167"/>
        <v>0</v>
      </c>
      <c r="CE57" s="1930"/>
      <c r="CF57" s="1930"/>
      <c r="CG57" s="1930">
        <v>447.82464800000002</v>
      </c>
      <c r="CH57" s="1930"/>
      <c r="CI57" s="2852"/>
      <c r="CJ57" s="1930">
        <v>-447.82464800000002</v>
      </c>
      <c r="CK57" s="1930"/>
      <c r="CL57" s="1930"/>
      <c r="CM57" s="1930"/>
      <c r="CN57" s="1930"/>
      <c r="CO57" s="1930"/>
      <c r="CP57" s="1931"/>
      <c r="CQ57" s="1710">
        <f t="shared" si="168"/>
        <v>0</v>
      </c>
      <c r="CR57" s="1711"/>
      <c r="CS57" s="1711"/>
      <c r="CT57" s="1711"/>
      <c r="CU57" s="1711"/>
      <c r="CV57" s="2936"/>
      <c r="CW57" s="1711"/>
      <c r="CX57" s="1711"/>
      <c r="CY57" s="1711"/>
      <c r="CZ57" s="1711"/>
      <c r="DA57" s="1711"/>
      <c r="DB57" s="1711"/>
      <c r="DC57" s="2286"/>
      <c r="DD57" s="2766"/>
      <c r="DE57" s="2587"/>
      <c r="DF57" s="2587"/>
      <c r="DG57" s="2594"/>
      <c r="DH57" s="2210"/>
      <c r="DI57" s="2210"/>
      <c r="DJ57" s="2210"/>
      <c r="DK57" s="1884"/>
    </row>
    <row r="58" spans="1:120">
      <c r="B58" s="36" t="s">
        <v>100</v>
      </c>
      <c r="C58" s="37"/>
      <c r="D58" s="481"/>
      <c r="E58" s="1340"/>
      <c r="F58" s="1340"/>
      <c r="G58" s="1340"/>
      <c r="H58" s="1340"/>
      <c r="I58" s="1340"/>
      <c r="J58" s="1340"/>
      <c r="K58" s="1340"/>
      <c r="L58" s="1340"/>
      <c r="M58" s="1340"/>
      <c r="N58" s="1340"/>
      <c r="O58" s="1340"/>
      <c r="P58" s="1340"/>
      <c r="Q58" s="64">
        <f t="shared" ref="Q58:Q72" si="169">SUM(R58:AC58)</f>
        <v>0</v>
      </c>
      <c r="R58" s="1340">
        <v>55.206161999999999</v>
      </c>
      <c r="S58" s="1340">
        <v>-55.206161999999999</v>
      </c>
      <c r="T58" s="1340"/>
      <c r="U58" s="1340"/>
      <c r="V58" s="1358"/>
      <c r="W58" s="1340"/>
      <c r="X58" s="1340"/>
      <c r="Y58" s="1340"/>
      <c r="Z58" s="1340"/>
      <c r="AA58" s="1340"/>
      <c r="AB58" s="1340"/>
      <c r="AC58" s="1341"/>
      <c r="AD58" s="1119">
        <v>0</v>
      </c>
      <c r="AE58" s="1058"/>
      <c r="AF58" s="1058"/>
      <c r="AG58" s="1058"/>
      <c r="AH58" s="1058"/>
      <c r="AI58" s="1066"/>
      <c r="AJ58" s="1058"/>
      <c r="AK58" s="1058"/>
      <c r="AL58" s="1058"/>
      <c r="AM58" s="1058"/>
      <c r="AN58" s="1058"/>
      <c r="AO58" s="1058"/>
      <c r="AP58" s="1059"/>
      <c r="AQ58" s="810">
        <f t="shared" si="164"/>
        <v>0</v>
      </c>
      <c r="AR58" s="1360"/>
      <c r="AS58" s="1360"/>
      <c r="AT58" s="1360"/>
      <c r="AU58" s="1360"/>
      <c r="AV58" s="1361"/>
      <c r="AW58" s="1360"/>
      <c r="AX58" s="1360"/>
      <c r="AY58" s="1360"/>
      <c r="AZ58" s="1360"/>
      <c r="BA58" s="1360"/>
      <c r="BB58" s="1360"/>
      <c r="BC58" s="1360"/>
      <c r="BD58" s="64">
        <f t="shared" si="165"/>
        <v>0</v>
      </c>
      <c r="BE58" s="1480"/>
      <c r="BF58" s="1480"/>
      <c r="BG58" s="1480"/>
      <c r="BH58" s="1480"/>
      <c r="BI58" s="1481"/>
      <c r="BJ58" s="1480"/>
      <c r="BK58" s="1480"/>
      <c r="BL58" s="1412"/>
      <c r="BM58" s="1412"/>
      <c r="BN58" s="1412"/>
      <c r="BO58" s="1412"/>
      <c r="BP58" s="1412"/>
      <c r="BQ58" s="64">
        <f t="shared" si="166"/>
        <v>0</v>
      </c>
      <c r="BR58" s="1781"/>
      <c r="BS58" s="1781"/>
      <c r="BT58" s="1781"/>
      <c r="BU58" s="1781"/>
      <c r="BV58" s="1924"/>
      <c r="BW58" s="1781">
        <v>0</v>
      </c>
      <c r="BX58" s="1781"/>
      <c r="BY58" s="1781"/>
      <c r="BZ58" s="1781"/>
      <c r="CA58" s="1781"/>
      <c r="CB58" s="1781"/>
      <c r="CC58" s="1782">
        <v>0</v>
      </c>
      <c r="CD58" s="1710">
        <f t="shared" si="167"/>
        <v>0</v>
      </c>
      <c r="CE58" s="1930"/>
      <c r="CF58" s="1930"/>
      <c r="CG58" s="1930"/>
      <c r="CH58" s="1930"/>
      <c r="CI58" s="2852">
        <v>144.70602500000001</v>
      </c>
      <c r="CJ58" s="1930">
        <v>-144.70602500000001</v>
      </c>
      <c r="CK58" s="1930"/>
      <c r="CL58" s="1930"/>
      <c r="CM58" s="1930"/>
      <c r="CN58" s="1930"/>
      <c r="CO58" s="1930"/>
      <c r="CP58" s="1931"/>
      <c r="CQ58" s="1710">
        <f t="shared" si="168"/>
        <v>0</v>
      </c>
      <c r="CR58" s="1711"/>
      <c r="CS58" s="1711"/>
      <c r="CT58" s="1711"/>
      <c r="CU58" s="1711"/>
      <c r="CV58" s="2936"/>
      <c r="CW58" s="1711"/>
      <c r="CX58" s="1711"/>
      <c r="CY58" s="1711"/>
      <c r="CZ58" s="1711"/>
      <c r="DA58" s="1711"/>
      <c r="DB58" s="1711"/>
      <c r="DC58" s="2286"/>
      <c r="DD58" s="2766"/>
      <c r="DE58" s="2587"/>
      <c r="DF58" s="2587"/>
      <c r="DG58" s="2594"/>
      <c r="DH58" s="2210"/>
      <c r="DI58" s="2210"/>
      <c r="DJ58" s="2210"/>
      <c r="DK58" s="1884"/>
    </row>
    <row r="59" spans="1:120">
      <c r="B59" s="36" t="s">
        <v>101</v>
      </c>
      <c r="C59" s="37"/>
      <c r="D59" s="481"/>
      <c r="E59" s="1340"/>
      <c r="F59" s="1340"/>
      <c r="G59" s="1340"/>
      <c r="H59" s="1340"/>
      <c r="I59" s="1340"/>
      <c r="J59" s="1340"/>
      <c r="K59" s="1340"/>
      <c r="L59" s="1340"/>
      <c r="M59" s="1340"/>
      <c r="N59" s="1340"/>
      <c r="O59" s="1340"/>
      <c r="P59" s="1340"/>
      <c r="Q59" s="64">
        <f t="shared" si="169"/>
        <v>0</v>
      </c>
      <c r="R59" s="1340"/>
      <c r="S59" s="1340"/>
      <c r="T59" s="1340"/>
      <c r="U59" s="1340"/>
      <c r="V59" s="1358"/>
      <c r="W59" s="1340"/>
      <c r="X59" s="1340"/>
      <c r="Y59" s="1340"/>
      <c r="Z59" s="1340"/>
      <c r="AA59" s="1340"/>
      <c r="AB59" s="1340"/>
      <c r="AC59" s="1341"/>
      <c r="AD59" s="1119">
        <v>0</v>
      </c>
      <c r="AE59" s="1058"/>
      <c r="AF59" s="1058"/>
      <c r="AG59" s="1058"/>
      <c r="AH59" s="1058"/>
      <c r="AI59" s="1066"/>
      <c r="AJ59" s="1058"/>
      <c r="AK59" s="1058"/>
      <c r="AL59" s="1058"/>
      <c r="AM59" s="1058"/>
      <c r="AN59" s="1058"/>
      <c r="AO59" s="1058"/>
      <c r="AP59" s="1059"/>
      <c r="AQ59" s="810">
        <f t="shared" si="164"/>
        <v>0</v>
      </c>
      <c r="AR59" s="1360"/>
      <c r="AS59" s="1360"/>
      <c r="AT59" s="1360"/>
      <c r="AU59" s="1360"/>
      <c r="AV59" s="1361"/>
      <c r="AW59" s="1360"/>
      <c r="AX59" s="1360"/>
      <c r="AY59" s="1360"/>
      <c r="AZ59" s="1360"/>
      <c r="BA59" s="1360"/>
      <c r="BB59" s="1360"/>
      <c r="BC59" s="1360"/>
      <c r="BD59" s="64">
        <f t="shared" si="165"/>
        <v>0</v>
      </c>
      <c r="BE59" s="1480"/>
      <c r="BF59" s="1480"/>
      <c r="BG59" s="1480"/>
      <c r="BH59" s="1480"/>
      <c r="BI59" s="1481"/>
      <c r="BJ59" s="1480"/>
      <c r="BK59" s="1480"/>
      <c r="BL59" s="1412"/>
      <c r="BM59" s="1412"/>
      <c r="BN59" s="1412"/>
      <c r="BO59" s="1412"/>
      <c r="BP59" s="1412"/>
      <c r="BQ59" s="64">
        <f t="shared" si="166"/>
        <v>0</v>
      </c>
      <c r="BR59" s="1781"/>
      <c r="BS59" s="1781"/>
      <c r="BT59" s="1781"/>
      <c r="BU59" s="1781"/>
      <c r="BV59" s="1924"/>
      <c r="BW59" s="1781">
        <v>0</v>
      </c>
      <c r="BX59" s="1781"/>
      <c r="BY59" s="1781"/>
      <c r="BZ59" s="1781"/>
      <c r="CA59" s="1781"/>
      <c r="CB59" s="1781"/>
      <c r="CC59" s="1782">
        <v>0</v>
      </c>
      <c r="CD59" s="1710">
        <f t="shared" si="167"/>
        <v>0</v>
      </c>
      <c r="CE59" s="1930"/>
      <c r="CF59" s="1930"/>
      <c r="CG59" s="1930"/>
      <c r="CH59" s="1930"/>
      <c r="CI59" s="2852"/>
      <c r="CJ59" s="1930"/>
      <c r="CK59" s="1930"/>
      <c r="CL59" s="1930"/>
      <c r="CM59" s="1930"/>
      <c r="CN59" s="1930"/>
      <c r="CO59" s="1930"/>
      <c r="CP59" s="1931"/>
      <c r="CQ59" s="1710">
        <f t="shared" si="168"/>
        <v>0</v>
      </c>
      <c r="CR59" s="1711"/>
      <c r="CS59" s="1711"/>
      <c r="CT59" s="1711"/>
      <c r="CU59" s="1711"/>
      <c r="CV59" s="2936"/>
      <c r="CW59" s="1711"/>
      <c r="CX59" s="1711"/>
      <c r="CY59" s="1711"/>
      <c r="CZ59" s="1711"/>
      <c r="DA59" s="1711"/>
      <c r="DB59" s="1711"/>
      <c r="DC59" s="2286"/>
      <c r="DD59" s="2766"/>
      <c r="DE59" s="2587"/>
      <c r="DF59" s="2587"/>
      <c r="DG59" s="2594"/>
      <c r="DH59" s="2210"/>
      <c r="DI59" s="2210"/>
      <c r="DJ59" s="2210"/>
      <c r="DK59" s="1884"/>
    </row>
    <row r="60" spans="1:120">
      <c r="B60" s="36" t="s">
        <v>102</v>
      </c>
      <c r="C60" s="37"/>
      <c r="D60" s="481"/>
      <c r="E60" s="1357">
        <v>0</v>
      </c>
      <c r="F60" s="1357">
        <v>0</v>
      </c>
      <c r="G60" s="1357">
        <v>0</v>
      </c>
      <c r="H60" s="1357">
        <v>2.7262729999999999</v>
      </c>
      <c r="I60" s="1357">
        <v>0</v>
      </c>
      <c r="J60" s="1357">
        <v>0</v>
      </c>
      <c r="K60" s="1357">
        <v>0</v>
      </c>
      <c r="L60" s="1357">
        <v>0</v>
      </c>
      <c r="M60" s="1340"/>
      <c r="N60" s="1340"/>
      <c r="O60" s="1340"/>
      <c r="P60" s="1340"/>
      <c r="Q60" s="64">
        <f t="shared" si="169"/>
        <v>4.2943639999999998</v>
      </c>
      <c r="R60" s="1340"/>
      <c r="S60" s="1340"/>
      <c r="T60" s="1340"/>
      <c r="U60" s="1340">
        <v>4.1630000000000003</v>
      </c>
      <c r="V60" s="1358"/>
      <c r="W60" s="1340"/>
      <c r="X60" s="1340">
        <v>0.13136400000000001</v>
      </c>
      <c r="Y60" s="1340"/>
      <c r="Z60" s="1340"/>
      <c r="AA60" s="1340"/>
      <c r="AB60" s="1340"/>
      <c r="AC60" s="1341">
        <v>0</v>
      </c>
      <c r="AD60" s="1119">
        <v>1.8979999999999999</v>
      </c>
      <c r="AE60" s="1058"/>
      <c r="AF60" s="1058"/>
      <c r="AG60" s="1058"/>
      <c r="AH60" s="1058">
        <v>1.8979999999999999</v>
      </c>
      <c r="AI60" s="1058"/>
      <c r="AJ60" s="1058"/>
      <c r="AK60" s="1058"/>
      <c r="AL60" s="1058"/>
      <c r="AM60" s="1058"/>
      <c r="AN60" s="1058"/>
      <c r="AO60" s="1058"/>
      <c r="AP60" s="1059"/>
      <c r="AQ60" s="810">
        <f t="shared" si="164"/>
        <v>0</v>
      </c>
      <c r="AR60" s="1360"/>
      <c r="AS60" s="1360"/>
      <c r="AT60" s="1360"/>
      <c r="AU60" s="1360"/>
      <c r="AV60" s="1360"/>
      <c r="AW60" s="1360"/>
      <c r="AX60" s="1360"/>
      <c r="AY60" s="1360"/>
      <c r="AZ60" s="1360"/>
      <c r="BA60" s="1360"/>
      <c r="BB60" s="1360"/>
      <c r="BC60" s="1360"/>
      <c r="BD60" s="64">
        <f t="shared" si="165"/>
        <v>0</v>
      </c>
      <c r="BE60" s="1480"/>
      <c r="BF60" s="1480"/>
      <c r="BG60" s="1480"/>
      <c r="BH60" s="1480"/>
      <c r="BI60" s="1480"/>
      <c r="BJ60" s="1480"/>
      <c r="BK60" s="1480"/>
      <c r="BL60" s="1412"/>
      <c r="BM60" s="1412"/>
      <c r="BN60" s="1412"/>
      <c r="BO60" s="1412"/>
      <c r="BP60" s="1412"/>
      <c r="BQ60" s="64">
        <f t="shared" si="166"/>
        <v>0</v>
      </c>
      <c r="BR60" s="1781"/>
      <c r="BS60" s="1781"/>
      <c r="BT60" s="1781"/>
      <c r="BU60" s="1781"/>
      <c r="BV60" s="1781"/>
      <c r="BW60" s="1781">
        <v>0</v>
      </c>
      <c r="BX60" s="1781"/>
      <c r="BY60" s="1781"/>
      <c r="BZ60" s="1781"/>
      <c r="CA60" s="1781"/>
      <c r="CB60" s="1781"/>
      <c r="CC60" s="1782">
        <v>0</v>
      </c>
      <c r="CD60" s="1710">
        <f t="shared" si="167"/>
        <v>0</v>
      </c>
      <c r="CE60" s="1930"/>
      <c r="CF60" s="1930"/>
      <c r="CG60" s="1930"/>
      <c r="CH60" s="1930"/>
      <c r="CI60" s="1930"/>
      <c r="CJ60" s="1930"/>
      <c r="CK60" s="1930"/>
      <c r="CL60" s="1930"/>
      <c r="CM60" s="1930"/>
      <c r="CN60" s="1930"/>
      <c r="CO60" s="1930"/>
      <c r="CP60" s="1931"/>
      <c r="CQ60" s="1710">
        <f t="shared" si="168"/>
        <v>0</v>
      </c>
      <c r="CR60" s="1711"/>
      <c r="CS60" s="1711"/>
      <c r="CT60" s="1711"/>
      <c r="CU60" s="1711"/>
      <c r="CV60" s="1711"/>
      <c r="CW60" s="1711"/>
      <c r="CX60" s="1711"/>
      <c r="CY60" s="1711"/>
      <c r="CZ60" s="1711"/>
      <c r="DA60" s="1711"/>
      <c r="DB60" s="1711"/>
      <c r="DC60" s="2286"/>
      <c r="DD60" s="2766"/>
      <c r="DE60" s="2587"/>
      <c r="DF60" s="2587"/>
      <c r="DG60" s="2594"/>
      <c r="DH60" s="2210"/>
      <c r="DI60" s="2210"/>
      <c r="DJ60" s="2210"/>
      <c r="DK60" s="1884"/>
    </row>
    <row r="61" spans="1:120">
      <c r="B61" s="36" t="s">
        <v>103</v>
      </c>
      <c r="C61" s="37"/>
      <c r="D61" s="481"/>
      <c r="E61" s="1340"/>
      <c r="F61" s="1340"/>
      <c r="G61" s="1340"/>
      <c r="H61" s="1340"/>
      <c r="I61" s="1357">
        <v>49.166665000000002</v>
      </c>
      <c r="J61" s="1357">
        <v>0</v>
      </c>
      <c r="K61" s="1357">
        <v>0</v>
      </c>
      <c r="L61" s="1357">
        <v>15.049300000000001</v>
      </c>
      <c r="M61" s="1340"/>
      <c r="N61" s="1340">
        <v>64.998999999999995</v>
      </c>
      <c r="O61" s="1340"/>
      <c r="P61" s="1340">
        <v>836.51370499999996</v>
      </c>
      <c r="Q61" s="64">
        <f t="shared" si="169"/>
        <v>164.21415300000001</v>
      </c>
      <c r="R61" s="1340"/>
      <c r="S61" s="1340">
        <v>7.4161659999999996</v>
      </c>
      <c r="T61" s="1340"/>
      <c r="U61" s="1340"/>
      <c r="V61" s="1358"/>
      <c r="W61" s="1340">
        <v>69.998999999999995</v>
      </c>
      <c r="X61" s="1340"/>
      <c r="Y61" s="1340"/>
      <c r="Z61" s="1340">
        <v>19.999997</v>
      </c>
      <c r="AA61" s="1340">
        <v>23.865659999999998</v>
      </c>
      <c r="AB61" s="1340">
        <v>42.933329999999998</v>
      </c>
      <c r="AC61" s="1341">
        <v>0</v>
      </c>
      <c r="AD61" s="1119">
        <v>394.99299999999999</v>
      </c>
      <c r="AE61" s="1058">
        <v>4.9989999999999997</v>
      </c>
      <c r="AF61" s="1058"/>
      <c r="AG61" s="1058"/>
      <c r="AH61" s="1058"/>
      <c r="AI61" s="1058">
        <v>139.99799999999999</v>
      </c>
      <c r="AJ61" s="1058">
        <v>9.9990000000000006</v>
      </c>
      <c r="AK61" s="1058"/>
      <c r="AL61" s="1058"/>
      <c r="AM61" s="1058">
        <v>110</v>
      </c>
      <c r="AN61" s="1058"/>
      <c r="AO61" s="1058"/>
      <c r="AP61" s="1059">
        <v>129.99700000000001</v>
      </c>
      <c r="AQ61" s="810">
        <f t="shared" si="164"/>
        <v>0</v>
      </c>
      <c r="AR61" s="1360"/>
      <c r="AS61" s="1360"/>
      <c r="AT61" s="1360"/>
      <c r="AU61" s="1360"/>
      <c r="AV61" s="1360"/>
      <c r="AW61" s="1360"/>
      <c r="AX61" s="1360"/>
      <c r="AY61" s="1360"/>
      <c r="AZ61" s="1360"/>
      <c r="BA61" s="1360"/>
      <c r="BB61" s="1360"/>
      <c r="BC61" s="1360"/>
      <c r="BD61" s="64">
        <f t="shared" si="165"/>
        <v>0</v>
      </c>
      <c r="BE61" s="1480"/>
      <c r="BF61" s="1480"/>
      <c r="BG61" s="1480"/>
      <c r="BH61" s="1480"/>
      <c r="BI61" s="1480"/>
      <c r="BJ61" s="1480"/>
      <c r="BK61" s="1480"/>
      <c r="BL61" s="1412"/>
      <c r="BM61" s="1412"/>
      <c r="BN61" s="1412"/>
      <c r="BO61" s="1412">
        <v>44.999000000000002</v>
      </c>
      <c r="BP61" s="1412">
        <v>-44.999000000000002</v>
      </c>
      <c r="BQ61" s="64">
        <f t="shared" si="166"/>
        <v>0</v>
      </c>
      <c r="BR61" s="1781"/>
      <c r="BS61" s="1781"/>
      <c r="BT61" s="1781"/>
      <c r="BU61" s="1781"/>
      <c r="BV61" s="1781"/>
      <c r="BW61" s="1781">
        <v>0</v>
      </c>
      <c r="BX61" s="1781"/>
      <c r="BY61" s="1781"/>
      <c r="BZ61" s="1781"/>
      <c r="CA61" s="1781"/>
      <c r="CB61" s="1781"/>
      <c r="CC61" s="1782">
        <v>0</v>
      </c>
      <c r="CD61" s="1710">
        <f t="shared" si="167"/>
        <v>0</v>
      </c>
      <c r="CE61" s="1930"/>
      <c r="CF61" s="1930">
        <v>9.9979999999999993</v>
      </c>
      <c r="CG61" s="1930">
        <v>-9.9979999999999993</v>
      </c>
      <c r="CH61" s="1930"/>
      <c r="CI61" s="1930"/>
      <c r="CJ61" s="1930"/>
      <c r="CK61" s="1930"/>
      <c r="CL61" s="1930"/>
      <c r="CM61" s="1930"/>
      <c r="CN61" s="1930"/>
      <c r="CO61" s="1930"/>
      <c r="CP61" s="1931"/>
      <c r="CQ61" s="1710">
        <f t="shared" si="168"/>
        <v>0</v>
      </c>
      <c r="CR61" s="1711"/>
      <c r="CS61" s="1711"/>
      <c r="CT61" s="1711"/>
      <c r="CU61" s="1711"/>
      <c r="CV61" s="1711"/>
      <c r="CW61" s="1711"/>
      <c r="CX61" s="1711"/>
      <c r="CY61" s="1711"/>
      <c r="CZ61" s="1711"/>
      <c r="DA61" s="1711"/>
      <c r="DB61" s="1711"/>
      <c r="DC61" s="2286"/>
      <c r="DD61" s="2766"/>
      <c r="DE61" s="2587"/>
      <c r="DF61" s="2587"/>
      <c r="DG61" s="2594"/>
      <c r="DH61" s="2210"/>
      <c r="DI61" s="2210"/>
      <c r="DJ61" s="2210"/>
      <c r="DK61" s="1884"/>
    </row>
    <row r="62" spans="1:120">
      <c r="B62" s="36" t="s">
        <v>358</v>
      </c>
      <c r="C62" s="37"/>
      <c r="D62" s="481"/>
      <c r="E62" s="1340"/>
      <c r="F62" s="1340"/>
      <c r="G62" s="1340">
        <v>0.20716300000000001</v>
      </c>
      <c r="H62" s="1340"/>
      <c r="I62" s="1357">
        <v>0</v>
      </c>
      <c r="J62" s="1357">
        <v>10.164543</v>
      </c>
      <c r="K62" s="1357">
        <v>0</v>
      </c>
      <c r="L62" s="1357">
        <v>0</v>
      </c>
      <c r="M62" s="1340">
        <v>4.4806210000000002</v>
      </c>
      <c r="N62" s="1340"/>
      <c r="O62" s="1340"/>
      <c r="P62" s="1340">
        <v>30.098980999999998</v>
      </c>
      <c r="Q62" s="64">
        <f t="shared" si="169"/>
        <v>64.532661000000004</v>
      </c>
      <c r="R62" s="1340"/>
      <c r="S62" s="1340"/>
      <c r="T62" s="1340">
        <v>21.253668999999999</v>
      </c>
      <c r="U62" s="1340"/>
      <c r="V62" s="1358"/>
      <c r="W62" s="1340">
        <v>16.598099999999999</v>
      </c>
      <c r="X62" s="1340"/>
      <c r="Y62" s="1340"/>
      <c r="Z62" s="1340">
        <v>22.492476</v>
      </c>
      <c r="AA62" s="1340"/>
      <c r="AB62" s="1340"/>
      <c r="AC62" s="1341">
        <v>4.1884160000000001</v>
      </c>
      <c r="AD62" s="1119">
        <v>23.174194</v>
      </c>
      <c r="AE62" s="1058"/>
      <c r="AF62" s="1058"/>
      <c r="AG62" s="1058">
        <v>0.17533199999999999</v>
      </c>
      <c r="AH62" s="1058"/>
      <c r="AI62" s="1066"/>
      <c r="AJ62" s="1058">
        <v>12.809675</v>
      </c>
      <c r="AK62" s="1058"/>
      <c r="AL62" s="1058"/>
      <c r="AM62" s="1058">
        <v>5.2304519999999997</v>
      </c>
      <c r="AN62" s="1058"/>
      <c r="AO62" s="1058"/>
      <c r="AP62" s="1059">
        <v>4.9587349999999999</v>
      </c>
      <c r="AQ62" s="810">
        <f t="shared" si="164"/>
        <v>86.649585999999999</v>
      </c>
      <c r="AR62" s="1360"/>
      <c r="AS62" s="1360"/>
      <c r="AT62" s="1360">
        <v>12.642950000000001</v>
      </c>
      <c r="AU62" s="1360"/>
      <c r="AV62" s="1361"/>
      <c r="AW62" s="1360">
        <v>11.422862</v>
      </c>
      <c r="AX62" s="1360"/>
      <c r="AY62" s="1360"/>
      <c r="AZ62" s="1360">
        <v>17.107852999999999</v>
      </c>
      <c r="BA62" s="1360"/>
      <c r="BB62" s="1360"/>
      <c r="BC62" s="1360">
        <v>45.475921</v>
      </c>
      <c r="BD62" s="64">
        <f t="shared" si="165"/>
        <v>88.385468000000003</v>
      </c>
      <c r="BE62" s="1480"/>
      <c r="BF62" s="1480"/>
      <c r="BG62" s="1480">
        <v>0.809805</v>
      </c>
      <c r="BH62" s="1480"/>
      <c r="BI62" s="1481"/>
      <c r="BJ62" s="1480">
        <v>9.5927769999999999</v>
      </c>
      <c r="BK62" s="1480"/>
      <c r="BL62" s="1412"/>
      <c r="BM62" s="1412">
        <v>2.9989219999999999</v>
      </c>
      <c r="BN62" s="1412"/>
      <c r="BO62" s="1412"/>
      <c r="BP62" s="1412">
        <v>74.983964</v>
      </c>
      <c r="BQ62" s="64">
        <f t="shared" si="166"/>
        <v>43.739376999999998</v>
      </c>
      <c r="BR62" s="1781"/>
      <c r="BS62" s="1781"/>
      <c r="BT62" s="1781">
        <v>17.560296000000001</v>
      </c>
      <c r="BU62" s="1781"/>
      <c r="BV62" s="1924"/>
      <c r="BW62" s="1781">
        <v>25.140374999999999</v>
      </c>
      <c r="BX62" s="1781"/>
      <c r="BY62" s="1781"/>
      <c r="BZ62" s="1781"/>
      <c r="CA62" s="1781"/>
      <c r="CB62" s="1781"/>
      <c r="CC62" s="1782">
        <v>1.0387059999999999</v>
      </c>
      <c r="CD62" s="1710">
        <f t="shared" si="167"/>
        <v>35.732495</v>
      </c>
      <c r="CE62" s="1930"/>
      <c r="CF62" s="1930"/>
      <c r="CG62" s="1930">
        <v>27.122907000000001</v>
      </c>
      <c r="CH62" s="1930"/>
      <c r="CI62" s="2852"/>
      <c r="CJ62" s="1930">
        <v>0.70184400000000002</v>
      </c>
      <c r="CK62" s="1930"/>
      <c r="CL62" s="1930"/>
      <c r="CM62" s="1930">
        <v>1.278162</v>
      </c>
      <c r="CN62" s="1930"/>
      <c r="CO62" s="1930"/>
      <c r="CP62" s="1931">
        <v>6.6295820000000001</v>
      </c>
      <c r="CQ62" s="1710">
        <f t="shared" si="168"/>
        <v>0</v>
      </c>
      <c r="CR62" s="1711"/>
      <c r="CS62" s="1711"/>
      <c r="CT62" s="1711"/>
      <c r="CU62" s="1711"/>
      <c r="CV62" s="2936"/>
      <c r="CW62" s="1711"/>
      <c r="CX62" s="1711"/>
      <c r="CY62" s="1711"/>
      <c r="CZ62" s="1711"/>
      <c r="DA62" s="1711"/>
      <c r="DB62" s="1711"/>
      <c r="DC62" s="2286"/>
      <c r="DD62" s="2766"/>
      <c r="DE62" s="2587"/>
      <c r="DF62" s="2587"/>
      <c r="DG62" s="2594"/>
      <c r="DH62" s="2210"/>
      <c r="DI62" s="2210"/>
      <c r="DJ62" s="2210"/>
      <c r="DK62" s="1884"/>
    </row>
    <row r="63" spans="1:120">
      <c r="B63" s="804" t="s">
        <v>459</v>
      </c>
      <c r="C63" s="37"/>
      <c r="D63" s="481"/>
      <c r="E63" s="1340"/>
      <c r="F63" s="1340"/>
      <c r="G63" s="1340"/>
      <c r="H63" s="1340"/>
      <c r="I63" s="1357"/>
      <c r="J63" s="1357"/>
      <c r="K63" s="1357"/>
      <c r="L63" s="1357"/>
      <c r="M63" s="1340"/>
      <c r="N63" s="1340"/>
      <c r="O63" s="1340"/>
      <c r="P63" s="1340"/>
      <c r="Q63" s="64"/>
      <c r="R63" s="1340"/>
      <c r="S63" s="1340"/>
      <c r="T63" s="1340"/>
      <c r="U63" s="1340"/>
      <c r="V63" s="1358"/>
      <c r="W63" s="1340"/>
      <c r="X63" s="1340"/>
      <c r="Y63" s="1340"/>
      <c r="Z63" s="1340"/>
      <c r="AA63" s="1340"/>
      <c r="AB63" s="1340"/>
      <c r="AC63" s="1341"/>
      <c r="AD63" s="1119"/>
      <c r="AE63" s="1058"/>
      <c r="AF63" s="1058"/>
      <c r="AG63" s="1058"/>
      <c r="AH63" s="1058"/>
      <c r="AI63" s="1066"/>
      <c r="AJ63" s="1058"/>
      <c r="AK63" s="1058"/>
      <c r="AL63" s="1058"/>
      <c r="AM63" s="1058"/>
      <c r="AN63" s="1058"/>
      <c r="AO63" s="1058"/>
      <c r="AP63" s="1059"/>
      <c r="AQ63" s="810">
        <f t="shared" si="164"/>
        <v>245.11199999999999</v>
      </c>
      <c r="AR63" s="1360"/>
      <c r="AS63" s="1360"/>
      <c r="AT63" s="1360"/>
      <c r="AU63" s="1360"/>
      <c r="AV63" s="1361"/>
      <c r="AW63" s="1360"/>
      <c r="AX63" s="1360"/>
      <c r="AY63" s="1360"/>
      <c r="AZ63" s="1360"/>
      <c r="BA63" s="1360">
        <v>245.11199999999999</v>
      </c>
      <c r="BB63" s="1360"/>
      <c r="BC63" s="1360"/>
      <c r="BD63" s="64"/>
      <c r="BE63" s="1480"/>
      <c r="BF63" s="1480"/>
      <c r="BG63" s="1480"/>
      <c r="BH63" s="1480"/>
      <c r="BI63" s="1481"/>
      <c r="BJ63" s="1480"/>
      <c r="BK63" s="1480"/>
      <c r="BL63" s="1412"/>
      <c r="BM63" s="1412"/>
      <c r="BN63" s="1412"/>
      <c r="BO63" s="1412"/>
      <c r="BP63" s="1412"/>
      <c r="BQ63" s="64"/>
      <c r="BR63" s="1781"/>
      <c r="BS63" s="1781"/>
      <c r="BT63" s="1781"/>
      <c r="BU63" s="1781"/>
      <c r="BV63" s="1924"/>
      <c r="BW63" s="1781">
        <v>0</v>
      </c>
      <c r="BX63" s="1781"/>
      <c r="BY63" s="1781"/>
      <c r="BZ63" s="1781"/>
      <c r="CA63" s="1781"/>
      <c r="CB63" s="1781"/>
      <c r="CC63" s="1782">
        <v>0</v>
      </c>
      <c r="CD63" s="1710"/>
      <c r="CE63" s="1930"/>
      <c r="CF63" s="1930"/>
      <c r="CG63" s="1930"/>
      <c r="CH63" s="1930"/>
      <c r="CI63" s="2852"/>
      <c r="CJ63" s="1930"/>
      <c r="CK63" s="1930"/>
      <c r="CL63" s="1930"/>
      <c r="CM63" s="1930"/>
      <c r="CN63" s="1930"/>
      <c r="CO63" s="1930"/>
      <c r="CP63" s="1931"/>
      <c r="CQ63" s="1710"/>
      <c r="CR63" s="1711"/>
      <c r="CS63" s="1711"/>
      <c r="CT63" s="1711"/>
      <c r="CU63" s="1711"/>
      <c r="CV63" s="2936"/>
      <c r="CW63" s="1711"/>
      <c r="CX63" s="1711"/>
      <c r="CY63" s="1711"/>
      <c r="CZ63" s="1711"/>
      <c r="DA63" s="1711"/>
      <c r="DB63" s="1711"/>
      <c r="DC63" s="2286"/>
      <c r="DD63" s="2766"/>
      <c r="DE63" s="2587"/>
      <c r="DF63" s="2587"/>
      <c r="DG63" s="2594"/>
      <c r="DH63" s="2210"/>
      <c r="DI63" s="2210"/>
      <c r="DJ63" s="2210"/>
      <c r="DK63" s="1884"/>
    </row>
    <row r="64" spans="1:120">
      <c r="B64" s="38" t="s">
        <v>104</v>
      </c>
      <c r="C64" s="39"/>
      <c r="D64" s="52"/>
      <c r="E64" s="1362">
        <v>1.0002E-2</v>
      </c>
      <c r="F64" s="1362">
        <v>0</v>
      </c>
      <c r="G64" s="1362">
        <v>0</v>
      </c>
      <c r="H64" s="1362">
        <v>0</v>
      </c>
      <c r="I64" s="1362">
        <v>0</v>
      </c>
      <c r="J64" s="1362">
        <v>0</v>
      </c>
      <c r="K64" s="1362">
        <v>0.01</v>
      </c>
      <c r="L64" s="1362">
        <v>0</v>
      </c>
      <c r="M64" s="1362">
        <v>6.6</v>
      </c>
      <c r="N64" s="1346"/>
      <c r="O64" s="1346"/>
      <c r="P64" s="1346"/>
      <c r="Q64" s="1349">
        <f t="shared" si="169"/>
        <v>102.69080599999999</v>
      </c>
      <c r="R64" s="1346">
        <v>1.0004000000000001E-2</v>
      </c>
      <c r="S64" s="1346"/>
      <c r="T64" s="1346"/>
      <c r="U64" s="1346"/>
      <c r="V64" s="1346">
        <v>74.3</v>
      </c>
      <c r="W64" s="1346"/>
      <c r="X64" s="1346">
        <v>2.9198000000000002E-2</v>
      </c>
      <c r="Y64" s="1346">
        <v>28.351595</v>
      </c>
      <c r="Z64" s="1346"/>
      <c r="AA64" s="1346">
        <v>9.0000000000000002E-6</v>
      </c>
      <c r="AB64" s="1346"/>
      <c r="AC64" s="1350">
        <v>0</v>
      </c>
      <c r="AD64" s="1501">
        <v>40.462108999999998</v>
      </c>
      <c r="AE64" s="1062">
        <v>9.0000000000000002E-6</v>
      </c>
      <c r="AF64" s="1062"/>
      <c r="AG64" s="1062">
        <v>18.999205</v>
      </c>
      <c r="AH64" s="1062">
        <v>7.9999999999999996E-6</v>
      </c>
      <c r="AI64" s="1062"/>
      <c r="AJ64" s="1062"/>
      <c r="AK64" s="1062">
        <v>6.0000000000000002E-6</v>
      </c>
      <c r="AL64" s="1062"/>
      <c r="AM64" s="1062">
        <v>21.462876000000001</v>
      </c>
      <c r="AN64" s="1062">
        <v>5.0000000000000004E-6</v>
      </c>
      <c r="AO64" s="1062"/>
      <c r="AP64" s="1063"/>
      <c r="AQ64" s="1363">
        <f t="shared" si="164"/>
        <v>1939.3501119999999</v>
      </c>
      <c r="AR64" s="1364">
        <v>1744.2720179999999</v>
      </c>
      <c r="AS64" s="1364">
        <v>2.3685909999999999</v>
      </c>
      <c r="AT64" s="1364">
        <v>109.68239</v>
      </c>
      <c r="AU64" s="1364">
        <v>0.88800699999999999</v>
      </c>
      <c r="AV64" s="1364"/>
      <c r="AW64" s="1364"/>
      <c r="AX64" s="1364">
        <v>0.12760199999999999</v>
      </c>
      <c r="AY64" s="1364"/>
      <c r="AZ64" s="1364"/>
      <c r="BA64" s="1364">
        <v>3.9999999999999998E-6</v>
      </c>
      <c r="BB64" s="1364"/>
      <c r="BC64" s="1364">
        <v>82.011499999999998</v>
      </c>
      <c r="BD64" s="1349">
        <f t="shared" si="165"/>
        <v>634.023957</v>
      </c>
      <c r="BE64" s="1482">
        <v>5.0000000000000004E-6</v>
      </c>
      <c r="BF64" s="1482">
        <v>5.4800000000000001E-2</v>
      </c>
      <c r="BG64" s="1482">
        <v>348.24158999999997</v>
      </c>
      <c r="BH64" s="1482"/>
      <c r="BI64" s="1482"/>
      <c r="BJ64" s="1482">
        <v>0</v>
      </c>
      <c r="BK64" s="1482">
        <v>6.9999999999999999E-6</v>
      </c>
      <c r="BL64" s="1347"/>
      <c r="BM64" s="1347">
        <v>285.22755000000001</v>
      </c>
      <c r="BN64" s="1347">
        <v>5.0000000000000004E-6</v>
      </c>
      <c r="BO64" s="1347">
        <v>0.5</v>
      </c>
      <c r="BP64" s="1347"/>
      <c r="BQ64" s="1349">
        <f t="shared" ref="BQ64:BQ74" si="170">SUM(BR64:CC64)</f>
        <v>383.74762599999997</v>
      </c>
      <c r="BR64" s="1920">
        <v>3.0000000000000001E-6</v>
      </c>
      <c r="BS64" s="1920">
        <v>4.4519700000000002</v>
      </c>
      <c r="BT64" s="1920"/>
      <c r="BU64" s="1920">
        <v>0.72533300000000001</v>
      </c>
      <c r="BV64" s="1920">
        <v>4.2241569999999999</v>
      </c>
      <c r="BW64" s="1920">
        <v>362.26161500000001</v>
      </c>
      <c r="BX64" s="1920">
        <v>3.4540000000000001E-2</v>
      </c>
      <c r="BY64" s="1920">
        <v>1</v>
      </c>
      <c r="BZ64" s="1920">
        <v>1.4</v>
      </c>
      <c r="CA64" s="1920">
        <v>2.700008</v>
      </c>
      <c r="CB64" s="1920">
        <v>3.5750000000000002</v>
      </c>
      <c r="CC64" s="1921">
        <v>3.375</v>
      </c>
      <c r="CD64" s="1349">
        <f t="shared" ref="CD64:CD74" si="171">SUM(CE64:CP64)</f>
        <v>524.80340799999999</v>
      </c>
      <c r="CE64" s="2851">
        <v>5.2500010000000001</v>
      </c>
      <c r="CF64" s="2851">
        <v>7.6727379999999998</v>
      </c>
      <c r="CG64" s="2851">
        <v>6.8</v>
      </c>
      <c r="CH64" s="2851">
        <v>0.106727</v>
      </c>
      <c r="CI64" s="2851">
        <v>484.29890999999998</v>
      </c>
      <c r="CJ64" s="2851">
        <v>3.4750000000000001</v>
      </c>
      <c r="CK64" s="2851">
        <v>2.6000040000000002</v>
      </c>
      <c r="CL64" s="2851">
        <v>1.4</v>
      </c>
      <c r="CM64" s="2851">
        <v>4.1250200000000001</v>
      </c>
      <c r="CN64" s="2851">
        <v>2.1000079999999999</v>
      </c>
      <c r="CO64" s="2851">
        <v>3</v>
      </c>
      <c r="CP64" s="2878">
        <v>3.9750000000000001</v>
      </c>
      <c r="CQ64" s="1349">
        <f t="shared" ref="CQ64:CQ74" si="172">SUM(CR64:DC64)</f>
        <v>11</v>
      </c>
      <c r="CR64" s="2015"/>
      <c r="CS64" s="2015">
        <v>2</v>
      </c>
      <c r="CT64" s="2015">
        <v>3</v>
      </c>
      <c r="CU64" s="2015"/>
      <c r="CV64" s="2015"/>
      <c r="CW64" s="2015">
        <v>2</v>
      </c>
      <c r="CX64" s="2015"/>
      <c r="CY64" s="2015">
        <v>2</v>
      </c>
      <c r="CZ64" s="2015"/>
      <c r="DA64" s="2015">
        <v>1</v>
      </c>
      <c r="DB64" s="2015"/>
      <c r="DC64" s="2288">
        <v>1</v>
      </c>
      <c r="DD64" s="2766"/>
      <c r="DE64" s="2587"/>
      <c r="DF64" s="2587"/>
      <c r="DG64" s="2594"/>
      <c r="DH64" s="2210"/>
      <c r="DI64" s="2210"/>
      <c r="DJ64" s="2210"/>
      <c r="DK64" s="1884"/>
    </row>
    <row r="65" spans="1:121">
      <c r="B65" s="30" t="s">
        <v>105</v>
      </c>
      <c r="C65" s="31"/>
      <c r="D65" s="32"/>
      <c r="E65" s="417">
        <f t="shared" ref="E65:P65" si="173">SUM(E66:E74)</f>
        <v>154.79960299999999</v>
      </c>
      <c r="F65" s="417">
        <f t="shared" si="173"/>
        <v>146.14799099999999</v>
      </c>
      <c r="G65" s="417">
        <f t="shared" si="173"/>
        <v>319.62312900000001</v>
      </c>
      <c r="H65" s="417">
        <f t="shared" si="173"/>
        <v>149.59849199999999</v>
      </c>
      <c r="I65" s="417">
        <f t="shared" si="173"/>
        <v>207.446316</v>
      </c>
      <c r="J65" s="417">
        <f t="shared" si="173"/>
        <v>318.09304800000001</v>
      </c>
      <c r="K65" s="417">
        <f t="shared" si="173"/>
        <v>150.81904</v>
      </c>
      <c r="L65" s="417">
        <f t="shared" si="173"/>
        <v>144.13392300000001</v>
      </c>
      <c r="M65" s="417">
        <f t="shared" si="173"/>
        <v>276.09548799999999</v>
      </c>
      <c r="N65" s="417">
        <f t="shared" si="173"/>
        <v>163.195751</v>
      </c>
      <c r="O65" s="417">
        <f t="shared" si="173"/>
        <v>135.83344200000002</v>
      </c>
      <c r="P65" s="417">
        <f t="shared" si="173"/>
        <v>829.10203200000012</v>
      </c>
      <c r="Q65" s="1031">
        <f t="shared" si="169"/>
        <v>5745.9010969999999</v>
      </c>
      <c r="R65" s="417">
        <f t="shared" ref="R65:AC65" si="174">SUM(R66:R74)</f>
        <v>141.71855199999999</v>
      </c>
      <c r="S65" s="417">
        <f t="shared" si="174"/>
        <v>127.32632600000001</v>
      </c>
      <c r="T65" s="417">
        <f t="shared" si="174"/>
        <v>1097.373482</v>
      </c>
      <c r="U65" s="417">
        <f t="shared" si="174"/>
        <v>109.48141700000001</v>
      </c>
      <c r="V65" s="417">
        <f t="shared" si="174"/>
        <v>149.14295200000001</v>
      </c>
      <c r="W65" s="417">
        <f t="shared" si="174"/>
        <v>728.785707</v>
      </c>
      <c r="X65" s="417">
        <f t="shared" si="174"/>
        <v>105.845451</v>
      </c>
      <c r="Y65" s="417">
        <f t="shared" si="174"/>
        <v>109.183278</v>
      </c>
      <c r="Z65" s="417">
        <f t="shared" si="174"/>
        <v>813.77353500000004</v>
      </c>
      <c r="AA65" s="417">
        <f t="shared" si="174"/>
        <v>96.806234000000003</v>
      </c>
      <c r="AB65" s="417">
        <f t="shared" si="174"/>
        <v>96.457421999999994</v>
      </c>
      <c r="AC65" s="1036">
        <f t="shared" si="174"/>
        <v>2170.0067410000001</v>
      </c>
      <c r="AD65" s="1498">
        <v>4851.2783009999985</v>
      </c>
      <c r="AE65" s="1052">
        <f t="shared" ref="AE65:AP65" si="175">SUM(AE66:AE74)</f>
        <v>137.34166199999999</v>
      </c>
      <c r="AF65" s="1052">
        <f t="shared" si="175"/>
        <v>89.236958000000001</v>
      </c>
      <c r="AG65" s="1052">
        <f t="shared" si="175"/>
        <v>1520.1448579999999</v>
      </c>
      <c r="AH65" s="1052">
        <f t="shared" si="175"/>
        <v>95.397599999999997</v>
      </c>
      <c r="AI65" s="1052">
        <f t="shared" si="175"/>
        <v>107.84162000000001</v>
      </c>
      <c r="AJ65" s="1052">
        <f t="shared" si="175"/>
        <v>116.57228999999998</v>
      </c>
      <c r="AK65" s="1052">
        <f t="shared" si="175"/>
        <v>104.40152</v>
      </c>
      <c r="AL65" s="1052">
        <f t="shared" si="175"/>
        <v>98.577520000000007</v>
      </c>
      <c r="AM65" s="1052">
        <f t="shared" si="175"/>
        <v>2097.9145919999996</v>
      </c>
      <c r="AN65" s="1052">
        <f t="shared" si="175"/>
        <v>108.57752000000001</v>
      </c>
      <c r="AO65" s="1052">
        <f t="shared" si="175"/>
        <v>108.730937</v>
      </c>
      <c r="AP65" s="1053">
        <f t="shared" si="175"/>
        <v>266.541224</v>
      </c>
      <c r="AQ65" s="1024">
        <f t="shared" ref="AQ65:BC65" si="176">SUM(AQ66:AQ74)</f>
        <v>4987.0933269999996</v>
      </c>
      <c r="AR65" s="1344">
        <f t="shared" si="176"/>
        <v>98.577520000000007</v>
      </c>
      <c r="AS65" s="417">
        <f t="shared" si="176"/>
        <v>89.037760000000006</v>
      </c>
      <c r="AT65" s="417">
        <f t="shared" si="176"/>
        <v>1176.5180790000002</v>
      </c>
      <c r="AU65" s="417">
        <f t="shared" si="176"/>
        <v>97.045099999999991</v>
      </c>
      <c r="AV65" s="417">
        <f t="shared" si="176"/>
        <v>99.747521000000006</v>
      </c>
      <c r="AW65" s="417">
        <f t="shared" si="176"/>
        <v>3362.8446650000001</v>
      </c>
      <c r="AX65" s="417">
        <f t="shared" si="176"/>
        <v>98.584321000000003</v>
      </c>
      <c r="AY65" s="417">
        <f t="shared" si="176"/>
        <v>98.577520000000007</v>
      </c>
      <c r="AZ65" s="417">
        <f t="shared" si="176"/>
        <v>5641.0385349999997</v>
      </c>
      <c r="BA65" s="417">
        <f t="shared" si="176"/>
        <v>100.77691900000001</v>
      </c>
      <c r="BB65" s="417">
        <f t="shared" si="176"/>
        <v>95.397599999999997</v>
      </c>
      <c r="BC65" s="417">
        <f t="shared" si="176"/>
        <v>-5971.0522129999999</v>
      </c>
      <c r="BD65" s="1031">
        <f t="shared" si="165"/>
        <v>7345.6279750000003</v>
      </c>
      <c r="BE65" s="417">
        <f t="shared" ref="BE65:BO65" si="177">SUM(BE66:BE74)</f>
        <v>98.577520000000007</v>
      </c>
      <c r="BF65" s="417">
        <f t="shared" si="177"/>
        <v>89.037760000000006</v>
      </c>
      <c r="BG65" s="417">
        <f t="shared" si="177"/>
        <v>3916.2528249999996</v>
      </c>
      <c r="BH65" s="417">
        <f t="shared" si="177"/>
        <v>216.995205</v>
      </c>
      <c r="BI65" s="417">
        <f t="shared" si="177"/>
        <v>221.69671199999999</v>
      </c>
      <c r="BJ65" s="417">
        <f t="shared" si="177"/>
        <v>-126.470506</v>
      </c>
      <c r="BK65" s="417">
        <f t="shared" si="177"/>
        <v>322.59706199999999</v>
      </c>
      <c r="BL65" s="417">
        <f t="shared" si="177"/>
        <v>221.69671199999999</v>
      </c>
      <c r="BM65" s="417">
        <f t="shared" si="177"/>
        <v>579.58511600000008</v>
      </c>
      <c r="BN65" s="417">
        <f t="shared" si="177"/>
        <v>221.69671199999999</v>
      </c>
      <c r="BO65" s="417">
        <f t="shared" si="177"/>
        <v>214.54520500000001</v>
      </c>
      <c r="BP65" s="417">
        <f>SUM(BP66:BP74)</f>
        <v>1369.4176520000001</v>
      </c>
      <c r="BQ65" s="1031">
        <f t="shared" si="170"/>
        <v>10013.334275000001</v>
      </c>
      <c r="BR65" s="417">
        <f t="shared" ref="BR65:CC65" si="178">SUM(BR66:BR74)</f>
        <v>221.69671199999999</v>
      </c>
      <c r="BS65" s="417">
        <f t="shared" si="178"/>
        <v>207.393699</v>
      </c>
      <c r="BT65" s="417">
        <f t="shared" si="178"/>
        <v>2481.9440850000001</v>
      </c>
      <c r="BU65" s="417">
        <f t="shared" si="178"/>
        <v>214.54520500000001</v>
      </c>
      <c r="BV65" s="417">
        <f t="shared" si="178"/>
        <v>221.69671199999999</v>
      </c>
      <c r="BW65" s="417">
        <f t="shared" si="178"/>
        <v>1930.3783880000001</v>
      </c>
      <c r="BX65" s="417">
        <f t="shared" si="178"/>
        <v>226.70716999999999</v>
      </c>
      <c r="BY65" s="417">
        <f t="shared" si="178"/>
        <v>223.26593499999998</v>
      </c>
      <c r="BZ65" s="417">
        <f t="shared" si="178"/>
        <v>-1936.3614279999999</v>
      </c>
      <c r="CA65" s="417">
        <f t="shared" si="178"/>
        <v>221.67679000000001</v>
      </c>
      <c r="CB65" s="417">
        <f t="shared" si="178"/>
        <v>214.54520500000001</v>
      </c>
      <c r="CC65" s="1334">
        <f t="shared" si="178"/>
        <v>5785.8458019999998</v>
      </c>
      <c r="CD65" s="1031">
        <f t="shared" si="171"/>
        <v>5668.298323</v>
      </c>
      <c r="CE65" s="1708">
        <f t="shared" ref="CE65:CP65" si="179">SUM(CE66:CE74)</f>
        <v>239.29324199999999</v>
      </c>
      <c r="CF65" s="1708">
        <f t="shared" si="179"/>
        <v>200.24219199999999</v>
      </c>
      <c r="CG65" s="1708">
        <f t="shared" si="179"/>
        <v>2153.7047659999998</v>
      </c>
      <c r="CH65" s="1708">
        <f t="shared" si="179"/>
        <v>180.019533</v>
      </c>
      <c r="CI65" s="1708">
        <f t="shared" si="179"/>
        <v>189.43450999999999</v>
      </c>
      <c r="CJ65" s="1708">
        <f t="shared" si="179"/>
        <v>3230.8911170000001</v>
      </c>
      <c r="CK65" s="1708">
        <f t="shared" si="179"/>
        <v>236.12655999999998</v>
      </c>
      <c r="CL65" s="1708">
        <f t="shared" si="179"/>
        <v>185.45250999999999</v>
      </c>
      <c r="CM65" s="1708">
        <f t="shared" si="179"/>
        <v>-1330.9886260000001</v>
      </c>
      <c r="CN65" s="1708">
        <f t="shared" si="179"/>
        <v>185.45250999999999</v>
      </c>
      <c r="CO65" s="1708">
        <f t="shared" si="179"/>
        <v>199.401466</v>
      </c>
      <c r="CP65" s="1334">
        <f t="shared" si="179"/>
        <v>-0.73145699999996494</v>
      </c>
      <c r="CQ65" s="1031">
        <f t="shared" si="172"/>
        <v>3781</v>
      </c>
      <c r="CR65" s="1708">
        <f t="shared" ref="CR65:DC65" si="180">SUM(CR66:CR74)</f>
        <v>174</v>
      </c>
      <c r="CS65" s="1708">
        <f t="shared" si="180"/>
        <v>158</v>
      </c>
      <c r="CT65" s="1708">
        <f t="shared" si="180"/>
        <v>1904</v>
      </c>
      <c r="CU65" s="1708">
        <f t="shared" si="180"/>
        <v>168</v>
      </c>
      <c r="CV65" s="1708">
        <f t="shared" si="180"/>
        <v>175</v>
      </c>
      <c r="CW65" s="1708">
        <f t="shared" si="180"/>
        <v>168</v>
      </c>
      <c r="CX65" s="1708">
        <f t="shared" si="180"/>
        <v>174</v>
      </c>
      <c r="CY65" s="1708">
        <f t="shared" si="180"/>
        <v>174</v>
      </c>
      <c r="CZ65" s="1708">
        <f t="shared" si="180"/>
        <v>169</v>
      </c>
      <c r="DA65" s="1708">
        <f t="shared" si="180"/>
        <v>174</v>
      </c>
      <c r="DB65" s="1708">
        <f t="shared" si="180"/>
        <v>168</v>
      </c>
      <c r="DC65" s="1334">
        <f t="shared" si="180"/>
        <v>175</v>
      </c>
      <c r="DD65" s="2766"/>
      <c r="DE65" s="2587"/>
      <c r="DF65" s="2587"/>
      <c r="DG65" s="2972"/>
      <c r="DH65" s="2210"/>
      <c r="DI65" s="2210"/>
      <c r="DJ65" s="2210"/>
      <c r="DK65" s="1884"/>
    </row>
    <row r="66" spans="1:121">
      <c r="B66" s="53" t="s">
        <v>106</v>
      </c>
      <c r="C66" s="54"/>
      <c r="D66" s="51"/>
      <c r="E66" s="1353">
        <v>154.79260199999999</v>
      </c>
      <c r="F66" s="1353">
        <v>138.979725</v>
      </c>
      <c r="G66" s="1353">
        <v>319.62312800000001</v>
      </c>
      <c r="H66" s="1353">
        <v>149.59849199999999</v>
      </c>
      <c r="I66" s="1353">
        <v>153.54493099999999</v>
      </c>
      <c r="J66" s="1353">
        <v>257.66777100000002</v>
      </c>
      <c r="K66" s="1353">
        <v>150.81904</v>
      </c>
      <c r="L66" s="1353">
        <v>143.80767</v>
      </c>
      <c r="M66" s="1352">
        <v>276.02657499999998</v>
      </c>
      <c r="N66" s="1352">
        <v>140.63424599999999</v>
      </c>
      <c r="O66" s="1352">
        <v>135.83342400000001</v>
      </c>
      <c r="P66" s="1352">
        <v>804.68843600000002</v>
      </c>
      <c r="Q66" s="1354">
        <f t="shared" si="169"/>
        <v>2052.017452</v>
      </c>
      <c r="R66" s="1352">
        <v>138.04508300000001</v>
      </c>
      <c r="S66" s="1352">
        <v>126.91512400000001</v>
      </c>
      <c r="T66" s="1352">
        <v>344.65509900000001</v>
      </c>
      <c r="U66" s="1352">
        <v>108.359211</v>
      </c>
      <c r="V66" s="1352">
        <v>109.501122</v>
      </c>
      <c r="W66" s="1352">
        <v>327.03215</v>
      </c>
      <c r="X66" s="1352">
        <v>105.42327899999999</v>
      </c>
      <c r="Y66" s="1352">
        <v>104.667648</v>
      </c>
      <c r="Z66" s="1352">
        <v>239.80932899999999</v>
      </c>
      <c r="AA66" s="1352">
        <v>96.803234000000003</v>
      </c>
      <c r="AB66" s="1352">
        <v>96.025227999999998</v>
      </c>
      <c r="AC66" s="1075">
        <v>254.780945</v>
      </c>
      <c r="AD66" s="1502">
        <v>1700.4780020000001</v>
      </c>
      <c r="AE66" s="1064">
        <v>98.337661999999995</v>
      </c>
      <c r="AF66" s="1064">
        <v>89.236958000000001</v>
      </c>
      <c r="AG66" s="1064">
        <v>235.91636299999999</v>
      </c>
      <c r="AH66" s="1064">
        <v>95.397599999999997</v>
      </c>
      <c r="AI66" s="1064">
        <v>98.577520000000007</v>
      </c>
      <c r="AJ66" s="1064">
        <v>236.94459499999999</v>
      </c>
      <c r="AK66" s="1064">
        <v>98.577520000000007</v>
      </c>
      <c r="AL66" s="1064">
        <v>98.577520000000007</v>
      </c>
      <c r="AM66" s="1064">
        <v>231.542418</v>
      </c>
      <c r="AN66" s="1064">
        <v>98.577520000000007</v>
      </c>
      <c r="AO66" s="1064">
        <v>95.397599999999997</v>
      </c>
      <c r="AP66" s="1065">
        <v>223.39472599999999</v>
      </c>
      <c r="AQ66" s="1365">
        <f t="shared" ref="AQ66:AQ74" si="181">SUM(AR66:BC66)</f>
        <v>1872.0754750000001</v>
      </c>
      <c r="AR66" s="1356">
        <v>98.577520000000007</v>
      </c>
      <c r="AS66" s="1356">
        <v>89.037760000000006</v>
      </c>
      <c r="AT66" s="1356">
        <v>214.23154500000001</v>
      </c>
      <c r="AU66" s="1356">
        <v>95.397599999999997</v>
      </c>
      <c r="AV66" s="1356">
        <v>98.577520000000007</v>
      </c>
      <c r="AW66" s="1356">
        <v>213.333584</v>
      </c>
      <c r="AX66" s="1356">
        <v>98.577520000000007</v>
      </c>
      <c r="AY66" s="1356">
        <v>98.577520000000007</v>
      </c>
      <c r="AZ66" s="1356">
        <v>278.17187200000001</v>
      </c>
      <c r="BA66" s="1356">
        <v>98.577520000000007</v>
      </c>
      <c r="BB66" s="1356">
        <v>95.397599999999997</v>
      </c>
      <c r="BC66" s="1356">
        <v>393.61791399999998</v>
      </c>
      <c r="BD66" s="1354">
        <f t="shared" si="165"/>
        <v>3501.6894709999997</v>
      </c>
      <c r="BE66" s="1356">
        <v>98.577520000000007</v>
      </c>
      <c r="BF66" s="1356">
        <v>89.037760000000006</v>
      </c>
      <c r="BG66" s="1356">
        <v>544.94827599999996</v>
      </c>
      <c r="BH66" s="1356">
        <v>214.54520500000001</v>
      </c>
      <c r="BI66" s="1356">
        <v>221.69671199999999</v>
      </c>
      <c r="BJ66" s="1356">
        <v>454.78475500000002</v>
      </c>
      <c r="BK66" s="1356">
        <v>221.69671199999999</v>
      </c>
      <c r="BL66" s="1352">
        <v>221.69671199999999</v>
      </c>
      <c r="BM66" s="1352">
        <v>515.43440399999997</v>
      </c>
      <c r="BN66" s="1352">
        <v>221.69671199999999</v>
      </c>
      <c r="BO66" s="1352">
        <v>214.54520500000001</v>
      </c>
      <c r="BP66" s="1352">
        <v>483.02949799999999</v>
      </c>
      <c r="BQ66" s="1354">
        <f t="shared" si="170"/>
        <v>3684.1695030000001</v>
      </c>
      <c r="BR66" s="1922">
        <v>221.69671199999999</v>
      </c>
      <c r="BS66" s="1922">
        <v>207.393699</v>
      </c>
      <c r="BT66" s="1922">
        <v>471.35907200000003</v>
      </c>
      <c r="BU66" s="1922">
        <v>214.54520500000001</v>
      </c>
      <c r="BV66" s="1922">
        <v>221.69671199999999</v>
      </c>
      <c r="BW66" s="1922">
        <v>446.37838799999997</v>
      </c>
      <c r="BX66" s="1922">
        <v>221.69671199999999</v>
      </c>
      <c r="BY66" s="1922">
        <v>221.69671199999999</v>
      </c>
      <c r="BZ66" s="1922">
        <v>499.63857200000001</v>
      </c>
      <c r="CA66" s="1922">
        <v>221.67671200000001</v>
      </c>
      <c r="CB66" s="1922">
        <v>214.54520500000001</v>
      </c>
      <c r="CC66" s="1923">
        <v>521.84580200000005</v>
      </c>
      <c r="CD66" s="1354">
        <f t="shared" si="171"/>
        <v>3247.9764740000001</v>
      </c>
      <c r="CE66" s="1922">
        <v>221.69671199999999</v>
      </c>
      <c r="CF66" s="1922">
        <v>200.24219199999999</v>
      </c>
      <c r="CG66" s="1922">
        <v>468.70904400000001</v>
      </c>
      <c r="CH66" s="1922">
        <v>179.47017099999999</v>
      </c>
      <c r="CI66" s="1922">
        <v>185.45250999999999</v>
      </c>
      <c r="CJ66" s="1922">
        <v>449.28457200000003</v>
      </c>
      <c r="CK66" s="1922">
        <v>185.45250999999999</v>
      </c>
      <c r="CL66" s="1922">
        <v>185.45250999999999</v>
      </c>
      <c r="CM66" s="1922">
        <v>434.13093800000001</v>
      </c>
      <c r="CN66" s="1922">
        <v>185.45250999999999</v>
      </c>
      <c r="CO66" s="1922">
        <v>179.47017099999999</v>
      </c>
      <c r="CP66" s="2894">
        <v>373.16263400000003</v>
      </c>
      <c r="CQ66" s="1354">
        <f t="shared" si="172"/>
        <v>2047</v>
      </c>
      <c r="CR66" s="2934">
        <v>174</v>
      </c>
      <c r="CS66" s="2934">
        <v>157</v>
      </c>
      <c r="CT66" s="2934">
        <v>174</v>
      </c>
      <c r="CU66" s="2934">
        <v>168</v>
      </c>
      <c r="CV66" s="2934">
        <v>174</v>
      </c>
      <c r="CW66" s="2934">
        <v>168</v>
      </c>
      <c r="CX66" s="2934">
        <v>174</v>
      </c>
      <c r="CY66" s="2934">
        <v>174</v>
      </c>
      <c r="CZ66" s="2934">
        <v>168</v>
      </c>
      <c r="DA66" s="2934">
        <v>174</v>
      </c>
      <c r="DB66" s="2934">
        <v>168</v>
      </c>
      <c r="DC66" s="2935">
        <v>174</v>
      </c>
      <c r="DD66" s="2766"/>
      <c r="DE66" s="2587"/>
      <c r="DF66" s="2587"/>
      <c r="DG66" s="2594"/>
      <c r="DH66" s="2210"/>
      <c r="DI66" s="2210"/>
      <c r="DJ66" s="2210"/>
      <c r="DK66" s="1884"/>
    </row>
    <row r="67" spans="1:121">
      <c r="B67" s="36" t="s">
        <v>107</v>
      </c>
      <c r="C67" s="55"/>
      <c r="D67" s="481"/>
      <c r="E67" s="1340"/>
      <c r="F67" s="1340"/>
      <c r="G67" s="1340"/>
      <c r="H67" s="1340"/>
      <c r="I67" s="1340"/>
      <c r="J67" s="1340"/>
      <c r="K67" s="1340"/>
      <c r="L67" s="1340"/>
      <c r="M67" s="1340"/>
      <c r="N67" s="1340"/>
      <c r="O67" s="1340"/>
      <c r="P67" s="1340"/>
      <c r="Q67" s="64">
        <f t="shared" si="169"/>
        <v>0</v>
      </c>
      <c r="R67" s="1340"/>
      <c r="S67" s="1340"/>
      <c r="T67" s="1340"/>
      <c r="U67" s="1340"/>
      <c r="V67" s="1358"/>
      <c r="W67" s="1340"/>
      <c r="X67" s="1340"/>
      <c r="Y67" s="1340"/>
      <c r="Z67" s="1340"/>
      <c r="AA67" s="1340"/>
      <c r="AB67" s="1340"/>
      <c r="AC67" s="1341"/>
      <c r="AD67" s="1119">
        <v>0</v>
      </c>
      <c r="AE67" s="1058"/>
      <c r="AF67" s="1058"/>
      <c r="AG67" s="1058"/>
      <c r="AH67" s="1058"/>
      <c r="AI67" s="1066"/>
      <c r="AJ67" s="1058"/>
      <c r="AK67" s="1058"/>
      <c r="AL67" s="1058"/>
      <c r="AM67" s="1058"/>
      <c r="AN67" s="1058"/>
      <c r="AO67" s="1058"/>
      <c r="AP67" s="1059"/>
      <c r="AQ67" s="1359">
        <f t="shared" si="181"/>
        <v>0</v>
      </c>
      <c r="AR67" s="1360"/>
      <c r="AS67" s="1360"/>
      <c r="AT67" s="1360"/>
      <c r="AU67" s="1360"/>
      <c r="AV67" s="1361"/>
      <c r="AW67" s="1360"/>
      <c r="AX67" s="1360"/>
      <c r="AY67" s="1360"/>
      <c r="AZ67" s="1360"/>
      <c r="BA67" s="1360"/>
      <c r="BB67" s="1360"/>
      <c r="BC67" s="1360"/>
      <c r="BD67" s="64">
        <f t="shared" si="165"/>
        <v>1986.2</v>
      </c>
      <c r="BE67" s="1480"/>
      <c r="BF67" s="1480"/>
      <c r="BG67" s="1480">
        <v>1986.2</v>
      </c>
      <c r="BH67" s="1480"/>
      <c r="BI67" s="1481"/>
      <c r="BJ67" s="1480"/>
      <c r="BK67" s="1480"/>
      <c r="BL67" s="1412"/>
      <c r="BM67" s="1412"/>
      <c r="BN67" s="1412"/>
      <c r="BO67" s="1412"/>
      <c r="BP67" s="1412"/>
      <c r="BQ67" s="64">
        <f t="shared" si="170"/>
        <v>1.1536379999999999</v>
      </c>
      <c r="BR67" s="1781"/>
      <c r="BS67" s="1781"/>
      <c r="BT67" s="1781"/>
      <c r="BU67" s="1781"/>
      <c r="BV67" s="1924"/>
      <c r="BW67" s="1781">
        <v>0</v>
      </c>
      <c r="BX67" s="1781">
        <v>1.1536379999999999</v>
      </c>
      <c r="BY67" s="1781">
        <v>0</v>
      </c>
      <c r="BZ67" s="1781"/>
      <c r="CA67" s="1781"/>
      <c r="CB67" s="1781"/>
      <c r="CC67" s="1782">
        <v>0</v>
      </c>
      <c r="CD67" s="1710">
        <f t="shared" si="171"/>
        <v>18.071999999999999</v>
      </c>
      <c r="CE67" s="1930"/>
      <c r="CF67" s="1930"/>
      <c r="CG67" s="1930"/>
      <c r="CH67" s="1930"/>
      <c r="CI67" s="2852"/>
      <c r="CJ67" s="1930"/>
      <c r="CK67" s="1930"/>
      <c r="CL67" s="1930"/>
      <c r="CM67" s="1930"/>
      <c r="CN67" s="1930"/>
      <c r="CO67" s="1930">
        <v>18.071999999999999</v>
      </c>
      <c r="CP67" s="2895">
        <v>0</v>
      </c>
      <c r="CQ67" s="1710">
        <f t="shared" si="172"/>
        <v>0</v>
      </c>
      <c r="CR67" s="1711"/>
      <c r="CS67" s="1711"/>
      <c r="CT67" s="1711"/>
      <c r="CU67" s="1711"/>
      <c r="CV67" s="2936"/>
      <c r="CW67" s="1711"/>
      <c r="CX67" s="1711"/>
      <c r="CY67" s="1711"/>
      <c r="CZ67" s="1711"/>
      <c r="DA67" s="1711"/>
      <c r="DB67" s="1711"/>
      <c r="DC67" s="2286"/>
      <c r="DD67" s="2766"/>
      <c r="DE67" s="2587"/>
      <c r="DF67" s="2587"/>
      <c r="DG67" s="2594"/>
      <c r="DH67" s="2210"/>
      <c r="DI67" s="2210"/>
      <c r="DJ67" s="2210"/>
      <c r="DK67" s="1884"/>
    </row>
    <row r="68" spans="1:121">
      <c r="B68" s="36" t="s">
        <v>108</v>
      </c>
      <c r="C68" s="55"/>
      <c r="D68" s="481"/>
      <c r="E68" s="1340"/>
      <c r="F68" s="1340"/>
      <c r="G68" s="1340"/>
      <c r="H68" s="1340"/>
      <c r="I68" s="1340"/>
      <c r="J68" s="1340"/>
      <c r="K68" s="1340"/>
      <c r="L68" s="1340"/>
      <c r="M68" s="1340"/>
      <c r="N68" s="1340"/>
      <c r="O68" s="1340"/>
      <c r="P68" s="1340"/>
      <c r="Q68" s="64">
        <f t="shared" si="169"/>
        <v>0</v>
      </c>
      <c r="R68" s="1340"/>
      <c r="S68" s="1340"/>
      <c r="T68" s="1340">
        <v>90</v>
      </c>
      <c r="U68" s="1340"/>
      <c r="V68" s="1358"/>
      <c r="W68" s="1340">
        <v>-90</v>
      </c>
      <c r="X68" s="1340"/>
      <c r="Y68" s="1340"/>
      <c r="Z68" s="1340"/>
      <c r="AA68" s="1340"/>
      <c r="AB68" s="1340"/>
      <c r="AC68" s="1341"/>
      <c r="AD68" s="1119">
        <v>3068</v>
      </c>
      <c r="AE68" s="1058"/>
      <c r="AF68" s="1058"/>
      <c r="AG68" s="1058">
        <v>1137.5</v>
      </c>
      <c r="AH68" s="1058"/>
      <c r="AI68" s="1066"/>
      <c r="AJ68" s="1058">
        <v>-87.5</v>
      </c>
      <c r="AK68" s="1058"/>
      <c r="AL68" s="1058"/>
      <c r="AM68" s="1058">
        <v>1995.2</v>
      </c>
      <c r="AN68" s="1058"/>
      <c r="AO68" s="1058"/>
      <c r="AP68" s="1059">
        <v>22.8</v>
      </c>
      <c r="AQ68" s="810">
        <f t="shared" si="181"/>
        <v>3108.3999999999996</v>
      </c>
      <c r="AR68" s="1360"/>
      <c r="AS68" s="1360"/>
      <c r="AT68" s="1360">
        <v>961.4</v>
      </c>
      <c r="AU68" s="1360"/>
      <c r="AV68" s="1361"/>
      <c r="AW68" s="1360">
        <v>3119.8</v>
      </c>
      <c r="AX68" s="1360"/>
      <c r="AY68" s="1360"/>
      <c r="AZ68" s="1360">
        <v>5392.2</v>
      </c>
      <c r="BA68" s="1360"/>
      <c r="BB68" s="1360"/>
      <c r="BC68" s="1360">
        <v>-6365</v>
      </c>
      <c r="BD68" s="64">
        <f t="shared" si="165"/>
        <v>0</v>
      </c>
      <c r="BE68" s="1480"/>
      <c r="BF68" s="1480"/>
      <c r="BG68" s="1480"/>
      <c r="BH68" s="1480"/>
      <c r="BI68" s="1481"/>
      <c r="BJ68" s="1480"/>
      <c r="BK68" s="1480"/>
      <c r="BL68" s="1412"/>
      <c r="BM68" s="1412">
        <v>868</v>
      </c>
      <c r="BN68" s="1412"/>
      <c r="BO68" s="1412"/>
      <c r="BP68" s="1412">
        <v>-868</v>
      </c>
      <c r="BQ68" s="64">
        <f t="shared" si="170"/>
        <v>6321</v>
      </c>
      <c r="BR68" s="1781"/>
      <c r="BS68" s="1781"/>
      <c r="BT68" s="1781">
        <v>2009</v>
      </c>
      <c r="BU68" s="1781"/>
      <c r="BV68" s="1924"/>
      <c r="BW68" s="1781">
        <v>1484</v>
      </c>
      <c r="BX68" s="1781"/>
      <c r="BY68" s="1781"/>
      <c r="BZ68" s="1781">
        <v>-2436</v>
      </c>
      <c r="CA68" s="1781"/>
      <c r="CB68" s="1781"/>
      <c r="CC68" s="1782">
        <v>5264</v>
      </c>
      <c r="CD68" s="1710">
        <f t="shared" si="171"/>
        <v>0</v>
      </c>
      <c r="CE68" s="1930"/>
      <c r="CF68" s="1930"/>
      <c r="CG68" s="1930">
        <v>665</v>
      </c>
      <c r="CH68" s="1930"/>
      <c r="CI68" s="2852"/>
      <c r="CJ68" s="1930">
        <v>-665</v>
      </c>
      <c r="CK68" s="1930"/>
      <c r="CL68" s="1930"/>
      <c r="CM68" s="1930"/>
      <c r="CN68" s="1930"/>
      <c r="CO68" s="1930"/>
      <c r="CP68" s="2895"/>
      <c r="CQ68" s="1710">
        <f t="shared" si="172"/>
        <v>0</v>
      </c>
      <c r="CR68" s="1711"/>
      <c r="CS68" s="1711"/>
      <c r="CT68" s="1711"/>
      <c r="CU68" s="1711"/>
      <c r="CV68" s="2936"/>
      <c r="CW68" s="1711"/>
      <c r="CX68" s="1711"/>
      <c r="CY68" s="1711"/>
      <c r="CZ68" s="1711"/>
      <c r="DA68" s="1711"/>
      <c r="DB68" s="1711"/>
      <c r="DC68" s="2286"/>
      <c r="DD68" s="2766"/>
      <c r="DE68" s="2587"/>
      <c r="DF68" s="2587"/>
      <c r="DG68" s="2594"/>
      <c r="DH68" s="2210"/>
      <c r="DI68" s="2210"/>
      <c r="DJ68" s="2210"/>
      <c r="DK68" s="1884"/>
    </row>
    <row r="69" spans="1:121">
      <c r="B69" s="36" t="s">
        <v>389</v>
      </c>
      <c r="C69" s="55"/>
      <c r="D69" s="481"/>
      <c r="E69" s="1340"/>
      <c r="F69" s="1340"/>
      <c r="G69" s="1340"/>
      <c r="H69" s="1340"/>
      <c r="I69" s="1340"/>
      <c r="J69" s="1340"/>
      <c r="K69" s="1340"/>
      <c r="L69" s="1340"/>
      <c r="M69" s="1340"/>
      <c r="N69" s="1340"/>
      <c r="O69" s="1340"/>
      <c r="P69" s="1340"/>
      <c r="Q69" s="64">
        <f t="shared" si="169"/>
        <v>3573.7091329999998</v>
      </c>
      <c r="R69" s="1340"/>
      <c r="S69" s="1340"/>
      <c r="T69" s="1340">
        <v>661.10241299999996</v>
      </c>
      <c r="U69" s="1340"/>
      <c r="V69" s="1358"/>
      <c r="W69" s="1340">
        <v>489.33563199999998</v>
      </c>
      <c r="X69" s="1340"/>
      <c r="Y69" s="1340"/>
      <c r="Z69" s="1340">
        <v>509.27811800000001</v>
      </c>
      <c r="AA69" s="1340"/>
      <c r="AB69" s="1340"/>
      <c r="AC69" s="1341">
        <v>1913.99297</v>
      </c>
      <c r="AD69" s="1119">
        <v>0</v>
      </c>
      <c r="AE69" s="1058"/>
      <c r="AF69" s="1058"/>
      <c r="AG69" s="1058">
        <v>145.930228</v>
      </c>
      <c r="AH69" s="1058"/>
      <c r="AI69" s="1066"/>
      <c r="AJ69" s="1058">
        <v>-34.669057000000002</v>
      </c>
      <c r="AK69" s="1058"/>
      <c r="AL69" s="1058"/>
      <c r="AM69" s="1058">
        <v>-111.261171</v>
      </c>
      <c r="AN69" s="1058"/>
      <c r="AO69" s="1058"/>
      <c r="AP69" s="1059"/>
      <c r="AQ69" s="810">
        <f t="shared" si="181"/>
        <v>0</v>
      </c>
      <c r="AR69" s="1360"/>
      <c r="AS69" s="1360"/>
      <c r="AT69" s="1360"/>
      <c r="AU69" s="1360"/>
      <c r="AV69" s="1361"/>
      <c r="AW69" s="1360"/>
      <c r="AX69" s="1360"/>
      <c r="AY69" s="1360"/>
      <c r="AZ69" s="1360"/>
      <c r="BA69" s="1360"/>
      <c r="BB69" s="1360"/>
      <c r="BC69" s="1360"/>
      <c r="BD69" s="64">
        <f t="shared" si="165"/>
        <v>1544.6297209999998</v>
      </c>
      <c r="BE69" s="1480"/>
      <c r="BF69" s="1480"/>
      <c r="BG69" s="1480">
        <v>1385.1045489999999</v>
      </c>
      <c r="BH69" s="1480"/>
      <c r="BI69" s="1481"/>
      <c r="BJ69" s="1480">
        <v>-581.25526100000002</v>
      </c>
      <c r="BK69" s="1480"/>
      <c r="BL69" s="1412"/>
      <c r="BM69" s="1412">
        <v>-803.849288</v>
      </c>
      <c r="BN69" s="1412"/>
      <c r="BO69" s="1412"/>
      <c r="BP69" s="1412">
        <v>1544.629721</v>
      </c>
      <c r="BQ69" s="64">
        <f t="shared" si="170"/>
        <v>0</v>
      </c>
      <c r="BR69" s="1781"/>
      <c r="BS69" s="1781"/>
      <c r="BT69" s="1781"/>
      <c r="BU69" s="1781"/>
      <c r="BV69" s="1924"/>
      <c r="BW69" s="1781">
        <v>0</v>
      </c>
      <c r="BX69" s="1781"/>
      <c r="BY69" s="1781"/>
      <c r="BZ69" s="1781"/>
      <c r="CA69" s="1781"/>
      <c r="CB69" s="1781"/>
      <c r="CC69" s="1782">
        <v>0</v>
      </c>
      <c r="CD69" s="1710">
        <f t="shared" si="171"/>
        <v>1449.5722959999998</v>
      </c>
      <c r="CE69" s="1930"/>
      <c r="CF69" s="1930"/>
      <c r="CG69" s="1930">
        <v>1017.81897</v>
      </c>
      <c r="CH69" s="1930"/>
      <c r="CI69" s="2852"/>
      <c r="CJ69" s="1930">
        <v>3446.6065450000001</v>
      </c>
      <c r="CK69" s="1930"/>
      <c r="CL69" s="1930"/>
      <c r="CM69" s="1930">
        <v>-1767.1195640000001</v>
      </c>
      <c r="CN69" s="1930"/>
      <c r="CO69" s="1930"/>
      <c r="CP69" s="2895">
        <v>-1247.733655</v>
      </c>
      <c r="CQ69" s="1710">
        <f t="shared" si="172"/>
        <v>1730</v>
      </c>
      <c r="CR69" s="1711"/>
      <c r="CS69" s="1711"/>
      <c r="CT69" s="1711">
        <v>1730</v>
      </c>
      <c r="CU69" s="1711"/>
      <c r="CV69" s="2936"/>
      <c r="CW69" s="1711"/>
      <c r="CX69" s="1711"/>
      <c r="CY69" s="1711"/>
      <c r="CZ69" s="1711"/>
      <c r="DA69" s="1711"/>
      <c r="DB69" s="1711"/>
      <c r="DC69" s="2286"/>
      <c r="DD69" s="2766"/>
      <c r="DE69" s="2587"/>
      <c r="DF69" s="2587"/>
      <c r="DG69" s="2594"/>
      <c r="DH69" s="2210"/>
      <c r="DI69" s="2210"/>
      <c r="DJ69" s="2210"/>
      <c r="DK69" s="1884"/>
    </row>
    <row r="70" spans="1:121">
      <c r="B70" s="36" t="s">
        <v>109</v>
      </c>
      <c r="C70" s="55"/>
      <c r="D70" s="481"/>
      <c r="E70" s="1340"/>
      <c r="F70" s="1340"/>
      <c r="G70" s="1340"/>
      <c r="H70" s="1340"/>
      <c r="I70" s="1340"/>
      <c r="J70" s="1340"/>
      <c r="K70" s="1340"/>
      <c r="L70" s="1340"/>
      <c r="M70" s="1340"/>
      <c r="N70" s="1340"/>
      <c r="O70" s="1340"/>
      <c r="P70" s="1340"/>
      <c r="Q70" s="64">
        <f t="shared" si="169"/>
        <v>0</v>
      </c>
      <c r="R70" s="1340"/>
      <c r="S70" s="1340"/>
      <c r="T70" s="1340"/>
      <c r="U70" s="1340"/>
      <c r="V70" s="1358"/>
      <c r="W70" s="1340"/>
      <c r="X70" s="1340"/>
      <c r="Y70" s="1340"/>
      <c r="Z70" s="1340"/>
      <c r="AA70" s="1340"/>
      <c r="AB70" s="1340"/>
      <c r="AC70" s="1341"/>
      <c r="AD70" s="1119">
        <v>0</v>
      </c>
      <c r="AE70" s="1058"/>
      <c r="AF70" s="1058"/>
      <c r="AG70" s="1058"/>
      <c r="AH70" s="1058"/>
      <c r="AI70" s="1066"/>
      <c r="AJ70" s="1058"/>
      <c r="AK70" s="1058"/>
      <c r="AL70" s="1058"/>
      <c r="AM70" s="1058"/>
      <c r="AN70" s="1058"/>
      <c r="AO70" s="1058"/>
      <c r="AP70" s="1059"/>
      <c r="AQ70" s="810">
        <f t="shared" si="181"/>
        <v>0</v>
      </c>
      <c r="AR70" s="1360"/>
      <c r="AS70" s="1360"/>
      <c r="AT70" s="1360"/>
      <c r="AU70" s="1360"/>
      <c r="AV70" s="1361"/>
      <c r="AW70" s="1360"/>
      <c r="AX70" s="1360"/>
      <c r="AY70" s="1360"/>
      <c r="AZ70" s="1360"/>
      <c r="BA70" s="1360"/>
      <c r="BB70" s="1360"/>
      <c r="BC70" s="1360"/>
      <c r="BD70" s="64">
        <f t="shared" si="165"/>
        <v>0</v>
      </c>
      <c r="BE70" s="1480"/>
      <c r="BF70" s="1480"/>
      <c r="BG70" s="1480"/>
      <c r="BH70" s="1480"/>
      <c r="BI70" s="1481"/>
      <c r="BJ70" s="1480"/>
      <c r="BK70" s="1480"/>
      <c r="BL70" s="1412"/>
      <c r="BM70" s="1412"/>
      <c r="BN70" s="1412"/>
      <c r="BO70" s="1412"/>
      <c r="BP70" s="1412"/>
      <c r="BQ70" s="64">
        <f t="shared" si="170"/>
        <v>0</v>
      </c>
      <c r="BR70" s="1781"/>
      <c r="BS70" s="1781"/>
      <c r="BT70" s="1781"/>
      <c r="BU70" s="1781"/>
      <c r="BV70" s="1924"/>
      <c r="BW70" s="1781">
        <v>0</v>
      </c>
      <c r="BX70" s="1781"/>
      <c r="BY70" s="1781"/>
      <c r="BZ70" s="1781"/>
      <c r="CA70" s="1781"/>
      <c r="CB70" s="1781"/>
      <c r="CC70" s="1782">
        <v>0</v>
      </c>
      <c r="CD70" s="1710">
        <f t="shared" si="171"/>
        <v>50.674050000000001</v>
      </c>
      <c r="CE70" s="1930"/>
      <c r="CF70" s="1930"/>
      <c r="CG70" s="1930"/>
      <c r="CH70" s="1930"/>
      <c r="CI70" s="2852"/>
      <c r="CJ70" s="1930"/>
      <c r="CK70" s="1930">
        <v>50.674050000000001</v>
      </c>
      <c r="CL70" s="1930"/>
      <c r="CM70" s="1930"/>
      <c r="CN70" s="1930"/>
      <c r="CO70" s="1930"/>
      <c r="CP70" s="2895"/>
      <c r="CQ70" s="1710">
        <f t="shared" si="172"/>
        <v>0</v>
      </c>
      <c r="CR70" s="1711"/>
      <c r="CS70" s="1711"/>
      <c r="CT70" s="1711"/>
      <c r="CU70" s="1711"/>
      <c r="CV70" s="2936"/>
      <c r="CW70" s="1711"/>
      <c r="CX70" s="1711"/>
      <c r="CY70" s="1711"/>
      <c r="CZ70" s="1711"/>
      <c r="DA70" s="1711"/>
      <c r="DB70" s="1711"/>
      <c r="DC70" s="2286"/>
      <c r="DD70" s="2766"/>
      <c r="DE70" s="2587"/>
      <c r="DF70" s="2587"/>
      <c r="DG70" s="2594"/>
      <c r="DH70" s="2210"/>
      <c r="DI70" s="2210"/>
      <c r="DJ70" s="2210"/>
      <c r="DK70" s="1884"/>
    </row>
    <row r="71" spans="1:121">
      <c r="B71" s="36" t="s">
        <v>110</v>
      </c>
      <c r="C71" s="55"/>
      <c r="D71" s="481"/>
      <c r="E71" s="1357">
        <v>6.0000000000000001E-3</v>
      </c>
      <c r="F71" s="1357">
        <v>7.0682650000000002</v>
      </c>
      <c r="G71" s="1357">
        <v>0</v>
      </c>
      <c r="H71" s="1357">
        <v>0</v>
      </c>
      <c r="I71" s="1357">
        <v>8.9013819999999999</v>
      </c>
      <c r="J71" s="1357">
        <v>18.946376999999998</v>
      </c>
      <c r="K71" s="1357">
        <v>0</v>
      </c>
      <c r="L71" s="1357">
        <v>0.315973</v>
      </c>
      <c r="M71" s="1340">
        <v>6.8913000000000002E-2</v>
      </c>
      <c r="N71" s="1340">
        <v>1.2261649999999999</v>
      </c>
      <c r="O71" s="1340"/>
      <c r="P71" s="1340">
        <v>22.175906000000001</v>
      </c>
      <c r="Q71" s="64">
        <f t="shared" si="169"/>
        <v>87.622498999999991</v>
      </c>
      <c r="R71" s="1340">
        <v>1.2918019999999999</v>
      </c>
      <c r="S71" s="1340">
        <v>0.41120200000000001</v>
      </c>
      <c r="T71" s="1340">
        <v>1.6159699999999999</v>
      </c>
      <c r="U71" s="1340">
        <v>1.122206</v>
      </c>
      <c r="V71" s="1358">
        <v>36.306694999999998</v>
      </c>
      <c r="W71" s="1340">
        <v>2.416925</v>
      </c>
      <c r="X71" s="1340">
        <v>0.42217199999999999</v>
      </c>
      <c r="Y71" s="1340">
        <v>0.181419</v>
      </c>
      <c r="Z71" s="1340">
        <v>42.186087999999998</v>
      </c>
      <c r="AA71" s="1340">
        <v>3.0000000000000001E-3</v>
      </c>
      <c r="AB71" s="1340">
        <v>0.43219400000000002</v>
      </c>
      <c r="AC71" s="1341">
        <v>1.232826</v>
      </c>
      <c r="AD71" s="1119">
        <v>16.099996000000001</v>
      </c>
      <c r="AE71" s="1058">
        <v>4.0000000000000001E-3</v>
      </c>
      <c r="AF71" s="1058"/>
      <c r="AG71" s="1058">
        <v>0.79826699999999995</v>
      </c>
      <c r="AH71" s="1058"/>
      <c r="AI71" s="1058">
        <v>9.2640999999999991</v>
      </c>
      <c r="AJ71" s="1058">
        <v>0.38315199999999999</v>
      </c>
      <c r="AK71" s="1058">
        <v>3.2229999999999999</v>
      </c>
      <c r="AL71" s="1058"/>
      <c r="AM71" s="1058">
        <v>0.43099999999999999</v>
      </c>
      <c r="AN71" s="1058"/>
      <c r="AO71" s="1058"/>
      <c r="AP71" s="1059">
        <v>1.9964770000000001</v>
      </c>
      <c r="AQ71" s="810">
        <f t="shared" si="181"/>
        <v>1.5941500000000002</v>
      </c>
      <c r="AR71" s="1360"/>
      <c r="AS71" s="1360"/>
      <c r="AT71" s="1360">
        <v>0.88653300000000002</v>
      </c>
      <c r="AU71" s="1360"/>
      <c r="AV71" s="1360"/>
      <c r="AW71" s="1360">
        <v>0.37774400000000002</v>
      </c>
      <c r="AX71" s="1360"/>
      <c r="AY71" s="1360"/>
      <c r="AZ71" s="1360"/>
      <c r="BA71" s="1360"/>
      <c r="BB71" s="1360"/>
      <c r="BC71" s="1360">
        <v>0.32987300000000003</v>
      </c>
      <c r="BD71" s="64">
        <f t="shared" si="165"/>
        <v>209.758433</v>
      </c>
      <c r="BE71" s="1480"/>
      <c r="BF71" s="1480"/>
      <c r="BG71" s="1480"/>
      <c r="BH71" s="1480"/>
      <c r="BI71" s="1480"/>
      <c r="BJ71" s="1480"/>
      <c r="BK71" s="1480"/>
      <c r="BL71" s="1412"/>
      <c r="BM71" s="1412"/>
      <c r="BN71" s="1412"/>
      <c r="BO71" s="1412"/>
      <c r="BP71" s="1412">
        <v>209.758433</v>
      </c>
      <c r="BQ71" s="64">
        <f t="shared" si="170"/>
        <v>1.585013</v>
      </c>
      <c r="BR71" s="1781"/>
      <c r="BS71" s="1781"/>
      <c r="BT71" s="1781">
        <v>1.585013</v>
      </c>
      <c r="BU71" s="1781"/>
      <c r="BV71" s="1781"/>
      <c r="BW71" s="1781">
        <v>0</v>
      </c>
      <c r="BX71" s="1781"/>
      <c r="BY71" s="1781"/>
      <c r="BZ71" s="1781"/>
      <c r="CA71" s="1781"/>
      <c r="CB71" s="1781"/>
      <c r="CC71" s="1782">
        <v>0</v>
      </c>
      <c r="CD71" s="1710">
        <f t="shared" si="171"/>
        <v>876.01109700000006</v>
      </c>
      <c r="CE71" s="1930"/>
      <c r="CF71" s="1930"/>
      <c r="CG71" s="1930">
        <v>2.176752</v>
      </c>
      <c r="CH71" s="1930"/>
      <c r="CI71" s="1930"/>
      <c r="CJ71" s="1930"/>
      <c r="CK71" s="1930"/>
      <c r="CL71" s="1930"/>
      <c r="CM71" s="1930"/>
      <c r="CN71" s="1930"/>
      <c r="CO71" s="1930">
        <v>1E-3</v>
      </c>
      <c r="CP71" s="2895">
        <v>873.83334500000001</v>
      </c>
      <c r="CQ71" s="1710">
        <f t="shared" si="172"/>
        <v>0</v>
      </c>
      <c r="CR71" s="1711"/>
      <c r="CS71" s="1711"/>
      <c r="CT71" s="1711"/>
      <c r="CU71" s="1711"/>
      <c r="CV71" s="1711"/>
      <c r="CW71" s="1711"/>
      <c r="CX71" s="1711"/>
      <c r="CY71" s="1711"/>
      <c r="CZ71" s="1711"/>
      <c r="DA71" s="1711"/>
      <c r="DB71" s="1711"/>
      <c r="DC71" s="2286"/>
      <c r="DD71" s="2766"/>
      <c r="DE71" s="2587"/>
      <c r="DF71" s="2587"/>
      <c r="DG71" s="2594"/>
      <c r="DH71" s="2210"/>
      <c r="DI71" s="2210"/>
      <c r="DJ71" s="2210"/>
      <c r="DK71" s="1884"/>
    </row>
    <row r="72" spans="1:121">
      <c r="B72" s="36" t="s">
        <v>111</v>
      </c>
      <c r="C72" s="55"/>
      <c r="D72" s="481"/>
      <c r="E72" s="1357">
        <v>1E-3</v>
      </c>
      <c r="F72" s="1357">
        <v>0</v>
      </c>
      <c r="G72" s="1357">
        <v>0</v>
      </c>
      <c r="H72" s="1357">
        <v>0</v>
      </c>
      <c r="I72" s="1357">
        <v>45.000003</v>
      </c>
      <c r="J72" s="1357">
        <v>41.478900000000003</v>
      </c>
      <c r="K72" s="1357">
        <v>0</v>
      </c>
      <c r="L72" s="1357">
        <v>0</v>
      </c>
      <c r="M72" s="1340"/>
      <c r="N72" s="1340">
        <v>21.335339999999999</v>
      </c>
      <c r="O72" s="1340"/>
      <c r="P72" s="1340"/>
      <c r="Q72" s="64">
        <f t="shared" si="169"/>
        <v>32.552013000000002</v>
      </c>
      <c r="R72" s="1340">
        <v>2.3816670000000002</v>
      </c>
      <c r="S72" s="1340"/>
      <c r="T72" s="1340"/>
      <c r="U72" s="1340"/>
      <c r="V72" s="1358">
        <v>3.3351350000000002</v>
      </c>
      <c r="W72" s="1340">
        <v>1E-3</v>
      </c>
      <c r="X72" s="1340"/>
      <c r="Y72" s="1340">
        <v>4.3342109999999998</v>
      </c>
      <c r="Z72" s="1340">
        <v>22.5</v>
      </c>
      <c r="AA72" s="1340"/>
      <c r="AB72" s="1340"/>
      <c r="AC72" s="1341"/>
      <c r="AD72" s="1119">
        <v>13.334336999999998</v>
      </c>
      <c r="AE72" s="1058">
        <v>39</v>
      </c>
      <c r="AF72" s="1058"/>
      <c r="AG72" s="1058"/>
      <c r="AH72" s="1058"/>
      <c r="AI72" s="1058"/>
      <c r="AJ72" s="1058">
        <v>0</v>
      </c>
      <c r="AK72" s="1058">
        <v>1E-3</v>
      </c>
      <c r="AL72" s="1058"/>
      <c r="AM72" s="1058">
        <v>-39</v>
      </c>
      <c r="AN72" s="1058">
        <v>10</v>
      </c>
      <c r="AO72" s="1058">
        <v>13.333337</v>
      </c>
      <c r="AP72" s="1059">
        <v>-10</v>
      </c>
      <c r="AQ72" s="810">
        <f t="shared" si="181"/>
        <v>0</v>
      </c>
      <c r="AR72" s="1360"/>
      <c r="AS72" s="1360"/>
      <c r="AT72" s="1360"/>
      <c r="AU72" s="1360"/>
      <c r="AV72" s="1360"/>
      <c r="AW72" s="1360">
        <v>29.333337</v>
      </c>
      <c r="AX72" s="1360"/>
      <c r="AY72" s="1360"/>
      <c r="AZ72" s="1360">
        <v>-29.333337</v>
      </c>
      <c r="BA72" s="1360"/>
      <c r="BB72" s="1360"/>
      <c r="BC72" s="1360"/>
      <c r="BD72" s="64">
        <f t="shared" si="165"/>
        <v>0</v>
      </c>
      <c r="BE72" s="1480"/>
      <c r="BF72" s="1480"/>
      <c r="BG72" s="1480"/>
      <c r="BH72" s="1480"/>
      <c r="BI72" s="1480"/>
      <c r="BJ72" s="1480"/>
      <c r="BK72" s="1480"/>
      <c r="BL72" s="1412"/>
      <c r="BM72" s="1412"/>
      <c r="BN72" s="1412"/>
      <c r="BO72" s="1412"/>
      <c r="BP72" s="1412"/>
      <c r="BQ72" s="64">
        <f t="shared" si="170"/>
        <v>0</v>
      </c>
      <c r="BR72" s="1781"/>
      <c r="BS72" s="1781"/>
      <c r="BT72" s="1781"/>
      <c r="BU72" s="1781"/>
      <c r="BV72" s="1781"/>
      <c r="BW72" s="1781">
        <v>0</v>
      </c>
      <c r="BX72" s="1781"/>
      <c r="BY72" s="1781"/>
      <c r="BZ72" s="1781"/>
      <c r="CA72" s="1781"/>
      <c r="CB72" s="1781"/>
      <c r="CC72" s="1782">
        <v>0</v>
      </c>
      <c r="CD72" s="1710">
        <f t="shared" si="171"/>
        <v>1.858295</v>
      </c>
      <c r="CE72" s="1930"/>
      <c r="CF72" s="1930"/>
      <c r="CG72" s="1930"/>
      <c r="CH72" s="1930"/>
      <c r="CI72" s="1930"/>
      <c r="CJ72" s="1930"/>
      <c r="CK72" s="1930"/>
      <c r="CL72" s="1930"/>
      <c r="CM72" s="1930"/>
      <c r="CN72" s="1930"/>
      <c r="CO72" s="1930">
        <v>1.858295</v>
      </c>
      <c r="CP72" s="2895"/>
      <c r="CQ72" s="1710">
        <f t="shared" si="172"/>
        <v>0</v>
      </c>
      <c r="CR72" s="1711"/>
      <c r="CS72" s="1711"/>
      <c r="CT72" s="1711"/>
      <c r="CU72" s="1711"/>
      <c r="CV72" s="1711"/>
      <c r="CW72" s="1711"/>
      <c r="CX72" s="1711"/>
      <c r="CY72" s="1711"/>
      <c r="CZ72" s="1711"/>
      <c r="DA72" s="1711"/>
      <c r="DB72" s="1711"/>
      <c r="DC72" s="2286"/>
      <c r="DD72" s="2766"/>
      <c r="DE72" s="2587"/>
      <c r="DF72" s="2587"/>
      <c r="DG72" s="2594"/>
      <c r="DH72" s="2210"/>
      <c r="DI72" s="2210"/>
      <c r="DJ72" s="2210"/>
      <c r="DK72" s="1884"/>
    </row>
    <row r="73" spans="1:121">
      <c r="B73" s="36" t="s">
        <v>404</v>
      </c>
      <c r="C73" s="55"/>
      <c r="D73" s="481"/>
      <c r="E73" s="1357"/>
      <c r="F73" s="1357"/>
      <c r="G73" s="1357"/>
      <c r="H73" s="1357"/>
      <c r="I73" s="1357"/>
      <c r="J73" s="1357"/>
      <c r="K73" s="1357"/>
      <c r="L73" s="1357"/>
      <c r="M73" s="1340"/>
      <c r="N73" s="1340"/>
      <c r="O73" s="1340"/>
      <c r="P73" s="1340"/>
      <c r="Q73" s="64"/>
      <c r="R73" s="1340"/>
      <c r="S73" s="1340"/>
      <c r="T73" s="1340"/>
      <c r="U73" s="1340"/>
      <c r="V73" s="1358"/>
      <c r="W73" s="1340"/>
      <c r="X73" s="1340"/>
      <c r="Y73" s="1340"/>
      <c r="Z73" s="1340"/>
      <c r="AA73" s="1340"/>
      <c r="AB73" s="1340"/>
      <c r="AC73" s="1341"/>
      <c r="AD73" s="1119"/>
      <c r="AE73" s="1058"/>
      <c r="AF73" s="1058"/>
      <c r="AG73" s="1058"/>
      <c r="AH73" s="1058"/>
      <c r="AI73" s="1058"/>
      <c r="AJ73" s="1058"/>
      <c r="AK73" s="1058"/>
      <c r="AL73" s="1058"/>
      <c r="AM73" s="1058">
        <v>21.002344999999998</v>
      </c>
      <c r="AN73" s="1058"/>
      <c r="AO73" s="1058"/>
      <c r="AP73" s="1059">
        <v>28.350021000000002</v>
      </c>
      <c r="AQ73" s="810">
        <f t="shared" si="181"/>
        <v>0</v>
      </c>
      <c r="AR73" s="1360"/>
      <c r="AS73" s="1360"/>
      <c r="AT73" s="1360"/>
      <c r="AU73" s="1360"/>
      <c r="AV73" s="1360"/>
      <c r="AW73" s="1360"/>
      <c r="AX73" s="1360"/>
      <c r="AY73" s="1360"/>
      <c r="AZ73" s="1360"/>
      <c r="BA73" s="1360"/>
      <c r="BB73" s="1360"/>
      <c r="BC73" s="1360"/>
      <c r="BD73" s="64">
        <f t="shared" si="165"/>
        <v>0</v>
      </c>
      <c r="BE73" s="1480"/>
      <c r="BF73" s="1480"/>
      <c r="BG73" s="1480"/>
      <c r="BH73" s="1480"/>
      <c r="BI73" s="1480"/>
      <c r="BJ73" s="1480"/>
      <c r="BK73" s="1480"/>
      <c r="BL73" s="1412"/>
      <c r="BM73" s="1412"/>
      <c r="BN73" s="1412"/>
      <c r="BO73" s="1412"/>
      <c r="BP73" s="1412"/>
      <c r="BQ73" s="64">
        <f t="shared" si="170"/>
        <v>0</v>
      </c>
      <c r="BR73" s="1781"/>
      <c r="BS73" s="1781"/>
      <c r="BT73" s="1781"/>
      <c r="BU73" s="1781"/>
      <c r="BV73" s="1781"/>
      <c r="BW73" s="1781">
        <v>0</v>
      </c>
      <c r="BX73" s="1781"/>
      <c r="BY73" s="1781"/>
      <c r="BZ73" s="1781"/>
      <c r="CA73" s="1781"/>
      <c r="CB73" s="1781"/>
      <c r="CC73" s="1782">
        <v>0</v>
      </c>
      <c r="CD73" s="1710">
        <f t="shared" si="171"/>
        <v>0</v>
      </c>
      <c r="CE73" s="1930"/>
      <c r="CF73" s="1930"/>
      <c r="CG73" s="1930"/>
      <c r="CH73" s="1930"/>
      <c r="CI73" s="1930"/>
      <c r="CJ73" s="1930"/>
      <c r="CK73" s="1930"/>
      <c r="CL73" s="1930"/>
      <c r="CM73" s="1930"/>
      <c r="CN73" s="1930"/>
      <c r="CO73" s="1930"/>
      <c r="CP73" s="2895"/>
      <c r="CQ73" s="1710">
        <f t="shared" si="172"/>
        <v>0</v>
      </c>
      <c r="CR73" s="1711"/>
      <c r="CS73" s="1711"/>
      <c r="CT73" s="1711"/>
      <c r="CU73" s="1711"/>
      <c r="CV73" s="1711"/>
      <c r="CW73" s="1711"/>
      <c r="CX73" s="1711"/>
      <c r="CY73" s="1711"/>
      <c r="CZ73" s="1711"/>
      <c r="DA73" s="1711"/>
      <c r="DB73" s="1711"/>
      <c r="DC73" s="2286"/>
      <c r="DD73" s="2766"/>
      <c r="DE73" s="2587"/>
      <c r="DF73" s="2587"/>
      <c r="DG73" s="2594"/>
      <c r="DH73" s="2210"/>
      <c r="DI73" s="2210"/>
      <c r="DJ73" s="2210"/>
      <c r="DK73" s="1884"/>
    </row>
    <row r="74" spans="1:121">
      <c r="B74" s="38" t="s">
        <v>112</v>
      </c>
      <c r="C74" s="56"/>
      <c r="D74" s="52"/>
      <c r="E74" s="1362">
        <v>9.9999999999999995E-7</v>
      </c>
      <c r="F74" s="1362">
        <v>0.10000100000000001</v>
      </c>
      <c r="G74" s="1362">
        <v>9.9999999999999995E-7</v>
      </c>
      <c r="H74" s="1362">
        <v>0</v>
      </c>
      <c r="I74" s="1362">
        <v>0</v>
      </c>
      <c r="J74" s="1362">
        <v>0</v>
      </c>
      <c r="K74" s="1362">
        <v>0</v>
      </c>
      <c r="L74" s="1362">
        <v>1.0279999999999999E-2</v>
      </c>
      <c r="M74" s="1346"/>
      <c r="N74" s="1346"/>
      <c r="O74" s="1346">
        <v>1.8E-5</v>
      </c>
      <c r="P74" s="1346">
        <v>2.2376900000000002</v>
      </c>
      <c r="Q74" s="1349">
        <f t="shared" ref="Q74" si="182">SUM(R74:AC74)</f>
        <v>0</v>
      </c>
      <c r="R74" s="1362"/>
      <c r="S74" s="1346"/>
      <c r="T74" s="1346"/>
      <c r="U74" s="1346"/>
      <c r="V74" s="1366"/>
      <c r="W74" s="1346"/>
      <c r="X74" s="1346"/>
      <c r="Y74" s="1346"/>
      <c r="Z74" s="1346"/>
      <c r="AA74" s="1346"/>
      <c r="AB74" s="1346"/>
      <c r="AC74" s="1350"/>
      <c r="AD74" s="1501">
        <v>4.0136000000000003</v>
      </c>
      <c r="AE74" s="1504"/>
      <c r="AF74" s="1062"/>
      <c r="AG74" s="1062"/>
      <c r="AH74" s="1062"/>
      <c r="AI74" s="1067"/>
      <c r="AJ74" s="1062">
        <v>1.4136</v>
      </c>
      <c r="AK74" s="1062">
        <v>2.6</v>
      </c>
      <c r="AL74" s="1062"/>
      <c r="AM74" s="1062"/>
      <c r="AN74" s="1062"/>
      <c r="AO74" s="1062"/>
      <c r="AP74" s="1063"/>
      <c r="AQ74" s="1367">
        <f t="shared" si="181"/>
        <v>5.0237020000000001</v>
      </c>
      <c r="AR74" s="1364"/>
      <c r="AS74" s="1364"/>
      <c r="AT74" s="1364">
        <v>9.9999999999999995E-7</v>
      </c>
      <c r="AU74" s="1364">
        <v>1.6475</v>
      </c>
      <c r="AV74" s="1368">
        <v>1.1700010000000001</v>
      </c>
      <c r="AW74" s="1364"/>
      <c r="AX74" s="1364">
        <v>6.8009999999999998E-3</v>
      </c>
      <c r="AY74" s="1364"/>
      <c r="AZ74" s="1364"/>
      <c r="BA74" s="1364">
        <v>2.1993990000000001</v>
      </c>
      <c r="BB74" s="1364"/>
      <c r="BC74" s="1364"/>
      <c r="BD74" s="1349">
        <f t="shared" si="165"/>
        <v>103.35035000000001</v>
      </c>
      <c r="BE74" s="1482"/>
      <c r="BF74" s="1482"/>
      <c r="BG74" s="1482"/>
      <c r="BH74" s="1482">
        <v>2.4500000000000002</v>
      </c>
      <c r="BI74" s="1483"/>
      <c r="BJ74" s="1482"/>
      <c r="BK74" s="1482">
        <v>100.90035</v>
      </c>
      <c r="BL74" s="1347"/>
      <c r="BM74" s="1347"/>
      <c r="BN74" s="1347"/>
      <c r="BO74" s="1347"/>
      <c r="BP74" s="1347"/>
      <c r="BQ74" s="1349">
        <f t="shared" si="170"/>
        <v>5.4261210000000002</v>
      </c>
      <c r="BR74" s="1920"/>
      <c r="BS74" s="1920"/>
      <c r="BT74" s="1920"/>
      <c r="BU74" s="1920"/>
      <c r="BV74" s="1925"/>
      <c r="BW74" s="1920">
        <v>0</v>
      </c>
      <c r="BX74" s="1920">
        <v>3.8568199999999999</v>
      </c>
      <c r="BY74" s="1920">
        <v>1.569223</v>
      </c>
      <c r="BZ74" s="1920"/>
      <c r="CA74" s="1920">
        <v>7.7999999999999999E-5</v>
      </c>
      <c r="CB74" s="1920"/>
      <c r="CC74" s="1921">
        <v>0</v>
      </c>
      <c r="CD74" s="1349">
        <f t="shared" si="171"/>
        <v>24.134111000000001</v>
      </c>
      <c r="CE74" s="2851">
        <v>17.596530000000001</v>
      </c>
      <c r="CF74" s="2851"/>
      <c r="CG74" s="2851"/>
      <c r="CH74" s="2851">
        <v>0.54936200000000002</v>
      </c>
      <c r="CI74" s="2853">
        <v>3.9820000000000002</v>
      </c>
      <c r="CJ74" s="2851"/>
      <c r="CK74" s="2851"/>
      <c r="CL74" s="2851"/>
      <c r="CM74" s="2851">
        <v>2</v>
      </c>
      <c r="CN74" s="2851"/>
      <c r="CO74" s="2851"/>
      <c r="CP74" s="2896">
        <v>6.2189999999999997E-3</v>
      </c>
      <c r="CQ74" s="1349">
        <f t="shared" si="172"/>
        <v>4</v>
      </c>
      <c r="CR74" s="2015"/>
      <c r="CS74" s="2015">
        <v>1</v>
      </c>
      <c r="CT74" s="2015"/>
      <c r="CU74" s="2015"/>
      <c r="CV74" s="2937">
        <v>1</v>
      </c>
      <c r="CW74" s="2015"/>
      <c r="CX74" s="2015"/>
      <c r="CY74" s="2015"/>
      <c r="CZ74" s="2015">
        <v>1</v>
      </c>
      <c r="DA74" s="2015"/>
      <c r="DB74" s="2015"/>
      <c r="DC74" s="2288">
        <v>1</v>
      </c>
      <c r="DD74" s="2766"/>
      <c r="DE74" s="2587"/>
      <c r="DF74" s="2587"/>
      <c r="DG74" s="2594"/>
      <c r="DH74" s="2210"/>
      <c r="DI74" s="2210"/>
      <c r="DJ74" s="2210"/>
      <c r="DK74" s="1884"/>
    </row>
    <row r="75" spans="1:121">
      <c r="B75" s="30" t="s">
        <v>113</v>
      </c>
      <c r="C75" s="31"/>
      <c r="D75" s="32"/>
      <c r="E75" s="417">
        <f t="shared" ref="E75:P75" si="183">E52+E53-E65</f>
        <v>-117.14586899999999</v>
      </c>
      <c r="F75" s="417">
        <f t="shared" si="183"/>
        <v>-129.87132499999998</v>
      </c>
      <c r="G75" s="417">
        <f t="shared" si="183"/>
        <v>-183.90639899999999</v>
      </c>
      <c r="H75" s="417">
        <f t="shared" si="183"/>
        <v>-132.585204</v>
      </c>
      <c r="I75" s="417">
        <f t="shared" si="183"/>
        <v>-142.791312</v>
      </c>
      <c r="J75" s="417">
        <f t="shared" si="183"/>
        <v>-247.16799700000001</v>
      </c>
      <c r="K75" s="417">
        <f t="shared" si="183"/>
        <v>-131.09156300000001</v>
      </c>
      <c r="L75" s="417">
        <f t="shared" si="183"/>
        <v>-112.19132400000001</v>
      </c>
      <c r="M75" s="417">
        <f t="shared" si="183"/>
        <v>-131.30359399999998</v>
      </c>
      <c r="N75" s="417">
        <f t="shared" si="183"/>
        <v>-73.021688000000012</v>
      </c>
      <c r="O75" s="417">
        <f t="shared" si="183"/>
        <v>-122.91953900000001</v>
      </c>
      <c r="P75" s="417">
        <f t="shared" si="183"/>
        <v>132.24152599999979</v>
      </c>
      <c r="Q75" s="1031">
        <f>SUM(R75:AC75)</f>
        <v>1.6781824545641939</v>
      </c>
      <c r="R75" s="417">
        <f t="shared" ref="R75:AC75" si="184">R52+R53-R65</f>
        <v>-610.31324899999845</v>
      </c>
      <c r="S75" s="417">
        <f t="shared" si="184"/>
        <v>551.82335799999942</v>
      </c>
      <c r="T75" s="417">
        <f t="shared" si="184"/>
        <v>-1564.3328360000114</v>
      </c>
      <c r="U75" s="417">
        <f t="shared" si="184"/>
        <v>950.34451900000704</v>
      </c>
      <c r="V75" s="417">
        <f t="shared" si="184"/>
        <v>958.41096100000561</v>
      </c>
      <c r="W75" s="417">
        <f t="shared" si="184"/>
        <v>-1033.7347399999994</v>
      </c>
      <c r="X75" s="417">
        <f t="shared" si="184"/>
        <v>713.60941500000627</v>
      </c>
      <c r="Y75" s="417">
        <f t="shared" si="184"/>
        <v>1945.9063800000049</v>
      </c>
      <c r="Z75" s="417">
        <f t="shared" si="184"/>
        <v>-980.9512109999954</v>
      </c>
      <c r="AA75" s="417">
        <f t="shared" si="184"/>
        <v>2039.9743389999974</v>
      </c>
      <c r="AB75" s="417">
        <f t="shared" si="184"/>
        <v>1088.6375774545465</v>
      </c>
      <c r="AC75" s="1036">
        <f t="shared" si="184"/>
        <v>-4057.6963309999983</v>
      </c>
      <c r="AD75" s="1498">
        <v>4125.2090839999955</v>
      </c>
      <c r="AE75" s="1052">
        <f t="shared" ref="AE75:AP75" si="185">AE52+AE53-AE65</f>
        <v>-534.34708400000613</v>
      </c>
      <c r="AF75" s="1052">
        <f t="shared" si="185"/>
        <v>424.63346499999051</v>
      </c>
      <c r="AG75" s="1052">
        <f t="shared" si="185"/>
        <v>539.98657000000799</v>
      </c>
      <c r="AH75" s="1052">
        <f t="shared" si="185"/>
        <v>132.9283509999982</v>
      </c>
      <c r="AI75" s="1052">
        <f t="shared" si="185"/>
        <v>829.64235500000461</v>
      </c>
      <c r="AJ75" s="1052">
        <f t="shared" si="185"/>
        <v>803.79849599999898</v>
      </c>
      <c r="AK75" s="1052">
        <f t="shared" si="185"/>
        <v>298.05923700000062</v>
      </c>
      <c r="AL75" s="1052">
        <f t="shared" si="185"/>
        <v>667.59650599999361</v>
      </c>
      <c r="AM75" s="1052">
        <f t="shared" si="185"/>
        <v>457.13146000000052</v>
      </c>
      <c r="AN75" s="1052">
        <f t="shared" si="185"/>
        <v>371.39058999999901</v>
      </c>
      <c r="AO75" s="1052">
        <f t="shared" si="185"/>
        <v>117.27606499999702</v>
      </c>
      <c r="AP75" s="1152">
        <f t="shared" si="185"/>
        <v>17.113073000010615</v>
      </c>
      <c r="AQ75" s="2312">
        <f>SUM(AR75:BC75)</f>
        <v>8650.2046129999981</v>
      </c>
      <c r="AR75" s="1370">
        <f t="shared" ref="AR75:BC75" si="186">AR52+AR53-AR65</f>
        <v>1959.6207889999966</v>
      </c>
      <c r="AS75" s="1370">
        <f t="shared" si="186"/>
        <v>751.38671600001487</v>
      </c>
      <c r="AT75" s="1370">
        <f t="shared" si="186"/>
        <v>2484.7445289999941</v>
      </c>
      <c r="AU75" s="1370">
        <f t="shared" si="186"/>
        <v>661.10646499999734</v>
      </c>
      <c r="AV75" s="1370">
        <f t="shared" si="186"/>
        <v>1884.4961909999952</v>
      </c>
      <c r="AW75" s="1370">
        <f t="shared" si="186"/>
        <v>2152.5245830000026</v>
      </c>
      <c r="AX75" s="1370">
        <f t="shared" si="186"/>
        <v>469.78335700000429</v>
      </c>
      <c r="AY75" s="1370">
        <f t="shared" si="186"/>
        <v>971.61761300000944</v>
      </c>
      <c r="AZ75" s="1370">
        <f t="shared" si="186"/>
        <v>89.153877999992801</v>
      </c>
      <c r="BA75" s="1370">
        <f t="shared" si="186"/>
        <v>1664.9745919999937</v>
      </c>
      <c r="BB75" s="1370">
        <f t="shared" si="186"/>
        <v>-3033.9495590000047</v>
      </c>
      <c r="BC75" s="1370">
        <f t="shared" si="186"/>
        <v>-1405.2545409999975</v>
      </c>
      <c r="BD75" s="1708">
        <f>BD52+BD53-BD65</f>
        <v>6203.918625000023</v>
      </c>
      <c r="BE75" s="417">
        <f t="shared" ref="BE75:CC75" si="187">BE52+BE53-BE65</f>
        <v>220.57221300000134</v>
      </c>
      <c r="BF75" s="417">
        <f t="shared" si="187"/>
        <v>1202.0835899999981</v>
      </c>
      <c r="BG75" s="417">
        <f t="shared" si="187"/>
        <v>-99.02271600000131</v>
      </c>
      <c r="BH75" s="417">
        <f t="shared" si="187"/>
        <v>882.12792800000489</v>
      </c>
      <c r="BI75" s="417">
        <f t="shared" si="187"/>
        <v>1485.5358500000018</v>
      </c>
      <c r="BJ75" s="417">
        <f t="shared" si="187"/>
        <v>1294.6277330000025</v>
      </c>
      <c r="BK75" s="417">
        <f t="shared" si="187"/>
        <v>545.72323600000573</v>
      </c>
      <c r="BL75" s="417">
        <f t="shared" si="187"/>
        <v>3334.5587029999933</v>
      </c>
      <c r="BM75" s="417">
        <f t="shared" si="187"/>
        <v>333.54212300000302</v>
      </c>
      <c r="BN75" s="417">
        <f t="shared" si="187"/>
        <v>2227.1237800000067</v>
      </c>
      <c r="BO75" s="417">
        <f t="shared" si="187"/>
        <v>-3054.223254999994</v>
      </c>
      <c r="BP75" s="1024">
        <f t="shared" si="187"/>
        <v>-2168.73056000001</v>
      </c>
      <c r="BQ75" s="2313">
        <f>BQ52+BQ53-BQ65</f>
        <v>13423.209326999997</v>
      </c>
      <c r="BR75" s="1029">
        <f t="shared" si="187"/>
        <v>1480.1144410000138</v>
      </c>
      <c r="BS75" s="417">
        <f t="shared" si="187"/>
        <v>1554.344143000005</v>
      </c>
      <c r="BT75" s="417">
        <f t="shared" si="187"/>
        <v>3275.4608469999994</v>
      </c>
      <c r="BU75" s="417">
        <f t="shared" si="187"/>
        <v>2612.0814279999991</v>
      </c>
      <c r="BV75" s="417">
        <f t="shared" si="187"/>
        <v>1499.2835069999974</v>
      </c>
      <c r="BW75" s="417">
        <f t="shared" si="187"/>
        <v>412.6028980000001</v>
      </c>
      <c r="BX75" s="417">
        <f t="shared" si="187"/>
        <v>2062.1353419999991</v>
      </c>
      <c r="BY75" s="417">
        <f t="shared" si="187"/>
        <v>248.73590099999981</v>
      </c>
      <c r="BZ75" s="417">
        <f t="shared" si="187"/>
        <v>1427.4492930000049</v>
      </c>
      <c r="CA75" s="417">
        <f t="shared" si="187"/>
        <v>-252.49379900001512</v>
      </c>
      <c r="CB75" s="417">
        <f t="shared" si="187"/>
        <v>91.857917999997881</v>
      </c>
      <c r="CC75" s="1334">
        <f t="shared" si="187"/>
        <v>-988.36259200000313</v>
      </c>
      <c r="CD75" s="1024">
        <f>CD52+CD53-CD65</f>
        <v>14444.775229999988</v>
      </c>
      <c r="CE75" s="2582">
        <f t="shared" ref="CE75:CP75" si="188">CE52+CE53-CE65</f>
        <v>-576.13448099999914</v>
      </c>
      <c r="CF75" s="1708">
        <f t="shared" si="188"/>
        <v>4549.5103329999984</v>
      </c>
      <c r="CG75" s="1708">
        <f t="shared" si="188"/>
        <v>1622.9133769999989</v>
      </c>
      <c r="CH75" s="1708">
        <f t="shared" si="188"/>
        <v>2336.9177559999985</v>
      </c>
      <c r="CI75" s="1708">
        <f t="shared" si="188"/>
        <v>3977.847528000003</v>
      </c>
      <c r="CJ75" s="1708">
        <f t="shared" si="188"/>
        <v>2094.5408829999988</v>
      </c>
      <c r="CK75" s="1708">
        <f t="shared" si="188"/>
        <v>3995.3553940000015</v>
      </c>
      <c r="CL75" s="1708">
        <f t="shared" si="188"/>
        <v>421.82464799999593</v>
      </c>
      <c r="CM75" s="1708">
        <f t="shared" si="188"/>
        <v>1971.8337139999933</v>
      </c>
      <c r="CN75" s="1708">
        <f t="shared" si="188"/>
        <v>-1887.4686990000032</v>
      </c>
      <c r="CO75" s="1708">
        <f t="shared" si="188"/>
        <v>-941.73350399998799</v>
      </c>
      <c r="CP75" s="1024">
        <f t="shared" si="188"/>
        <v>-3120.6317190000123</v>
      </c>
      <c r="CQ75" s="2582">
        <f>CQ52+CQ53-CQ65</f>
        <v>17371.000000000291</v>
      </c>
      <c r="CR75" s="1029">
        <f t="shared" ref="CR75:DC75" si="189">CR52+CR53-CR65</f>
        <v>1992.0372654402672</v>
      </c>
      <c r="CS75" s="1708">
        <f t="shared" si="189"/>
        <v>1640.172244739646</v>
      </c>
      <c r="CT75" s="1708">
        <f t="shared" si="189"/>
        <v>4383.3791306185449</v>
      </c>
      <c r="CU75" s="1708">
        <f t="shared" si="189"/>
        <v>2226.899753879472</v>
      </c>
      <c r="CV75" s="1708">
        <f t="shared" si="189"/>
        <v>2166.5780476855471</v>
      </c>
      <c r="CW75" s="1708">
        <f t="shared" si="189"/>
        <v>1753.7975649974542</v>
      </c>
      <c r="CX75" s="1708">
        <f t="shared" si="189"/>
        <v>4086.6394089068053</v>
      </c>
      <c r="CY75" s="1708">
        <f t="shared" si="189"/>
        <v>1558.3568279499596</v>
      </c>
      <c r="CZ75" s="1708">
        <f t="shared" si="189"/>
        <v>522.69467571576752</v>
      </c>
      <c r="DA75" s="1708">
        <f t="shared" si="189"/>
        <v>1394.4303173987355</v>
      </c>
      <c r="DB75" s="1708">
        <f t="shared" si="189"/>
        <v>-715.76297286999397</v>
      </c>
      <c r="DC75" s="1334">
        <f t="shared" si="189"/>
        <v>-3638.2222644619251</v>
      </c>
      <c r="DD75" s="2766"/>
      <c r="DE75" s="2587"/>
      <c r="DF75" s="2587"/>
      <c r="DG75" s="2972"/>
      <c r="DH75" s="2210"/>
      <c r="DI75" s="2210"/>
      <c r="DJ75" s="2210"/>
      <c r="DK75" s="1884"/>
    </row>
    <row r="76" spans="1:121">
      <c r="B76" s="49" t="s">
        <v>114</v>
      </c>
      <c r="C76" s="57"/>
      <c r="D76" s="58"/>
      <c r="E76" s="1371">
        <v>0</v>
      </c>
      <c r="F76" s="1371">
        <v>0</v>
      </c>
      <c r="G76" s="1371">
        <v>0</v>
      </c>
      <c r="H76" s="1371">
        <v>0</v>
      </c>
      <c r="I76" s="1371">
        <v>107.62383699999999</v>
      </c>
      <c r="J76" s="1371">
        <v>0</v>
      </c>
      <c r="K76" s="1371">
        <v>0</v>
      </c>
      <c r="L76" s="1371">
        <v>0</v>
      </c>
      <c r="M76" s="1371">
        <v>0</v>
      </c>
      <c r="N76" s="599"/>
      <c r="O76" s="599"/>
      <c r="P76" s="599">
        <v>1488.8545200000001</v>
      </c>
      <c r="Q76" s="1349">
        <f>SUM(R76:AC76)</f>
        <v>486.47027800000001</v>
      </c>
      <c r="R76" s="599"/>
      <c r="S76" s="599"/>
      <c r="T76" s="599">
        <v>2.8863500000000002</v>
      </c>
      <c r="U76" s="599"/>
      <c r="V76" s="599">
        <v>180.14535799999999</v>
      </c>
      <c r="W76" s="599">
        <v>312.59906000000001</v>
      </c>
      <c r="X76" s="599"/>
      <c r="Y76" s="599"/>
      <c r="Z76" s="599"/>
      <c r="AA76" s="599"/>
      <c r="AB76" s="599"/>
      <c r="AC76" s="1076">
        <v>-9.1604899999999994</v>
      </c>
      <c r="AD76" s="1501">
        <v>6.8829850000000006</v>
      </c>
      <c r="AE76" s="1068"/>
      <c r="AF76" s="1068"/>
      <c r="AG76" s="1068"/>
      <c r="AH76" s="1068"/>
      <c r="AI76" s="1068">
        <v>7.0635190000000003</v>
      </c>
      <c r="AJ76" s="1068"/>
      <c r="AK76" s="1068"/>
      <c r="AL76" s="1068"/>
      <c r="AM76" s="1068"/>
      <c r="AN76" s="1068">
        <v>-0.180534</v>
      </c>
      <c r="AO76" s="1068"/>
      <c r="AP76" s="1069"/>
      <c r="AQ76" s="1367">
        <f>SUM(AR76:BC76)</f>
        <v>543.20204000000012</v>
      </c>
      <c r="AR76" s="1372"/>
      <c r="AS76" s="1372"/>
      <c r="AT76" s="1372">
        <v>-3.7007400000000001</v>
      </c>
      <c r="AU76" s="1372">
        <v>57.564352</v>
      </c>
      <c r="AV76" s="1372"/>
      <c r="AW76" s="1372">
        <v>1447.521037</v>
      </c>
      <c r="AX76" s="1372"/>
      <c r="AY76" s="1372"/>
      <c r="AZ76" s="1372">
        <v>265.30849999999998</v>
      </c>
      <c r="BA76" s="1372"/>
      <c r="BB76" s="1372">
        <v>0.15979599999999999</v>
      </c>
      <c r="BC76" s="1372">
        <v>-1223.650905</v>
      </c>
      <c r="BD76" s="1349">
        <f>SUM(BE76:BP76)</f>
        <v>2421.0021549999997</v>
      </c>
      <c r="BE76" s="1372">
        <v>23.082758999999999</v>
      </c>
      <c r="BF76" s="1372">
        <v>2.3287810000000002</v>
      </c>
      <c r="BG76" s="1372">
        <v>742.80984699999999</v>
      </c>
      <c r="BH76" s="1372">
        <v>0</v>
      </c>
      <c r="BI76" s="1372">
        <v>106.95889099999999</v>
      </c>
      <c r="BJ76" s="1372">
        <v>895.30597</v>
      </c>
      <c r="BK76" s="1372">
        <v>428.41714400000001</v>
      </c>
      <c r="BL76" s="599">
        <v>15.40638</v>
      </c>
      <c r="BM76" s="599">
        <v>880.14183000000003</v>
      </c>
      <c r="BN76" s="599">
        <v>-10.532230999999999</v>
      </c>
      <c r="BO76" s="599">
        <v>-2.0828000000000002</v>
      </c>
      <c r="BP76" s="599">
        <f>-660834416/1000000</f>
        <v>-660.83441600000003</v>
      </c>
      <c r="BQ76" s="1349">
        <f>SUM(BR76:CC76)</f>
        <v>-6258.2037490000002</v>
      </c>
      <c r="BR76" s="1926">
        <v>-22.77412</v>
      </c>
      <c r="BS76" s="1926">
        <v>0</v>
      </c>
      <c r="BT76" s="1926">
        <v>1318.5626999999999</v>
      </c>
      <c r="BU76" s="1926">
        <v>-57.054900000000004</v>
      </c>
      <c r="BV76" s="1926">
        <v>0</v>
      </c>
      <c r="BW76" s="1926">
        <v>945.50948700000004</v>
      </c>
      <c r="BX76" s="1926">
        <v>0</v>
      </c>
      <c r="BY76" s="1926">
        <v>0</v>
      </c>
      <c r="BZ76" s="1926">
        <v>790.54780500000004</v>
      </c>
      <c r="CA76" s="1926">
        <v>0.42743500000000001</v>
      </c>
      <c r="CB76" s="1926">
        <v>0.41336099999999998</v>
      </c>
      <c r="CC76" s="1927">
        <v>-9233.8355169999995</v>
      </c>
      <c r="CD76" s="1349">
        <f>SUM(CE76:CP76)</f>
        <v>2679.8908199999996</v>
      </c>
      <c r="CE76" s="2854">
        <v>8.4970000000000004E-2</v>
      </c>
      <c r="CF76" s="2855">
        <v>5.2727000000000003E-2</v>
      </c>
      <c r="CG76" s="2855">
        <v>1167.317059</v>
      </c>
      <c r="CH76" s="2855">
        <v>2.7810000000000001E-2</v>
      </c>
      <c r="CI76" s="2855">
        <v>0</v>
      </c>
      <c r="CJ76" s="2855">
        <v>1757.5449900000001</v>
      </c>
      <c r="CK76" s="2855">
        <v>0</v>
      </c>
      <c r="CL76" s="2855">
        <v>99.009646000000004</v>
      </c>
      <c r="CM76" s="2855">
        <v>1235.9060500000001</v>
      </c>
      <c r="CN76" s="2855">
        <v>0</v>
      </c>
      <c r="CO76" s="2855">
        <v>3.0962E-2</v>
      </c>
      <c r="CP76" s="1927">
        <v>-1580.083394</v>
      </c>
      <c r="CQ76" s="1349">
        <f>SUM(CR76:DC76)</f>
        <v>4690.17</v>
      </c>
      <c r="CR76" s="2938"/>
      <c r="CS76" s="2938"/>
      <c r="CT76" s="2938">
        <v>1172.5425</v>
      </c>
      <c r="CU76" s="2938"/>
      <c r="CV76" s="2938"/>
      <c r="CW76" s="2938">
        <v>1172.5425</v>
      </c>
      <c r="CX76" s="2938"/>
      <c r="CY76" s="2938"/>
      <c r="CZ76" s="2938">
        <v>1172.5425</v>
      </c>
      <c r="DA76" s="2938"/>
      <c r="DB76" s="2938"/>
      <c r="DC76" s="2939">
        <v>1172.5425</v>
      </c>
      <c r="DD76" s="2766"/>
      <c r="DE76" s="2587"/>
      <c r="DF76" s="2587"/>
      <c r="DG76" s="2594"/>
      <c r="DH76" s="2210"/>
      <c r="DI76" s="2210"/>
      <c r="DJ76" s="2210"/>
      <c r="DK76" s="1884"/>
    </row>
    <row r="77" spans="1:121">
      <c r="B77" s="30" t="s">
        <v>115</v>
      </c>
      <c r="C77" s="31"/>
      <c r="D77" s="32"/>
      <c r="E77" s="417">
        <f t="shared" ref="E77:P77" si="190">E75-E76</f>
        <v>-117.14586899999999</v>
      </c>
      <c r="F77" s="417">
        <f t="shared" si="190"/>
        <v>-129.87132499999998</v>
      </c>
      <c r="G77" s="417">
        <f t="shared" si="190"/>
        <v>-183.90639899999999</v>
      </c>
      <c r="H77" s="417">
        <f t="shared" si="190"/>
        <v>-132.585204</v>
      </c>
      <c r="I77" s="417">
        <f t="shared" si="190"/>
        <v>-250.41514899999999</v>
      </c>
      <c r="J77" s="417">
        <f t="shared" si="190"/>
        <v>-247.16799700000001</v>
      </c>
      <c r="K77" s="417">
        <f t="shared" si="190"/>
        <v>-131.09156300000001</v>
      </c>
      <c r="L77" s="417">
        <f t="shared" si="190"/>
        <v>-112.19132400000001</v>
      </c>
      <c r="M77" s="417">
        <f t="shared" si="190"/>
        <v>-131.30359399999998</v>
      </c>
      <c r="N77" s="417">
        <f t="shared" si="190"/>
        <v>-73.021688000000012</v>
      </c>
      <c r="O77" s="417">
        <f t="shared" si="190"/>
        <v>-122.91953900000001</v>
      </c>
      <c r="P77" s="417">
        <f t="shared" si="190"/>
        <v>-1356.6129940000003</v>
      </c>
      <c r="Q77" s="1031">
        <f>Q75-Q76</f>
        <v>-484.79209554543581</v>
      </c>
      <c r="R77" s="417">
        <f t="shared" ref="R77:AC77" si="191">R75-R76</f>
        <v>-610.31324899999845</v>
      </c>
      <c r="S77" s="417">
        <f t="shared" si="191"/>
        <v>551.82335799999942</v>
      </c>
      <c r="T77" s="417">
        <f t="shared" si="191"/>
        <v>-1567.2191860000114</v>
      </c>
      <c r="U77" s="417">
        <f t="shared" si="191"/>
        <v>950.34451900000704</v>
      </c>
      <c r="V77" s="417">
        <f t="shared" si="191"/>
        <v>778.26560300000563</v>
      </c>
      <c r="W77" s="417">
        <f t="shared" si="191"/>
        <v>-1346.3337999999994</v>
      </c>
      <c r="X77" s="417">
        <f t="shared" si="191"/>
        <v>713.60941500000627</v>
      </c>
      <c r="Y77" s="417">
        <f t="shared" si="191"/>
        <v>1945.9063800000049</v>
      </c>
      <c r="Z77" s="417">
        <f t="shared" si="191"/>
        <v>-980.9512109999954</v>
      </c>
      <c r="AA77" s="417">
        <f t="shared" si="191"/>
        <v>2039.9743389999974</v>
      </c>
      <c r="AB77" s="417">
        <f t="shared" si="191"/>
        <v>1088.6375774545465</v>
      </c>
      <c r="AC77" s="1036">
        <f t="shared" si="191"/>
        <v>-4048.5358409999981</v>
      </c>
      <c r="AD77" s="1498">
        <v>4118.3260989999953</v>
      </c>
      <c r="AE77" s="1052">
        <f t="shared" ref="AE77:AP77" si="192">AE75-AE76</f>
        <v>-534.34708400000613</v>
      </c>
      <c r="AF77" s="1052">
        <f t="shared" si="192"/>
        <v>424.63346499999051</v>
      </c>
      <c r="AG77" s="1052">
        <f t="shared" si="192"/>
        <v>539.98657000000799</v>
      </c>
      <c r="AH77" s="1052">
        <f t="shared" si="192"/>
        <v>132.9283509999982</v>
      </c>
      <c r="AI77" s="1052">
        <f t="shared" si="192"/>
        <v>822.57883600000457</v>
      </c>
      <c r="AJ77" s="1052">
        <f t="shared" si="192"/>
        <v>803.79849599999898</v>
      </c>
      <c r="AK77" s="1052">
        <f t="shared" si="192"/>
        <v>298.05923700000062</v>
      </c>
      <c r="AL77" s="1052">
        <f t="shared" si="192"/>
        <v>667.59650599999361</v>
      </c>
      <c r="AM77" s="1052">
        <f t="shared" si="192"/>
        <v>457.13146000000052</v>
      </c>
      <c r="AN77" s="1052">
        <f t="shared" si="192"/>
        <v>371.57112399999903</v>
      </c>
      <c r="AO77" s="1052">
        <f t="shared" si="192"/>
        <v>117.27606499999702</v>
      </c>
      <c r="AP77" s="1053">
        <f t="shared" si="192"/>
        <v>17.113073000010615</v>
      </c>
      <c r="AQ77" s="1369">
        <f>AQ75-AQ76</f>
        <v>8107.0025729999979</v>
      </c>
      <c r="AR77" s="1370">
        <f t="shared" ref="AR77:BC77" si="193">AR75-AR76</f>
        <v>1959.6207889999966</v>
      </c>
      <c r="AS77" s="1370">
        <f t="shared" si="193"/>
        <v>751.38671600001487</v>
      </c>
      <c r="AT77" s="1370">
        <f t="shared" si="193"/>
        <v>2488.4452689999944</v>
      </c>
      <c r="AU77" s="1370">
        <f t="shared" si="193"/>
        <v>603.54211299999736</v>
      </c>
      <c r="AV77" s="1370">
        <f t="shared" si="193"/>
        <v>1884.4961909999952</v>
      </c>
      <c r="AW77" s="1370">
        <f t="shared" si="193"/>
        <v>705.00354600000264</v>
      </c>
      <c r="AX77" s="1370">
        <f t="shared" si="193"/>
        <v>469.78335700000429</v>
      </c>
      <c r="AY77" s="1370">
        <f t="shared" si="193"/>
        <v>971.61761300000944</v>
      </c>
      <c r="AZ77" s="1370">
        <f t="shared" si="193"/>
        <v>-176.15462200000718</v>
      </c>
      <c r="BA77" s="1370">
        <f t="shared" si="193"/>
        <v>1664.9745919999937</v>
      </c>
      <c r="BB77" s="1370">
        <f t="shared" si="193"/>
        <v>-3034.1093550000046</v>
      </c>
      <c r="BC77" s="1370">
        <f t="shared" si="193"/>
        <v>-181.60363599999755</v>
      </c>
      <c r="BD77" s="1031">
        <f>BD75-BD76</f>
        <v>3782.9164700000233</v>
      </c>
      <c r="BE77" s="417">
        <f t="shared" ref="BE77:CP77" si="194">BE75-BE76</f>
        <v>197.48945400000133</v>
      </c>
      <c r="BF77" s="417">
        <f t="shared" si="194"/>
        <v>1199.7548089999982</v>
      </c>
      <c r="BG77" s="417">
        <f t="shared" si="194"/>
        <v>-841.8325630000013</v>
      </c>
      <c r="BH77" s="417">
        <f t="shared" si="194"/>
        <v>882.12792800000489</v>
      </c>
      <c r="BI77" s="417">
        <f t="shared" si="194"/>
        <v>1378.5769590000018</v>
      </c>
      <c r="BJ77" s="417">
        <f t="shared" si="194"/>
        <v>399.32176300000253</v>
      </c>
      <c r="BK77" s="417">
        <f t="shared" si="194"/>
        <v>117.30609200000572</v>
      </c>
      <c r="BL77" s="417">
        <f t="shared" si="194"/>
        <v>3319.1523229999934</v>
      </c>
      <c r="BM77" s="417">
        <f t="shared" si="194"/>
        <v>-546.59970699999701</v>
      </c>
      <c r="BN77" s="417">
        <f t="shared" si="194"/>
        <v>2237.6560110000069</v>
      </c>
      <c r="BO77" s="417">
        <f t="shared" si="194"/>
        <v>-3052.1404549999938</v>
      </c>
      <c r="BP77" s="417">
        <f t="shared" si="194"/>
        <v>-1507.8961440000098</v>
      </c>
      <c r="BQ77" s="1031">
        <f t="shared" si="194"/>
        <v>19681.413075999997</v>
      </c>
      <c r="BR77" s="417">
        <f>BR75-BR76</f>
        <v>1502.8885610000139</v>
      </c>
      <c r="BS77" s="417">
        <f t="shared" si="194"/>
        <v>1554.344143000005</v>
      </c>
      <c r="BT77" s="417">
        <f t="shared" si="194"/>
        <v>1956.8981469999994</v>
      </c>
      <c r="BU77" s="417">
        <f t="shared" si="194"/>
        <v>2669.1363279999991</v>
      </c>
      <c r="BV77" s="417">
        <f t="shared" si="194"/>
        <v>1499.2835069999974</v>
      </c>
      <c r="BW77" s="417">
        <f t="shared" si="194"/>
        <v>-532.90658899999994</v>
      </c>
      <c r="BX77" s="417">
        <f t="shared" si="194"/>
        <v>2062.1353419999991</v>
      </c>
      <c r="BY77" s="417">
        <f t="shared" si="194"/>
        <v>248.73590099999981</v>
      </c>
      <c r="BZ77" s="417">
        <f t="shared" si="194"/>
        <v>636.90148800000486</v>
      </c>
      <c r="CA77" s="417">
        <f t="shared" si="194"/>
        <v>-252.92123400001512</v>
      </c>
      <c r="CB77" s="417">
        <f t="shared" si="194"/>
        <v>91.444556999997886</v>
      </c>
      <c r="CC77" s="1334">
        <f t="shared" si="194"/>
        <v>8245.4729249999964</v>
      </c>
      <c r="CD77" s="1031">
        <f t="shared" si="194"/>
        <v>11764.884409999988</v>
      </c>
      <c r="CE77" s="1708">
        <f>CE75-CE76</f>
        <v>-576.21945099999914</v>
      </c>
      <c r="CF77" s="1708">
        <f t="shared" si="194"/>
        <v>4549.4576059999981</v>
      </c>
      <c r="CG77" s="1708">
        <f t="shared" si="194"/>
        <v>455.59631799999897</v>
      </c>
      <c r="CH77" s="1708">
        <f t="shared" si="194"/>
        <v>2336.8899459999984</v>
      </c>
      <c r="CI77" s="1708">
        <f t="shared" si="194"/>
        <v>3977.847528000003</v>
      </c>
      <c r="CJ77" s="1708">
        <f t="shared" si="194"/>
        <v>336.99589299999866</v>
      </c>
      <c r="CK77" s="1708">
        <f t="shared" si="194"/>
        <v>3995.3553940000015</v>
      </c>
      <c r="CL77" s="1708">
        <f t="shared" si="194"/>
        <v>322.81500199999596</v>
      </c>
      <c r="CM77" s="1708">
        <f t="shared" si="194"/>
        <v>735.92766399999323</v>
      </c>
      <c r="CN77" s="1708">
        <f t="shared" si="194"/>
        <v>-1887.4686990000032</v>
      </c>
      <c r="CO77" s="1708">
        <f t="shared" si="194"/>
        <v>-941.76446599998803</v>
      </c>
      <c r="CP77" s="1334">
        <f t="shared" si="194"/>
        <v>-1540.5483250000123</v>
      </c>
      <c r="CQ77" s="1031">
        <f t="shared" ref="CQ77" si="195">CQ75-CQ76</f>
        <v>12680.830000000291</v>
      </c>
      <c r="CR77" s="1708">
        <f>CR75-CR76</f>
        <v>1992.0372654402672</v>
      </c>
      <c r="CS77" s="1708">
        <f t="shared" ref="CS77:DC77" si="196">CS75-CS76</f>
        <v>1640.172244739646</v>
      </c>
      <c r="CT77" s="1708">
        <f t="shared" si="196"/>
        <v>3210.8366306185449</v>
      </c>
      <c r="CU77" s="1708">
        <f t="shared" si="196"/>
        <v>2226.899753879472</v>
      </c>
      <c r="CV77" s="1708">
        <f t="shared" si="196"/>
        <v>2166.5780476855471</v>
      </c>
      <c r="CW77" s="1708">
        <f t="shared" si="196"/>
        <v>581.25506499745416</v>
      </c>
      <c r="CX77" s="1708">
        <f t="shared" si="196"/>
        <v>4086.6394089068053</v>
      </c>
      <c r="CY77" s="1708">
        <f t="shared" si="196"/>
        <v>1558.3568279499596</v>
      </c>
      <c r="CZ77" s="1708">
        <f t="shared" si="196"/>
        <v>-649.8478242842325</v>
      </c>
      <c r="DA77" s="1708">
        <f t="shared" si="196"/>
        <v>1394.4303173987355</v>
      </c>
      <c r="DB77" s="1708">
        <f t="shared" si="196"/>
        <v>-715.76297286999397</v>
      </c>
      <c r="DC77" s="1334">
        <f t="shared" si="196"/>
        <v>-4810.7647644619246</v>
      </c>
      <c r="DD77" s="2952"/>
      <c r="DE77" s="2989"/>
      <c r="DF77" s="2989"/>
      <c r="DG77" s="2972"/>
      <c r="DH77" s="2210"/>
      <c r="DI77" s="2210"/>
      <c r="DJ77" s="2210"/>
      <c r="DK77" s="1884"/>
    </row>
    <row r="78" spans="1:121"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1303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  <c r="BQ78" s="1303"/>
      <c r="BR78" s="1303"/>
      <c r="BS78" s="1303"/>
      <c r="BT78" s="1303"/>
      <c r="BU78" s="1303"/>
      <c r="BV78" s="1303"/>
      <c r="BW78" s="1714"/>
      <c r="BX78" s="1303"/>
      <c r="BY78" s="1303"/>
      <c r="BZ78" s="1303"/>
      <c r="CA78" s="1303"/>
      <c r="CB78" s="1303"/>
      <c r="CC78" s="1373"/>
      <c r="CD78" s="2271"/>
      <c r="CE78" s="2271"/>
      <c r="CF78" s="2271"/>
      <c r="CG78" s="2271"/>
      <c r="CH78" s="2271"/>
      <c r="CI78" s="2271"/>
      <c r="CJ78" s="2755"/>
      <c r="CK78" s="2271"/>
      <c r="CL78" s="2271"/>
      <c r="CM78" s="2271"/>
      <c r="CN78" s="2271"/>
      <c r="CO78" s="2271"/>
      <c r="CP78" s="2273"/>
      <c r="CQ78" s="2271"/>
      <c r="CR78" s="2271"/>
      <c r="CS78" s="2271"/>
      <c r="CT78" s="2271"/>
      <c r="CU78" s="2271"/>
      <c r="CV78" s="2271"/>
      <c r="CW78" s="2272"/>
      <c r="CX78" s="2271"/>
      <c r="CY78" s="2271"/>
      <c r="CZ78" s="2271"/>
      <c r="DA78" s="2271"/>
      <c r="DB78" s="2271"/>
      <c r="DC78" s="2273"/>
      <c r="DD78" s="2766"/>
      <c r="DE78" s="2587"/>
      <c r="DF78" s="2587"/>
      <c r="DG78" s="2973"/>
      <c r="DH78" s="2210"/>
      <c r="DI78" s="2210"/>
      <c r="DJ78" s="2210"/>
      <c r="DK78" s="1884"/>
    </row>
    <row r="79" spans="1:121">
      <c r="B79" s="30" t="s">
        <v>116</v>
      </c>
      <c r="C79" s="31"/>
      <c r="D79" s="32"/>
      <c r="E79" s="417">
        <f t="shared" ref="E79:BQ79" si="197">E52+E35</f>
        <v>0</v>
      </c>
      <c r="F79" s="417">
        <f t="shared" si="197"/>
        <v>0</v>
      </c>
      <c r="G79" s="417">
        <f t="shared" si="197"/>
        <v>0</v>
      </c>
      <c r="H79" s="417">
        <f t="shared" si="197"/>
        <v>0</v>
      </c>
      <c r="I79" s="417">
        <f t="shared" si="197"/>
        <v>0</v>
      </c>
      <c r="J79" s="417">
        <f t="shared" si="197"/>
        <v>0</v>
      </c>
      <c r="K79" s="417">
        <f t="shared" si="197"/>
        <v>0</v>
      </c>
      <c r="L79" s="417">
        <f t="shared" si="197"/>
        <v>0</v>
      </c>
      <c r="M79" s="417">
        <f t="shared" si="197"/>
        <v>0</v>
      </c>
      <c r="N79" s="417">
        <f t="shared" si="197"/>
        <v>0</v>
      </c>
      <c r="O79" s="417">
        <f t="shared" si="197"/>
        <v>0</v>
      </c>
      <c r="P79" s="417">
        <f t="shared" si="197"/>
        <v>0</v>
      </c>
      <c r="Q79" s="1031">
        <f t="shared" si="197"/>
        <v>9427.7037814545874</v>
      </c>
      <c r="R79" s="417">
        <f t="shared" si="197"/>
        <v>-357.30695899999841</v>
      </c>
      <c r="S79" s="417">
        <f t="shared" si="197"/>
        <v>896.61659999999938</v>
      </c>
      <c r="T79" s="417">
        <f t="shared" si="197"/>
        <v>1171.2279539999886</v>
      </c>
      <c r="U79" s="417">
        <f t="shared" si="197"/>
        <v>1210.7936810000069</v>
      </c>
      <c r="V79" s="417">
        <f t="shared" si="197"/>
        <v>1191.0830890000057</v>
      </c>
      <c r="W79" s="417">
        <f t="shared" si="197"/>
        <v>716.90379900000084</v>
      </c>
      <c r="X79" s="417">
        <f t="shared" si="197"/>
        <v>952.23713900000632</v>
      </c>
      <c r="Y79" s="417">
        <f t="shared" si="197"/>
        <v>2173.3723760000048</v>
      </c>
      <c r="Z79" s="417">
        <f t="shared" si="197"/>
        <v>596.73522700000467</v>
      </c>
      <c r="AA79" s="417">
        <f t="shared" si="197"/>
        <v>2235.7455169999971</v>
      </c>
      <c r="AB79" s="417">
        <f t="shared" si="197"/>
        <v>1264.1169344545465</v>
      </c>
      <c r="AC79" s="1036">
        <f t="shared" si="197"/>
        <v>-2623.821575999998</v>
      </c>
      <c r="AD79" s="1025">
        <v>10930.91772999999</v>
      </c>
      <c r="AE79" s="1051">
        <f t="shared" si="197"/>
        <v>-289.20920300000608</v>
      </c>
      <c r="AF79" s="1052">
        <f t="shared" si="197"/>
        <v>632.23847299999056</v>
      </c>
      <c r="AG79" s="1052">
        <f t="shared" si="197"/>
        <v>2187.6567010000081</v>
      </c>
      <c r="AH79" s="1052">
        <f t="shared" si="197"/>
        <v>327.82891199999818</v>
      </c>
      <c r="AI79" s="1052">
        <f t="shared" si="197"/>
        <v>896.69221800000469</v>
      </c>
      <c r="AJ79" s="1052">
        <f t="shared" si="197"/>
        <v>2126.9910019999988</v>
      </c>
      <c r="AK79" s="1052">
        <f t="shared" si="197"/>
        <v>512.69092400000068</v>
      </c>
      <c r="AL79" s="1052">
        <f t="shared" si="197"/>
        <v>863.50964499999372</v>
      </c>
      <c r="AM79" s="1052">
        <f t="shared" si="197"/>
        <v>1670.1296610000002</v>
      </c>
      <c r="AN79" s="1052">
        <f t="shared" si="197"/>
        <v>573.96402399999897</v>
      </c>
      <c r="AO79" s="1052">
        <f t="shared" si="197"/>
        <v>322.12715799999705</v>
      </c>
      <c r="AP79" s="1053">
        <f t="shared" si="197"/>
        <v>1106.2982150000107</v>
      </c>
      <c r="AQ79" s="1024">
        <f t="shared" si="197"/>
        <v>13727.627449999998</v>
      </c>
      <c r="AR79" s="1344">
        <f t="shared" si="197"/>
        <v>409.0020839999969</v>
      </c>
      <c r="AS79" s="417">
        <f t="shared" si="197"/>
        <v>933.314124000015</v>
      </c>
      <c r="AT79" s="417">
        <f t="shared" si="197"/>
        <v>3613.9272739999947</v>
      </c>
      <c r="AU79" s="417">
        <f t="shared" si="197"/>
        <v>857.32576799999731</v>
      </c>
      <c r="AV79" s="417">
        <f t="shared" si="197"/>
        <v>2080.8129859999949</v>
      </c>
      <c r="AW79" s="417">
        <f t="shared" si="197"/>
        <v>3474.0056580000028</v>
      </c>
      <c r="AX79" s="417">
        <f t="shared" si="197"/>
        <v>654.58116900000437</v>
      </c>
      <c r="AY79" s="417">
        <f t="shared" si="197"/>
        <v>1154.1748740000094</v>
      </c>
      <c r="AZ79" s="417">
        <f t="shared" si="197"/>
        <v>1576.7515759999917</v>
      </c>
      <c r="BA79" s="417">
        <f t="shared" si="197"/>
        <v>1536.5668979999937</v>
      </c>
      <c r="BB79" s="417">
        <f t="shared" si="197"/>
        <v>-2933.7284440000049</v>
      </c>
      <c r="BC79" s="1024">
        <f t="shared" si="197"/>
        <v>370.89348300000233</v>
      </c>
      <c r="BD79" s="1100">
        <f>BD52+BD35</f>
        <v>15483.519455000023</v>
      </c>
      <c r="BE79" s="1029">
        <f t="shared" si="197"/>
        <v>335.67633800000135</v>
      </c>
      <c r="BF79" s="417">
        <f t="shared" si="197"/>
        <v>1314.735450999998</v>
      </c>
      <c r="BG79" s="417">
        <f t="shared" si="197"/>
        <v>2577.1838799999987</v>
      </c>
      <c r="BH79" s="417">
        <f t="shared" si="197"/>
        <v>1115.3966780000048</v>
      </c>
      <c r="BI79" s="417">
        <f t="shared" si="197"/>
        <v>1729.6299240000017</v>
      </c>
      <c r="BJ79" s="417">
        <f t="shared" si="197"/>
        <v>2781.4244430000026</v>
      </c>
      <c r="BK79" s="417">
        <f t="shared" si="197"/>
        <v>876.5141340000057</v>
      </c>
      <c r="BL79" s="417">
        <f t="shared" si="197"/>
        <v>3582.383265999993</v>
      </c>
      <c r="BM79" s="417">
        <f t="shared" si="197"/>
        <v>1676.3193030000029</v>
      </c>
      <c r="BN79" s="417">
        <f t="shared" si="197"/>
        <v>2455.5585650000066</v>
      </c>
      <c r="BO79" s="417">
        <f t="shared" si="197"/>
        <v>-2881.0882219999939</v>
      </c>
      <c r="BP79" s="1024">
        <f t="shared" si="197"/>
        <v>-80.214305000009517</v>
      </c>
      <c r="BQ79" s="1100">
        <f t="shared" si="197"/>
        <v>20834.963287999999</v>
      </c>
      <c r="BR79" s="1029">
        <f t="shared" ref="BR79:DC79" si="198">BR52+BR35</f>
        <v>1733.9286950000137</v>
      </c>
      <c r="BS79" s="417">
        <f t="shared" si="198"/>
        <v>1755.753397000005</v>
      </c>
      <c r="BT79" s="417">
        <f t="shared" si="198"/>
        <v>4681.9934460000004</v>
      </c>
      <c r="BU79" s="417">
        <f t="shared" si="198"/>
        <v>2805.8952009999989</v>
      </c>
      <c r="BV79" s="417">
        <f t="shared" si="198"/>
        <v>1638.6001979999974</v>
      </c>
      <c r="BW79" s="417">
        <f t="shared" si="198"/>
        <v>1530.4337890000002</v>
      </c>
      <c r="BX79" s="417">
        <f t="shared" si="198"/>
        <v>2180.0185929999993</v>
      </c>
      <c r="BY79" s="417">
        <f t="shared" si="198"/>
        <v>429.3345759999998</v>
      </c>
      <c r="BZ79" s="417">
        <f t="shared" si="198"/>
        <v>3302.0630290000049</v>
      </c>
      <c r="CA79" s="417">
        <f t="shared" si="198"/>
        <v>-95.583911000015107</v>
      </c>
      <c r="CB79" s="417">
        <f t="shared" si="198"/>
        <v>269.67995099999791</v>
      </c>
      <c r="CC79" s="1334">
        <f t="shared" si="198"/>
        <v>602.84632399999623</v>
      </c>
      <c r="CD79" s="1100">
        <f t="shared" si="198"/>
        <v>22729.576594999988</v>
      </c>
      <c r="CE79" s="1029">
        <f t="shared" si="198"/>
        <v>-332.35150899999917</v>
      </c>
      <c r="CF79" s="1708">
        <f t="shared" si="198"/>
        <v>4729.6359519999978</v>
      </c>
      <c r="CG79" s="1708">
        <f t="shared" si="198"/>
        <v>3475.8870039999993</v>
      </c>
      <c r="CH79" s="1708">
        <f t="shared" si="198"/>
        <v>2533.5778209999989</v>
      </c>
      <c r="CI79" s="1708">
        <f t="shared" si="198"/>
        <v>3485.9576560000032</v>
      </c>
      <c r="CJ79" s="1708">
        <f t="shared" si="198"/>
        <v>3951.2220159999988</v>
      </c>
      <c r="CK79" s="1708">
        <f t="shared" si="198"/>
        <v>4207.3379680000016</v>
      </c>
      <c r="CL79" s="1708">
        <f t="shared" si="198"/>
        <v>386.49533999999585</v>
      </c>
      <c r="CM79" s="1708">
        <f t="shared" si="198"/>
        <v>3521.9378289999931</v>
      </c>
      <c r="CN79" s="1708">
        <f t="shared" si="198"/>
        <v>-1767.0669010000031</v>
      </c>
      <c r="CO79" s="1708">
        <f t="shared" si="198"/>
        <v>-761.24957399998789</v>
      </c>
      <c r="CP79" s="1334">
        <f t="shared" si="198"/>
        <v>-701.80700700001194</v>
      </c>
      <c r="CQ79" s="1100">
        <f t="shared" si="198"/>
        <v>23186.708892690782</v>
      </c>
      <c r="CR79" s="1029">
        <f t="shared" si="198"/>
        <v>2138.5211993866969</v>
      </c>
      <c r="CS79" s="1708">
        <f t="shared" si="198"/>
        <v>1774.6561786860755</v>
      </c>
      <c r="CT79" s="1708">
        <f t="shared" si="198"/>
        <v>5288.8844885649742</v>
      </c>
      <c r="CU79" s="1708">
        <f t="shared" si="198"/>
        <v>2374.3836878259017</v>
      </c>
      <c r="CV79" s="1708">
        <f t="shared" si="198"/>
        <v>2319.0619816319768</v>
      </c>
      <c r="CW79" s="1708">
        <f t="shared" si="198"/>
        <v>2943.3029229438835</v>
      </c>
      <c r="CX79" s="1708">
        <f t="shared" si="198"/>
        <v>4238.123342853235</v>
      </c>
      <c r="CY79" s="1708">
        <f t="shared" si="198"/>
        <v>1707.840761896389</v>
      </c>
      <c r="CZ79" s="1708">
        <f t="shared" si="198"/>
        <v>1731.8667003288635</v>
      </c>
      <c r="DA79" s="1708">
        <f t="shared" si="198"/>
        <v>1591.4084700118317</v>
      </c>
      <c r="DB79" s="1708">
        <f t="shared" si="198"/>
        <v>-521.78482025689777</v>
      </c>
      <c r="DC79" s="1334">
        <f t="shared" si="198"/>
        <v>-2399.5560211821621</v>
      </c>
      <c r="DD79" s="2766"/>
      <c r="DE79" s="2587"/>
      <c r="DF79" s="2587"/>
      <c r="DG79" s="2972"/>
      <c r="DH79" s="2210"/>
      <c r="DI79" s="2210"/>
      <c r="DJ79" s="2210"/>
      <c r="DK79" s="1884"/>
    </row>
    <row r="80" spans="1:121" s="1022" customFormat="1">
      <c r="A80" s="1328"/>
      <c r="B80" s="3274" t="s">
        <v>489</v>
      </c>
      <c r="C80" s="3274"/>
      <c r="D80" s="3274"/>
      <c r="E80" s="1021"/>
      <c r="F80" s="1021"/>
      <c r="G80" s="1021"/>
      <c r="H80" s="1021"/>
      <c r="I80" s="1021"/>
      <c r="J80" s="1021"/>
      <c r="K80" s="1021"/>
      <c r="L80" s="1021"/>
      <c r="M80" s="1021"/>
      <c r="N80" s="1021"/>
      <c r="O80" s="1021"/>
      <c r="P80" s="1021"/>
      <c r="Q80" s="1023">
        <f>Q79/Q12</f>
        <v>1.4258566427541424E-2</v>
      </c>
      <c r="R80" s="1021"/>
      <c r="S80" s="1021"/>
      <c r="T80" s="1021"/>
      <c r="U80" s="1021"/>
      <c r="V80" s="1021"/>
      <c r="W80" s="1021"/>
      <c r="X80" s="1021"/>
      <c r="Y80" s="1021"/>
      <c r="Z80" s="1021"/>
      <c r="AA80" s="1021"/>
      <c r="AB80" s="1021"/>
      <c r="AC80" s="1021"/>
      <c r="AD80" s="1023">
        <f>AD79/AD12</f>
        <v>1.5391912146044327E-2</v>
      </c>
      <c r="AE80" s="1021"/>
      <c r="AF80" s="1021"/>
      <c r="AG80" s="1021"/>
      <c r="AH80" s="1021"/>
      <c r="AI80" s="1021"/>
      <c r="AJ80" s="1021"/>
      <c r="AK80" s="1021"/>
      <c r="AL80" s="1021"/>
      <c r="AM80" s="1021"/>
      <c r="AN80" s="1021"/>
      <c r="AO80" s="1021"/>
      <c r="AP80" s="1021"/>
      <c r="AQ80" s="1023">
        <f>AQ79/AQ12</f>
        <v>1.8842851882895785E-2</v>
      </c>
      <c r="AR80" s="1331"/>
      <c r="AS80" s="1331"/>
      <c r="AT80" s="1331"/>
      <c r="AU80" s="1331"/>
      <c r="AV80" s="1331"/>
      <c r="AW80" s="1331"/>
      <c r="AX80" s="1331"/>
      <c r="AY80" s="1331"/>
      <c r="AZ80" s="1331"/>
      <c r="BA80" s="1331"/>
      <c r="BB80" s="1331"/>
      <c r="BC80" s="1331"/>
      <c r="BD80" s="1023">
        <f>BD79/BD12</f>
        <v>2.227413565704657E-2</v>
      </c>
      <c r="BE80" s="1021"/>
      <c r="BF80" s="1021"/>
      <c r="BG80" s="1021"/>
      <c r="BH80" s="1021"/>
      <c r="BI80" s="1021"/>
      <c r="BJ80" s="1021"/>
      <c r="BK80" s="1021"/>
      <c r="BL80" s="1021"/>
      <c r="BM80" s="1021"/>
      <c r="BN80" s="1021"/>
      <c r="BO80" s="1021"/>
      <c r="BP80" s="1021"/>
      <c r="BQ80" s="1023">
        <f>BQ79/BQ12</f>
        <v>2.5807959008815783E-2</v>
      </c>
      <c r="BR80" s="1021"/>
      <c r="BS80" s="1021"/>
      <c r="BT80" s="1021"/>
      <c r="BU80" s="1021"/>
      <c r="BV80" s="1021"/>
      <c r="BW80" s="1021"/>
      <c r="BX80" s="1021"/>
      <c r="BY80" s="1021"/>
      <c r="BZ80" s="1021"/>
      <c r="CA80" s="1021"/>
      <c r="CB80" s="1021"/>
      <c r="CC80" s="1374"/>
      <c r="CD80" s="1023">
        <f>CD79/CD12</f>
        <v>3.0167010909870243E-2</v>
      </c>
      <c r="CE80" s="1021"/>
      <c r="CF80" s="1021"/>
      <c r="CG80" s="1021"/>
      <c r="CH80" s="1021"/>
      <c r="CI80" s="1021"/>
      <c r="CJ80" s="1021"/>
      <c r="CK80" s="1021"/>
      <c r="CL80" s="1021"/>
      <c r="CM80" s="1021"/>
      <c r="CN80" s="1021"/>
      <c r="CO80" s="1021"/>
      <c r="CP80" s="1374"/>
      <c r="CQ80" s="1023">
        <f>CQ79/CQ88</f>
        <v>3.0649722605770615E-2</v>
      </c>
      <c r="CR80" s="1021"/>
      <c r="CS80" s="1021"/>
      <c r="CT80" s="1021"/>
      <c r="CU80" s="1021"/>
      <c r="CV80" s="1021"/>
      <c r="CW80" s="1021"/>
      <c r="CX80" s="1021"/>
      <c r="CY80" s="1021"/>
      <c r="CZ80" s="1021"/>
      <c r="DA80" s="1021"/>
      <c r="DB80" s="1021"/>
      <c r="DC80" s="1374"/>
      <c r="DD80" s="2766"/>
      <c r="DE80" s="2587"/>
      <c r="DF80" s="2587"/>
      <c r="DG80" s="2974"/>
      <c r="DH80" s="2210"/>
      <c r="DI80" s="2210"/>
      <c r="DJ80" s="2210"/>
      <c r="DK80" s="1884"/>
      <c r="DL80" s="12"/>
      <c r="DM80" s="12"/>
      <c r="DN80" s="2602"/>
      <c r="DO80" s="2602"/>
      <c r="DP80" s="2602"/>
      <c r="DQ80" s="2602"/>
    </row>
    <row r="81" spans="1:121">
      <c r="B81" s="3260" t="s">
        <v>294</v>
      </c>
      <c r="C81" s="3260"/>
      <c r="D81" s="32"/>
      <c r="E81" s="417"/>
      <c r="F81" s="417"/>
      <c r="G81" s="417"/>
      <c r="H81" s="417"/>
      <c r="I81" s="417"/>
      <c r="J81" s="417"/>
      <c r="K81" s="417"/>
      <c r="L81" s="417"/>
      <c r="M81" s="417"/>
      <c r="N81" s="417"/>
      <c r="O81" s="417"/>
      <c r="P81" s="417"/>
      <c r="Q81" s="1031">
        <f>AC81</f>
        <v>33954.165814</v>
      </c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>
        <v>33954.165814</v>
      </c>
      <c r="AD81" s="1031">
        <v>38326.763967999999</v>
      </c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1031">
        <v>38326.763967999999</v>
      </c>
      <c r="AQ81" s="1031">
        <v>50974</v>
      </c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>
        <v>50974</v>
      </c>
      <c r="BD81" s="1031">
        <f>BP81</f>
        <v>49401.235656999997</v>
      </c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>
        <v>49401.235656999997</v>
      </c>
      <c r="BQ81" s="1031">
        <f>CC81</f>
        <v>68012.962419999996</v>
      </c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1334">
        <v>68012.962419999996</v>
      </c>
      <c r="CD81" s="1031">
        <f>CP81</f>
        <v>80324.875214999993</v>
      </c>
      <c r="CE81" s="1708"/>
      <c r="CF81" s="1708"/>
      <c r="CG81" s="1708"/>
      <c r="CH81" s="1708"/>
      <c r="CI81" s="1708"/>
      <c r="CJ81" s="1708"/>
      <c r="CK81" s="1708"/>
      <c r="CL81" s="1708"/>
      <c r="CM81" s="1708"/>
      <c r="CN81" s="1708"/>
      <c r="CO81" s="1708"/>
      <c r="CP81" s="1334">
        <v>80324.875214999993</v>
      </c>
      <c r="CQ81" s="2173"/>
      <c r="CR81" s="2173"/>
      <c r="CS81" s="2173"/>
      <c r="CT81" s="2173"/>
      <c r="CU81" s="2173"/>
      <c r="CV81" s="2173"/>
      <c r="CW81" s="2173"/>
      <c r="CX81" s="2173"/>
      <c r="CY81" s="2173"/>
      <c r="CZ81" s="2173"/>
      <c r="DA81" s="2173"/>
      <c r="DB81" s="2173"/>
      <c r="DC81" s="2173"/>
      <c r="DD81" s="2766"/>
      <c r="DE81" s="2587"/>
      <c r="DF81" s="2587"/>
      <c r="DG81" s="2972"/>
      <c r="DH81" s="2210"/>
      <c r="DI81" s="2210"/>
      <c r="DJ81" s="2210"/>
      <c r="DK81" s="1884"/>
    </row>
    <row r="82" spans="1:121" s="1022" customFormat="1">
      <c r="A82" s="1328"/>
      <c r="B82" s="3261" t="s">
        <v>581</v>
      </c>
      <c r="C82" s="3261"/>
      <c r="D82" s="3261"/>
      <c r="E82" s="1375"/>
      <c r="F82" s="1375"/>
      <c r="G82" s="1375"/>
      <c r="H82" s="1375"/>
      <c r="I82" s="1375"/>
      <c r="J82" s="1375"/>
      <c r="K82" s="1375"/>
      <c r="L82" s="1375"/>
      <c r="M82" s="1375"/>
      <c r="N82" s="1375"/>
      <c r="O82" s="1375"/>
      <c r="P82" s="1375"/>
      <c r="Q82" s="1375">
        <f>1-Q81/237000</f>
        <v>0.85673347757805907</v>
      </c>
      <c r="R82" s="1375"/>
      <c r="S82" s="1375"/>
      <c r="T82" s="1375"/>
      <c r="U82" s="1375"/>
      <c r="V82" s="1375"/>
      <c r="W82" s="1375"/>
      <c r="X82" s="1375"/>
      <c r="Y82" s="1375"/>
      <c r="Z82" s="1375"/>
      <c r="AA82" s="1375"/>
      <c r="AB82" s="1375"/>
      <c r="AC82" s="1375">
        <f t="shared" ref="AC82" si="199">1-AC81/237000</f>
        <v>0.85673347757805907</v>
      </c>
      <c r="AD82" s="1375">
        <f>1-AD81/237000</f>
        <v>0.83828369633755273</v>
      </c>
      <c r="AE82" s="1375"/>
      <c r="AF82" s="1375"/>
      <c r="AG82" s="1375"/>
      <c r="AH82" s="1375"/>
      <c r="AI82" s="1375"/>
      <c r="AJ82" s="1375"/>
      <c r="AK82" s="1375"/>
      <c r="AL82" s="1375"/>
      <c r="AM82" s="1375"/>
      <c r="AN82" s="1375"/>
      <c r="AO82" s="1375"/>
      <c r="AP82" s="1375">
        <f t="shared" ref="AP82" si="200">1-AP81/237000</f>
        <v>0.83828369633755273</v>
      </c>
      <c r="AQ82" s="1375">
        <f>1-AQ81/237000</f>
        <v>0.78491983122362874</v>
      </c>
      <c r="AR82" s="1375"/>
      <c r="AS82" s="1375"/>
      <c r="AT82" s="1375"/>
      <c r="AU82" s="1375"/>
      <c r="AV82" s="1375"/>
      <c r="AW82" s="1375"/>
      <c r="AX82" s="1375"/>
      <c r="AY82" s="1375"/>
      <c r="AZ82" s="1375"/>
      <c r="BA82" s="1375"/>
      <c r="BB82" s="1375"/>
      <c r="BC82" s="1375">
        <f t="shared" ref="BC82" si="201">1-BC81/237000</f>
        <v>0.78491983122362874</v>
      </c>
      <c r="BD82" s="1375">
        <f>1-BD81/237000</f>
        <v>0.79155596769198311</v>
      </c>
      <c r="BE82" s="1375"/>
      <c r="BF82" s="1375"/>
      <c r="BG82" s="1375"/>
      <c r="BH82" s="1375"/>
      <c r="BI82" s="1375"/>
      <c r="BJ82" s="1375"/>
      <c r="BK82" s="1375"/>
      <c r="BL82" s="1375"/>
      <c r="BM82" s="1375"/>
      <c r="BN82" s="1375"/>
      <c r="BO82" s="1375"/>
      <c r="BP82" s="1375">
        <f t="shared" ref="BP82" si="202">1-BP81/237000</f>
        <v>0.79155596769198311</v>
      </c>
      <c r="BQ82" s="1375">
        <f>1-BQ81/237150</f>
        <v>0.71320698958465112</v>
      </c>
      <c r="BR82" s="2173"/>
      <c r="BS82" s="2173"/>
      <c r="BT82" s="2173"/>
      <c r="BU82" s="2173"/>
      <c r="BV82" s="2173"/>
      <c r="BW82" s="2173"/>
      <c r="BX82" s="2173"/>
      <c r="BY82" s="2173"/>
      <c r="BZ82" s="2173"/>
      <c r="CA82" s="2173"/>
      <c r="CB82" s="2173"/>
      <c r="CC82" s="1935">
        <f>1-CC81/237150</f>
        <v>0.71320698958465112</v>
      </c>
      <c r="CD82" s="2173">
        <f>1-CD81/237150</f>
        <v>0.66129084876660338</v>
      </c>
      <c r="CE82" s="2173">
        <f>1-CE81/237150</f>
        <v>1</v>
      </c>
      <c r="CF82" s="2173">
        <f t="shared" ref="CF82:CP82" si="203">1-CF81/237150</f>
        <v>1</v>
      </c>
      <c r="CG82" s="2173">
        <f t="shared" si="203"/>
        <v>1</v>
      </c>
      <c r="CH82" s="2173">
        <f t="shared" si="203"/>
        <v>1</v>
      </c>
      <c r="CI82" s="2173">
        <f t="shared" si="203"/>
        <v>1</v>
      </c>
      <c r="CJ82" s="2173">
        <f t="shared" si="203"/>
        <v>1</v>
      </c>
      <c r="CK82" s="2173">
        <f t="shared" si="203"/>
        <v>1</v>
      </c>
      <c r="CL82" s="2173">
        <f t="shared" si="203"/>
        <v>1</v>
      </c>
      <c r="CM82" s="2173">
        <f t="shared" si="203"/>
        <v>1</v>
      </c>
      <c r="CN82" s="2173">
        <f t="shared" si="203"/>
        <v>1</v>
      </c>
      <c r="CO82" s="2173">
        <f t="shared" si="203"/>
        <v>1</v>
      </c>
      <c r="CP82" s="2173">
        <f t="shared" si="203"/>
        <v>0.66129084876660338</v>
      </c>
      <c r="CQ82" s="2173"/>
      <c r="CR82" s="2173"/>
      <c r="CS82" s="2173"/>
      <c r="CT82" s="2173"/>
      <c r="CU82" s="2173"/>
      <c r="CV82" s="2173"/>
      <c r="CW82" s="2173"/>
      <c r="CX82" s="2173"/>
      <c r="CY82" s="2173"/>
      <c r="CZ82" s="2173"/>
      <c r="DA82" s="2173"/>
      <c r="DB82" s="2173"/>
      <c r="DC82" s="2173"/>
      <c r="DD82" s="2173"/>
      <c r="DE82" s="2173"/>
      <c r="DF82" s="2173"/>
      <c r="DG82" s="2970"/>
      <c r="DH82" s="2210"/>
      <c r="DI82" s="2210"/>
      <c r="DJ82" s="2210"/>
      <c r="DK82" s="1884"/>
      <c r="DL82" s="12"/>
      <c r="DM82" s="12"/>
      <c r="DN82" s="2602"/>
      <c r="DO82" s="2602"/>
      <c r="DP82" s="2602"/>
      <c r="DQ82" s="2602"/>
    </row>
    <row r="83" spans="1:121">
      <c r="B83" s="3271"/>
      <c r="C83" s="3271"/>
      <c r="D83" s="3271"/>
      <c r="E83" s="1377"/>
      <c r="F83" s="1377"/>
      <c r="G83" s="1377"/>
      <c r="H83" s="1377"/>
      <c r="I83" s="1377"/>
      <c r="J83" s="1377"/>
      <c r="K83" s="1377"/>
      <c r="L83" s="1377"/>
      <c r="M83" s="1377"/>
      <c r="N83" s="1377"/>
      <c r="O83" s="1377"/>
      <c r="P83" s="1377"/>
      <c r="Q83" s="1375"/>
      <c r="R83" s="1378"/>
      <c r="S83" s="1377"/>
      <c r="T83" s="1377"/>
      <c r="U83" s="1377"/>
      <c r="V83" s="1377"/>
      <c r="W83" s="1377"/>
      <c r="X83" s="1377"/>
      <c r="Y83" s="1377"/>
      <c r="Z83" s="1377"/>
      <c r="AA83" s="1377"/>
      <c r="AB83" s="1377"/>
      <c r="AC83" s="1377"/>
      <c r="AD83" s="1375"/>
      <c r="AE83" s="1377"/>
      <c r="AF83" s="1377"/>
      <c r="AG83" s="1377"/>
      <c r="AH83" s="1377"/>
      <c r="AI83" s="1377"/>
      <c r="AJ83" s="1377"/>
      <c r="AK83" s="1377"/>
      <c r="AL83" s="1377"/>
      <c r="AM83" s="1377"/>
      <c r="AN83" s="1377"/>
      <c r="AO83" s="1377"/>
      <c r="AP83" s="1377"/>
      <c r="AQ83" s="1375"/>
      <c r="AR83" s="1377"/>
      <c r="AS83" s="1377"/>
      <c r="AT83" s="1377"/>
      <c r="AU83" s="1377"/>
      <c r="AV83" s="1377"/>
      <c r="AW83" s="1377"/>
      <c r="AX83" s="1377"/>
      <c r="AY83" s="1377"/>
      <c r="AZ83" s="1377"/>
      <c r="BA83" s="1377"/>
      <c r="BB83" s="1377"/>
      <c r="BC83" s="1377"/>
      <c r="BD83" s="1375"/>
      <c r="BE83" s="1377"/>
      <c r="BF83" s="1377"/>
      <c r="BG83" s="1377"/>
      <c r="BH83" s="1377"/>
      <c r="BI83" s="1377"/>
      <c r="BJ83" s="1377"/>
      <c r="BK83" s="1377"/>
      <c r="BL83" s="1377"/>
      <c r="BM83" s="1377"/>
      <c r="BN83" s="1377"/>
      <c r="BO83" s="1377"/>
      <c r="BP83" s="1377"/>
      <c r="BQ83" s="1375"/>
      <c r="BR83" s="1377"/>
      <c r="BS83" s="1377"/>
      <c r="BT83" s="1377"/>
      <c r="BU83" s="1377"/>
      <c r="BV83" s="1377"/>
      <c r="BW83" s="1377"/>
      <c r="BX83" s="1377"/>
      <c r="BY83" s="1377"/>
      <c r="BZ83" s="1377"/>
      <c r="CA83" s="1377"/>
      <c r="CB83" s="1377"/>
      <c r="CC83" s="1379"/>
      <c r="CD83" s="1375"/>
      <c r="CE83" s="1377"/>
      <c r="CF83" s="1377"/>
      <c r="CG83" s="1377"/>
      <c r="CH83" s="1377"/>
      <c r="CI83" s="1377"/>
      <c r="CJ83" s="1377"/>
      <c r="CK83" s="1377"/>
      <c r="CL83" s="1377"/>
      <c r="CM83" s="1377"/>
      <c r="CN83" s="1377"/>
      <c r="CO83" s="1377"/>
      <c r="CP83" s="1377"/>
      <c r="CQ83" s="1375"/>
      <c r="CR83" s="1377"/>
      <c r="CS83" s="1377"/>
      <c r="CT83" s="1377"/>
      <c r="CU83" s="1377"/>
      <c r="CV83" s="1377"/>
      <c r="CW83" s="1377"/>
      <c r="CX83" s="1377"/>
      <c r="CY83" s="1377"/>
      <c r="CZ83" s="1377"/>
      <c r="DA83" s="1377"/>
      <c r="DB83" s="1377"/>
      <c r="DC83" s="1377"/>
      <c r="DD83" s="478"/>
      <c r="DE83" s="478"/>
      <c r="DF83" s="478"/>
      <c r="DG83" s="2594"/>
      <c r="DH83" s="2210"/>
      <c r="DI83" s="2210"/>
      <c r="DJ83" s="2210"/>
      <c r="DK83" s="1884"/>
    </row>
    <row r="84" spans="1:121" outlineLevel="1">
      <c r="B84" s="2965"/>
      <c r="C84" s="2965"/>
      <c r="D84" s="2965"/>
      <c r="E84" s="2966"/>
      <c r="F84" s="2966"/>
      <c r="G84" s="2966"/>
      <c r="H84" s="2966"/>
      <c r="I84" s="2966"/>
      <c r="J84" s="2966"/>
      <c r="K84" s="2966"/>
      <c r="L84" s="2966"/>
      <c r="M84" s="2966"/>
      <c r="N84" s="2966"/>
      <c r="O84" s="2966"/>
      <c r="P84" s="2966"/>
      <c r="Q84" s="1645"/>
      <c r="R84" s="1645"/>
      <c r="S84" s="2966"/>
      <c r="T84" s="2966"/>
      <c r="U84" s="2966"/>
      <c r="V84" s="2966"/>
      <c r="W84" s="2966"/>
      <c r="X84" s="2966"/>
      <c r="Y84" s="2966"/>
      <c r="Z84" s="2966"/>
      <c r="AA84" s="2966"/>
      <c r="AB84" s="2966"/>
      <c r="AC84" s="2966"/>
      <c r="AD84" s="1645"/>
      <c r="AE84" s="2966"/>
      <c r="AF84" s="2966"/>
      <c r="AG84" s="2966"/>
      <c r="AH84" s="2966"/>
      <c r="AI84" s="2966"/>
      <c r="AJ84" s="2966"/>
      <c r="AK84" s="2966"/>
      <c r="AL84" s="2966"/>
      <c r="AM84" s="2966"/>
      <c r="AN84" s="2966"/>
      <c r="AO84" s="2966"/>
      <c r="AP84" s="2966"/>
      <c r="AQ84" s="1645"/>
      <c r="AR84" s="2966"/>
      <c r="AS84" s="2966"/>
      <c r="AT84" s="2966"/>
      <c r="AU84" s="2966"/>
      <c r="AV84" s="2966"/>
      <c r="AW84" s="2966"/>
      <c r="AX84" s="2966"/>
      <c r="AY84" s="2966"/>
      <c r="AZ84" s="2966"/>
      <c r="BA84" s="2966"/>
      <c r="BB84" s="2966"/>
      <c r="BC84" s="2966"/>
      <c r="BD84" s="2964">
        <f>BD76/BD75</f>
        <v>0.39023757423961869</v>
      </c>
      <c r="BE84" s="2966"/>
      <c r="BF84" s="2966"/>
      <c r="BG84" s="2966"/>
      <c r="BH84" s="2966"/>
      <c r="BI84" s="2966"/>
      <c r="BJ84" s="2966"/>
      <c r="BK84" s="2966"/>
      <c r="BL84" s="2966"/>
      <c r="BM84" s="2966"/>
      <c r="BN84" s="2966"/>
      <c r="BO84" s="2966"/>
      <c r="BP84" s="2966"/>
      <c r="BQ84" s="2964">
        <f t="shared" ref="BQ84:DB84" si="204">BQ94/BQ89</f>
        <v>1.0824507469642606</v>
      </c>
      <c r="BR84" s="2964">
        <f t="shared" si="204"/>
        <v>1.062142235178704</v>
      </c>
      <c r="BS84" s="2964">
        <f t="shared" si="204"/>
        <v>1.0283758816663551</v>
      </c>
      <c r="BT84" s="2964">
        <f t="shared" si="204"/>
        <v>1.0498522778225032</v>
      </c>
      <c r="BU84" s="2964">
        <f t="shared" si="204"/>
        <v>1.1568233746639509</v>
      </c>
      <c r="BV84" s="2964">
        <f t="shared" si="204"/>
        <v>1.1460779963687524</v>
      </c>
      <c r="BW84" s="2964">
        <f t="shared" si="204"/>
        <v>1.07717282593717</v>
      </c>
      <c r="BX84" s="2964">
        <f t="shared" si="204"/>
        <v>1.1514251466535772</v>
      </c>
      <c r="BY84" s="2964">
        <f t="shared" si="204"/>
        <v>1.1181219376301661</v>
      </c>
      <c r="BZ84" s="2964">
        <f t="shared" si="204"/>
        <v>1.0759638517684182</v>
      </c>
      <c r="CA84" s="2964">
        <f t="shared" si="204"/>
        <v>1.0160877212996009</v>
      </c>
      <c r="CB84" s="2964">
        <f t="shared" si="204"/>
        <v>1.111370502126638</v>
      </c>
      <c r="CC84" s="2964">
        <f t="shared" si="204"/>
        <v>1.1405451238106357</v>
      </c>
      <c r="CD84" s="2964">
        <f t="shared" si="204"/>
        <v>1.1013792809220104</v>
      </c>
      <c r="CE84" s="2964">
        <f t="shared" si="204"/>
        <v>1.0401193746535329</v>
      </c>
      <c r="CF84" s="2964">
        <f t="shared" si="204"/>
        <v>1.1006537709628748</v>
      </c>
      <c r="CG84" s="2964">
        <f t="shared" si="204"/>
        <v>1.0683303745268864</v>
      </c>
      <c r="CH84" s="2964">
        <f t="shared" si="204"/>
        <v>1.0892202896874885</v>
      </c>
      <c r="CI84" s="2964">
        <f t="shared" si="204"/>
        <v>1.1088312771936573</v>
      </c>
      <c r="CJ84" s="2964">
        <f t="shared" si="204"/>
        <v>1.0526804881428806</v>
      </c>
      <c r="CK84" s="2964">
        <f t="shared" si="204"/>
        <v>1.1723166710321413</v>
      </c>
      <c r="CL84" s="2964">
        <f t="shared" si="204"/>
        <v>1.2120697910388845</v>
      </c>
      <c r="CM84" s="2964">
        <f t="shared" si="204"/>
        <v>1.0426533609736461</v>
      </c>
      <c r="CN84" s="2964">
        <f t="shared" si="204"/>
        <v>1.1169648254976163</v>
      </c>
      <c r="CO84" s="2964">
        <f t="shared" si="204"/>
        <v>1.128163197529412</v>
      </c>
      <c r="CP84" s="2964">
        <f t="shared" si="204"/>
        <v>1.1369583619864423</v>
      </c>
      <c r="CQ84" s="2964">
        <f t="shared" si="204"/>
        <v>1.0739903936926505</v>
      </c>
      <c r="CR84" s="2964">
        <f t="shared" si="204"/>
        <v>1.0659598265021037</v>
      </c>
      <c r="CS84" s="2964">
        <f t="shared" si="204"/>
        <v>1.1127836562937417</v>
      </c>
      <c r="CT84" s="2964">
        <f t="shared" si="204"/>
        <v>1.0659447248279663</v>
      </c>
      <c r="CU84" s="2964">
        <f t="shared" si="204"/>
        <v>1.0656034371204088</v>
      </c>
      <c r="CV84" s="2964">
        <f t="shared" si="204"/>
        <v>1.0797348533424695</v>
      </c>
      <c r="CW84" s="2964">
        <f t="shared" si="204"/>
        <v>1.0559092986204952</v>
      </c>
      <c r="CX84" s="2964">
        <f t="shared" si="204"/>
        <v>1.1044400871444116</v>
      </c>
      <c r="CY84" s="2964">
        <f t="shared" si="204"/>
        <v>1.083452908019213</v>
      </c>
      <c r="CZ84" s="2964">
        <f t="shared" si="204"/>
        <v>1.0532414797753813</v>
      </c>
      <c r="DA84" s="2964">
        <f t="shared" si="204"/>
        <v>1.0776904992665506</v>
      </c>
      <c r="DB84" s="2964">
        <f t="shared" si="204"/>
        <v>1.0945135718481478</v>
      </c>
      <c r="DC84" s="2964">
        <f>DC94/DC89</f>
        <v>1.0425554742881418</v>
      </c>
      <c r="DD84" s="1634"/>
      <c r="DE84" s="1634"/>
      <c r="DF84" s="1634"/>
      <c r="DG84" s="2964"/>
      <c r="DH84" s="2210"/>
      <c r="DI84" s="2210"/>
      <c r="DJ84" s="2210"/>
      <c r="DK84" s="1884"/>
    </row>
    <row r="85" spans="1:121" ht="21">
      <c r="B85" s="1380" t="s">
        <v>488</v>
      </c>
      <c r="C85" s="423"/>
      <c r="D85" s="423"/>
      <c r="E85" s="1377"/>
      <c r="F85" s="1377"/>
      <c r="G85" s="478"/>
      <c r="H85" s="478"/>
      <c r="I85" s="1377"/>
      <c r="J85" s="1377"/>
      <c r="K85" s="1377"/>
      <c r="L85" s="1377"/>
      <c r="M85" s="1377"/>
      <c r="N85" s="1377"/>
      <c r="O85" s="1377"/>
      <c r="P85" s="1381"/>
      <c r="Q85" s="1645">
        <f>Q94/Q89</f>
        <v>1.0013412713231287</v>
      </c>
      <c r="R85" s="1645">
        <f t="shared" ref="R85:BC85" si="205">R94/R89</f>
        <v>1.0139378078240939</v>
      </c>
      <c r="S85" s="1645">
        <f t="shared" si="205"/>
        <v>1.010083168869669</v>
      </c>
      <c r="T85" s="1645">
        <f t="shared" si="205"/>
        <v>1.0024182575178813</v>
      </c>
      <c r="U85" s="1645">
        <f t="shared" si="205"/>
        <v>0.98276568379114171</v>
      </c>
      <c r="V85" s="1645">
        <f t="shared" si="205"/>
        <v>0.9992522830224887</v>
      </c>
      <c r="W85" s="1645">
        <f t="shared" si="205"/>
        <v>0.98105209328481946</v>
      </c>
      <c r="X85" s="1645">
        <f t="shared" si="205"/>
        <v>0.99707443474964474</v>
      </c>
      <c r="Y85" s="1645">
        <f t="shared" si="205"/>
        <v>0.99737865655862601</v>
      </c>
      <c r="Z85" s="1645">
        <f t="shared" si="205"/>
        <v>1.0108680242497949</v>
      </c>
      <c r="AA85" s="1645">
        <f t="shared" si="205"/>
        <v>0.99611230101885517</v>
      </c>
      <c r="AB85" s="1645">
        <f t="shared" si="205"/>
        <v>1.0163501107770978</v>
      </c>
      <c r="AC85" s="1645">
        <f t="shared" si="205"/>
        <v>0.9987765307826072</v>
      </c>
      <c r="AD85" s="1645">
        <f t="shared" si="205"/>
        <v>1.0367019604229626</v>
      </c>
      <c r="AE85" s="1645">
        <f t="shared" si="205"/>
        <v>1.007056463675345</v>
      </c>
      <c r="AF85" s="1645">
        <f t="shared" si="205"/>
        <v>1.0058238430554203</v>
      </c>
      <c r="AG85" s="1645">
        <f t="shared" si="205"/>
        <v>0.98299892548877243</v>
      </c>
      <c r="AH85" s="1645">
        <f t="shared" si="205"/>
        <v>1.0121682444855844</v>
      </c>
      <c r="AI85" s="1645">
        <f t="shared" si="205"/>
        <v>1.0318295772764032</v>
      </c>
      <c r="AJ85" s="1645">
        <f t="shared" si="205"/>
        <v>1.0526327238379709</v>
      </c>
      <c r="AK85" s="1645">
        <f t="shared" si="205"/>
        <v>1.0558782892407468</v>
      </c>
      <c r="AL85" s="1645">
        <f t="shared" si="205"/>
        <v>1.0714496858887881</v>
      </c>
      <c r="AM85" s="1645">
        <f t="shared" si="205"/>
        <v>1.0263855893847555</v>
      </c>
      <c r="AN85" s="1645">
        <f t="shared" si="205"/>
        <v>1.0404432655524372</v>
      </c>
      <c r="AO85" s="1645">
        <f t="shared" si="205"/>
        <v>1.0233324461258839</v>
      </c>
      <c r="AP85" s="1645">
        <f t="shared" si="205"/>
        <v>1.0850665365665004</v>
      </c>
      <c r="AQ85" s="1672"/>
      <c r="AR85" s="1645" t="e">
        <f t="shared" si="205"/>
        <v>#DIV/0!</v>
      </c>
      <c r="AS85" s="1645" t="e">
        <f t="shared" si="205"/>
        <v>#DIV/0!</v>
      </c>
      <c r="AT85" s="1645" t="e">
        <f t="shared" si="205"/>
        <v>#DIV/0!</v>
      </c>
      <c r="AU85" s="1645" t="e">
        <f t="shared" si="205"/>
        <v>#DIV/0!</v>
      </c>
      <c r="AV85" s="1645" t="e">
        <f t="shared" si="205"/>
        <v>#DIV/0!</v>
      </c>
      <c r="AW85" s="1645" t="e">
        <f t="shared" si="205"/>
        <v>#DIV/0!</v>
      </c>
      <c r="AX85" s="1645" t="e">
        <f t="shared" si="205"/>
        <v>#DIV/0!</v>
      </c>
      <c r="AY85" s="1645" t="e">
        <f t="shared" si="205"/>
        <v>#DIV/0!</v>
      </c>
      <c r="AZ85" s="1645" t="e">
        <f t="shared" si="205"/>
        <v>#DIV/0!</v>
      </c>
      <c r="BA85" s="1645" t="e">
        <f t="shared" si="205"/>
        <v>#DIV/0!</v>
      </c>
      <c r="BB85" s="1645" t="e">
        <f t="shared" si="205"/>
        <v>#DIV/0!</v>
      </c>
      <c r="BC85" s="1645" t="e">
        <f t="shared" si="205"/>
        <v>#DIV/0!</v>
      </c>
      <c r="BD85" s="2768"/>
      <c r="BE85" s="1645"/>
      <c r="BF85" s="1645"/>
      <c r="BG85" s="1645"/>
      <c r="BH85" s="1645"/>
      <c r="BI85" s="1645"/>
      <c r="BJ85" s="1645"/>
      <c r="BK85" s="1645"/>
      <c r="BL85" s="1645"/>
      <c r="BM85" s="1645"/>
      <c r="BN85" s="1645"/>
      <c r="BO85" s="1645"/>
      <c r="BP85" s="1645"/>
      <c r="BQ85" s="2768"/>
      <c r="BR85" s="1645"/>
      <c r="BS85" s="1645"/>
      <c r="BT85" s="1645"/>
      <c r="BU85" s="1645"/>
      <c r="BV85" s="1645"/>
      <c r="BW85" s="1645"/>
      <c r="BX85" s="1645"/>
      <c r="BY85" s="1645"/>
      <c r="BZ85" s="1378"/>
      <c r="CA85" s="1378"/>
      <c r="CB85" s="1378"/>
      <c r="CC85" s="1721"/>
      <c r="CD85" s="2768"/>
      <c r="CE85" s="1645"/>
      <c r="CF85" s="1645"/>
      <c r="CG85" s="1645"/>
      <c r="CH85" s="1645"/>
      <c r="CI85" s="1645"/>
      <c r="CJ85" s="1645"/>
      <c r="CK85" s="1645"/>
      <c r="CL85" s="1645"/>
      <c r="CM85" s="1378"/>
      <c r="CN85" s="1378"/>
      <c r="CO85" s="1378"/>
      <c r="CP85" s="1378"/>
      <c r="CQ85" s="2768"/>
      <c r="CR85" s="1645"/>
      <c r="CS85" s="1645"/>
      <c r="CT85" s="1645"/>
      <c r="CU85" s="1645"/>
      <c r="CV85" s="1645"/>
      <c r="CW85" s="1645"/>
      <c r="CX85" s="1645"/>
      <c r="CY85" s="1645"/>
      <c r="CZ85" s="1378"/>
      <c r="DA85" s="1378"/>
      <c r="DB85" s="1378"/>
      <c r="DC85" s="1378"/>
      <c r="DD85" s="2595"/>
      <c r="DE85" s="2595"/>
      <c r="DF85" s="2595"/>
      <c r="DG85" s="2970"/>
      <c r="DH85" s="2210"/>
      <c r="DI85" s="2210"/>
      <c r="DJ85" s="2210"/>
      <c r="DK85" s="1884"/>
      <c r="DP85" s="2718"/>
    </row>
    <row r="86" spans="1:121">
      <c r="B86" s="3262" t="s">
        <v>60</v>
      </c>
      <c r="C86" s="3263"/>
      <c r="D86" s="3264"/>
      <c r="E86" s="3259"/>
      <c r="F86" s="3259"/>
      <c r="G86" s="3259"/>
      <c r="H86" s="3259"/>
      <c r="I86" s="3259"/>
      <c r="J86" s="3259"/>
      <c r="K86" s="3259"/>
      <c r="L86" s="3259"/>
      <c r="M86" s="3259"/>
      <c r="N86" s="3259"/>
      <c r="O86" s="3259"/>
      <c r="P86" s="3259"/>
      <c r="Q86" s="3268" t="s">
        <v>363</v>
      </c>
      <c r="R86" s="3269"/>
      <c r="S86" s="3269"/>
      <c r="T86" s="3269"/>
      <c r="U86" s="3269"/>
      <c r="V86" s="3269"/>
      <c r="W86" s="3269"/>
      <c r="X86" s="3269"/>
      <c r="Y86" s="3269"/>
      <c r="Z86" s="3269"/>
      <c r="AA86" s="3269"/>
      <c r="AB86" s="3269"/>
      <c r="AC86" s="3270"/>
      <c r="AD86" s="3268" t="s">
        <v>386</v>
      </c>
      <c r="AE86" s="3269"/>
      <c r="AF86" s="3269"/>
      <c r="AG86" s="3269"/>
      <c r="AH86" s="3269"/>
      <c r="AI86" s="3269"/>
      <c r="AJ86" s="3269"/>
      <c r="AK86" s="3269"/>
      <c r="AL86" s="3269"/>
      <c r="AM86" s="3269"/>
      <c r="AN86" s="3269"/>
      <c r="AO86" s="3269"/>
      <c r="AP86" s="3273"/>
      <c r="AQ86" s="3255" t="s">
        <v>395</v>
      </c>
      <c r="AR86" s="3256"/>
      <c r="AS86" s="3256"/>
      <c r="AT86" s="3256"/>
      <c r="AU86" s="3256"/>
      <c r="AV86" s="3256"/>
      <c r="AW86" s="3256"/>
      <c r="AX86" s="3256"/>
      <c r="AY86" s="3256"/>
      <c r="AZ86" s="3256"/>
      <c r="BA86" s="3256"/>
      <c r="BB86" s="3256"/>
      <c r="BC86" s="3272"/>
      <c r="BD86" s="3255" t="s">
        <v>413</v>
      </c>
      <c r="BE86" s="3256"/>
      <c r="BF86" s="3256"/>
      <c r="BG86" s="3256"/>
      <c r="BH86" s="3256"/>
      <c r="BI86" s="3256"/>
      <c r="BJ86" s="3256"/>
      <c r="BK86" s="3256"/>
      <c r="BL86" s="3256"/>
      <c r="BM86" s="3256"/>
      <c r="BN86" s="3256"/>
      <c r="BO86" s="3256"/>
      <c r="BP86" s="3272"/>
      <c r="BQ86" s="3255" t="s">
        <v>468</v>
      </c>
      <c r="BR86" s="3256"/>
      <c r="BS86" s="3256"/>
      <c r="BT86" s="3256"/>
      <c r="BU86" s="3256"/>
      <c r="BV86" s="3256"/>
      <c r="BW86" s="3256"/>
      <c r="BX86" s="3256"/>
      <c r="BY86" s="3256"/>
      <c r="BZ86" s="3256"/>
      <c r="CA86" s="3256"/>
      <c r="CB86" s="3256"/>
      <c r="CC86" s="3257"/>
      <c r="CD86" s="3255" t="s">
        <v>849</v>
      </c>
      <c r="CE86" s="3256"/>
      <c r="CF86" s="3256"/>
      <c r="CG86" s="3256"/>
      <c r="CH86" s="3256"/>
      <c r="CI86" s="3256"/>
      <c r="CJ86" s="3256"/>
      <c r="CK86" s="3256"/>
      <c r="CL86" s="3256"/>
      <c r="CM86" s="3256"/>
      <c r="CN86" s="3256"/>
      <c r="CO86" s="3256"/>
      <c r="CP86" s="3257"/>
      <c r="CQ86" s="3255" t="s">
        <v>699</v>
      </c>
      <c r="CR86" s="3256"/>
      <c r="CS86" s="3256"/>
      <c r="CT86" s="3256"/>
      <c r="CU86" s="3256"/>
      <c r="CV86" s="3256"/>
      <c r="CW86" s="3256"/>
      <c r="CX86" s="3256"/>
      <c r="CY86" s="3256"/>
      <c r="CZ86" s="3256"/>
      <c r="DA86" s="3256"/>
      <c r="DB86" s="3256"/>
      <c r="DC86" s="3257"/>
      <c r="DD86" s="2594"/>
      <c r="DE86" s="2594"/>
      <c r="DF86" s="2594"/>
      <c r="DG86" s="2594"/>
      <c r="DH86" s="2210"/>
      <c r="DI86" s="2210"/>
      <c r="DJ86" s="2210"/>
      <c r="DK86" s="1884"/>
    </row>
    <row r="87" spans="1:121">
      <c r="B87" s="3265"/>
      <c r="C87" s="3266"/>
      <c r="D87" s="3267"/>
      <c r="E87" s="1018" t="s">
        <v>118</v>
      </c>
      <c r="F87" s="1019" t="s">
        <v>3</v>
      </c>
      <c r="G87" s="1019" t="s">
        <v>4</v>
      </c>
      <c r="H87" s="1019" t="s">
        <v>5</v>
      </c>
      <c r="I87" s="1019" t="s">
        <v>6</v>
      </c>
      <c r="J87" s="1019" t="s">
        <v>7</v>
      </c>
      <c r="K87" s="1019" t="s">
        <v>8</v>
      </c>
      <c r="L87" s="1019" t="s">
        <v>9</v>
      </c>
      <c r="M87" s="1019" t="s">
        <v>10</v>
      </c>
      <c r="N87" s="1019" t="s">
        <v>11</v>
      </c>
      <c r="O87" s="1019" t="s">
        <v>12</v>
      </c>
      <c r="P87" s="1020" t="s">
        <v>13</v>
      </c>
      <c r="Q87" s="1093" t="s">
        <v>1</v>
      </c>
      <c r="R87" s="1071" t="s">
        <v>2</v>
      </c>
      <c r="S87" s="1071" t="s">
        <v>3</v>
      </c>
      <c r="T87" s="1071" t="s">
        <v>4</v>
      </c>
      <c r="U87" s="1071" t="s">
        <v>5</v>
      </c>
      <c r="V87" s="1071" t="s">
        <v>6</v>
      </c>
      <c r="W87" s="1071" t="s">
        <v>7</v>
      </c>
      <c r="X87" s="1071" t="s">
        <v>8</v>
      </c>
      <c r="Y87" s="1071" t="s">
        <v>9</v>
      </c>
      <c r="Z87" s="1071" t="s">
        <v>10</v>
      </c>
      <c r="AA87" s="1071" t="s">
        <v>11</v>
      </c>
      <c r="AB87" s="1071" t="s">
        <v>12</v>
      </c>
      <c r="AC87" s="1070" t="s">
        <v>13</v>
      </c>
      <c r="AD87" s="1093" t="s">
        <v>1</v>
      </c>
      <c r="AE87" s="1071" t="s">
        <v>2</v>
      </c>
      <c r="AF87" s="1071" t="s">
        <v>3</v>
      </c>
      <c r="AG87" s="1071" t="s">
        <v>4</v>
      </c>
      <c r="AH87" s="1071" t="s">
        <v>5</v>
      </c>
      <c r="AI87" s="1071" t="s">
        <v>6</v>
      </c>
      <c r="AJ87" s="1071" t="s">
        <v>7</v>
      </c>
      <c r="AK87" s="1071" t="s">
        <v>8</v>
      </c>
      <c r="AL87" s="1071" t="s">
        <v>9</v>
      </c>
      <c r="AM87" s="1071" t="s">
        <v>10</v>
      </c>
      <c r="AN87" s="1071" t="s">
        <v>11</v>
      </c>
      <c r="AO87" s="1071" t="s">
        <v>12</v>
      </c>
      <c r="AP87" s="1072" t="s">
        <v>13</v>
      </c>
      <c r="AQ87" s="1094" t="s">
        <v>1</v>
      </c>
      <c r="AR87" s="1097" t="s">
        <v>2</v>
      </c>
      <c r="AS87" s="1097" t="s">
        <v>3</v>
      </c>
      <c r="AT87" s="1097" t="s">
        <v>4</v>
      </c>
      <c r="AU87" s="1097" t="s">
        <v>5</v>
      </c>
      <c r="AV87" s="1097" t="s">
        <v>6</v>
      </c>
      <c r="AW87" s="1097" t="s">
        <v>7</v>
      </c>
      <c r="AX87" s="1097" t="s">
        <v>8</v>
      </c>
      <c r="AY87" s="1097" t="s">
        <v>9</v>
      </c>
      <c r="AZ87" s="1097" t="s">
        <v>10</v>
      </c>
      <c r="BA87" s="1097" t="s">
        <v>11</v>
      </c>
      <c r="BB87" s="1097" t="s">
        <v>12</v>
      </c>
      <c r="BC87" s="1098" t="s">
        <v>13</v>
      </c>
      <c r="BD87" s="1094" t="s">
        <v>1</v>
      </c>
      <c r="BE87" s="1097" t="s">
        <v>2</v>
      </c>
      <c r="BF87" s="1097" t="s">
        <v>3</v>
      </c>
      <c r="BG87" s="1097" t="s">
        <v>4</v>
      </c>
      <c r="BH87" s="1097" t="s">
        <v>5</v>
      </c>
      <c r="BI87" s="1097" t="s">
        <v>6</v>
      </c>
      <c r="BJ87" s="1097" t="s">
        <v>7</v>
      </c>
      <c r="BK87" s="1097" t="s">
        <v>8</v>
      </c>
      <c r="BL87" s="1097" t="s">
        <v>9</v>
      </c>
      <c r="BM87" s="1097" t="str">
        <f>BM11</f>
        <v>9월</v>
      </c>
      <c r="BN87" s="1097" t="str">
        <f t="shared" ref="BN87:BP87" si="206">BN11</f>
        <v>10월</v>
      </c>
      <c r="BO87" s="1097" t="str">
        <f t="shared" si="206"/>
        <v>11월</v>
      </c>
      <c r="BP87" s="1098" t="str">
        <f t="shared" si="206"/>
        <v>12월</v>
      </c>
      <c r="BQ87" s="1094" t="s">
        <v>1</v>
      </c>
      <c r="BR87" s="1097" t="s">
        <v>2</v>
      </c>
      <c r="BS87" s="1097" t="s">
        <v>3</v>
      </c>
      <c r="BT87" s="1097" t="s">
        <v>4</v>
      </c>
      <c r="BU87" s="1097" t="s">
        <v>5</v>
      </c>
      <c r="BV87" s="1097" t="s">
        <v>6</v>
      </c>
      <c r="BW87" s="1097" t="s">
        <v>7</v>
      </c>
      <c r="BX87" s="1097" t="s">
        <v>8</v>
      </c>
      <c r="BY87" s="1097" t="s">
        <v>9</v>
      </c>
      <c r="BZ87" s="1097" t="s">
        <v>10</v>
      </c>
      <c r="CA87" s="1097" t="s">
        <v>11</v>
      </c>
      <c r="CB87" s="1097" t="s">
        <v>12</v>
      </c>
      <c r="CC87" s="1332" t="s">
        <v>13</v>
      </c>
      <c r="CD87" s="1094" t="s">
        <v>1</v>
      </c>
      <c r="CE87" s="1097" t="s">
        <v>2</v>
      </c>
      <c r="CF87" s="1097" t="s">
        <v>3</v>
      </c>
      <c r="CG87" s="1097" t="s">
        <v>4</v>
      </c>
      <c r="CH87" s="1097" t="s">
        <v>5</v>
      </c>
      <c r="CI87" s="1097" t="s">
        <v>6</v>
      </c>
      <c r="CJ87" s="1097" t="s">
        <v>7</v>
      </c>
      <c r="CK87" s="1097" t="s">
        <v>847</v>
      </c>
      <c r="CL87" s="1097" t="s">
        <v>848</v>
      </c>
      <c r="CM87" s="1097" t="s">
        <v>506</v>
      </c>
      <c r="CN87" s="1097" t="s">
        <v>505</v>
      </c>
      <c r="CO87" s="1097" t="s">
        <v>441</v>
      </c>
      <c r="CP87" s="1332" t="s">
        <v>442</v>
      </c>
      <c r="CQ87" s="1094" t="s">
        <v>1</v>
      </c>
      <c r="CR87" s="1097" t="s">
        <v>2</v>
      </c>
      <c r="CS87" s="1097" t="s">
        <v>3</v>
      </c>
      <c r="CT87" s="1097" t="s">
        <v>4</v>
      </c>
      <c r="CU87" s="1097" t="s">
        <v>5</v>
      </c>
      <c r="CV87" s="1097" t="s">
        <v>6</v>
      </c>
      <c r="CW87" s="1097" t="s">
        <v>7</v>
      </c>
      <c r="CX87" s="1097" t="s">
        <v>688</v>
      </c>
      <c r="CY87" s="1097" t="s">
        <v>690</v>
      </c>
      <c r="CZ87" s="1097" t="s">
        <v>692</v>
      </c>
      <c r="DA87" s="1097" t="s">
        <v>694</v>
      </c>
      <c r="DB87" s="1097" t="s">
        <v>696</v>
      </c>
      <c r="DC87" s="1332" t="s">
        <v>698</v>
      </c>
      <c r="DD87" s="2594"/>
      <c r="DE87" s="2594"/>
      <c r="DF87" s="2594"/>
      <c r="DG87" s="2594" t="s">
        <v>764</v>
      </c>
      <c r="DH87" s="2594" t="s">
        <v>762</v>
      </c>
      <c r="DI87" s="2594" t="s">
        <v>763</v>
      </c>
      <c r="DJ87" s="2594"/>
      <c r="DK87" s="1884"/>
    </row>
    <row r="88" spans="1:121">
      <c r="B88" s="30" t="s">
        <v>61</v>
      </c>
      <c r="C88" s="31"/>
      <c r="D88" s="32"/>
      <c r="E88" s="417"/>
      <c r="F88" s="417"/>
      <c r="G88" s="417"/>
      <c r="H88" s="417"/>
      <c r="I88" s="417"/>
      <c r="J88" s="417"/>
      <c r="K88" s="417"/>
      <c r="L88" s="417"/>
      <c r="M88" s="417"/>
      <c r="N88" s="417"/>
      <c r="O88" s="417"/>
      <c r="P88" s="417"/>
      <c r="Q88" s="1031">
        <f t="shared" ref="Q88:S88" si="207">Q89+Q90</f>
        <v>661195.76812745456</v>
      </c>
      <c r="R88" s="417">
        <f t="shared" si="207"/>
        <v>56951.146795000001</v>
      </c>
      <c r="S88" s="417">
        <f t="shared" si="207"/>
        <v>57834.211667000003</v>
      </c>
      <c r="T88" s="417">
        <f t="shared" ref="T88:U88" si="208">T89+T90</f>
        <v>56802.298876999994</v>
      </c>
      <c r="U88" s="417">
        <f t="shared" si="208"/>
        <v>50295.011361000004</v>
      </c>
      <c r="V88" s="417">
        <f t="shared" ref="V88:W88" si="209">V89+V90</f>
        <v>52424.926958000004</v>
      </c>
      <c r="W88" s="417">
        <f t="shared" si="209"/>
        <v>45226.849212000001</v>
      </c>
      <c r="X88" s="417">
        <f t="shared" ref="X88:AC88" si="210">X89+X90</f>
        <v>44122.264370000004</v>
      </c>
      <c r="Y88" s="417">
        <f t="shared" si="210"/>
        <v>66273.823579000004</v>
      </c>
      <c r="Z88" s="417">
        <f t="shared" si="210"/>
        <v>52137.493799000003</v>
      </c>
      <c r="AA88" s="417">
        <f t="shared" si="210"/>
        <v>57508.277332999998</v>
      </c>
      <c r="AB88" s="417">
        <f t="shared" si="210"/>
        <v>65454.583354454546</v>
      </c>
      <c r="AC88" s="1036">
        <f t="shared" si="210"/>
        <v>56164.880821999999</v>
      </c>
      <c r="AD88" s="1031">
        <f t="shared" ref="AD88:AD99" si="211">AD12-AD136</f>
        <v>695848.82494100009</v>
      </c>
      <c r="AE88" s="417">
        <f t="shared" ref="AE88:AP88" si="212">AE89+AE90</f>
        <v>56726.566437999994</v>
      </c>
      <c r="AF88" s="417">
        <f t="shared" si="212"/>
        <v>50697.735512999992</v>
      </c>
      <c r="AG88" s="417">
        <f t="shared" si="212"/>
        <v>50960.981234000006</v>
      </c>
      <c r="AH88" s="417">
        <f t="shared" si="212"/>
        <v>53482.950971999999</v>
      </c>
      <c r="AI88" s="417">
        <f t="shared" si="212"/>
        <v>51104.427613</v>
      </c>
      <c r="AJ88" s="417">
        <f t="shared" si="212"/>
        <v>53063.680520000002</v>
      </c>
      <c r="AK88" s="417">
        <f t="shared" si="212"/>
        <v>49589.410112999998</v>
      </c>
      <c r="AL88" s="417">
        <f t="shared" si="212"/>
        <v>72113.128784999994</v>
      </c>
      <c r="AM88" s="417">
        <f t="shared" si="212"/>
        <v>65838.406170000002</v>
      </c>
      <c r="AN88" s="417">
        <f t="shared" si="212"/>
        <v>80474.861686999997</v>
      </c>
      <c r="AO88" s="417">
        <f t="shared" si="212"/>
        <v>64427.482309999999</v>
      </c>
      <c r="AP88" s="417">
        <f t="shared" si="212"/>
        <v>61693.193586000009</v>
      </c>
      <c r="AQ88" s="1031">
        <f t="shared" ref="AQ88:AQ128" si="213">AQ12-AQ136</f>
        <v>712070.22559200018</v>
      </c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1031">
        <f t="shared" ref="BD88:BP88" si="214">BD12-BD136</f>
        <v>668399.12439100002</v>
      </c>
      <c r="BE88" s="417">
        <f t="shared" si="214"/>
        <v>45544.411863000001</v>
      </c>
      <c r="BF88" s="417">
        <f t="shared" si="214"/>
        <v>71663.619097000003</v>
      </c>
      <c r="BG88" s="417">
        <f t="shared" si="214"/>
        <v>51412.810136</v>
      </c>
      <c r="BH88" s="417">
        <f t="shared" si="214"/>
        <v>46541.110929000002</v>
      </c>
      <c r="BI88" s="417">
        <f t="shared" si="214"/>
        <v>46602.965400000001</v>
      </c>
      <c r="BJ88" s="417">
        <f t="shared" si="214"/>
        <v>46361.064788000003</v>
      </c>
      <c r="BK88" s="417">
        <f t="shared" si="214"/>
        <v>40568.139678000007</v>
      </c>
      <c r="BL88" s="417">
        <f t="shared" si="214"/>
        <v>82226.186136999997</v>
      </c>
      <c r="BM88" s="417">
        <f t="shared" si="214"/>
        <v>43432.382740000001</v>
      </c>
      <c r="BN88" s="417">
        <f t="shared" si="214"/>
        <v>98675.108070999995</v>
      </c>
      <c r="BO88" s="417">
        <f t="shared" si="214"/>
        <v>50384.647468000003</v>
      </c>
      <c r="BP88" s="417">
        <f t="shared" si="214"/>
        <v>44986.678083999992</v>
      </c>
      <c r="BQ88" s="1031">
        <f t="shared" ref="BQ88:CP88" si="215">BQ12-BQ136</f>
        <v>767350.44947600004</v>
      </c>
      <c r="BR88" s="1708">
        <f t="shared" si="215"/>
        <v>118659.258667</v>
      </c>
      <c r="BS88" s="1708">
        <f t="shared" si="215"/>
        <v>59779.147747000003</v>
      </c>
      <c r="BT88" s="1708">
        <f t="shared" si="215"/>
        <v>52986.588035000001</v>
      </c>
      <c r="BU88" s="1708">
        <f t="shared" si="215"/>
        <v>44167.582612999999</v>
      </c>
      <c r="BV88" s="1708">
        <f t="shared" si="215"/>
        <v>40275.331869000001</v>
      </c>
      <c r="BW88" s="1708">
        <f t="shared" si="215"/>
        <v>61133.346902999998</v>
      </c>
      <c r="BX88" s="1708">
        <f t="shared" si="215"/>
        <v>74857.846374000001</v>
      </c>
      <c r="BY88" s="1708">
        <f t="shared" si="215"/>
        <v>51544.997273000001</v>
      </c>
      <c r="BZ88" s="1708">
        <f t="shared" si="215"/>
        <v>87749.960500999994</v>
      </c>
      <c r="CA88" s="1708">
        <f t="shared" si="215"/>
        <v>81486.761886999986</v>
      </c>
      <c r="CB88" s="1708">
        <f t="shared" si="215"/>
        <v>45789.195778999994</v>
      </c>
      <c r="CC88" s="1334">
        <f t="shared" si="215"/>
        <v>48920.431828000001</v>
      </c>
      <c r="CD88" s="1031">
        <f t="shared" si="215"/>
        <v>697799.60543899995</v>
      </c>
      <c r="CE88" s="1708">
        <f t="shared" si="215"/>
        <v>53356.526462999995</v>
      </c>
      <c r="CF88" s="1708">
        <f t="shared" si="215"/>
        <v>93703.689825000009</v>
      </c>
      <c r="CG88" s="1708">
        <f t="shared" si="215"/>
        <v>52082.450781</v>
      </c>
      <c r="CH88" s="1708">
        <f t="shared" si="215"/>
        <v>41350.723088999999</v>
      </c>
      <c r="CI88" s="1708">
        <f t="shared" si="215"/>
        <v>47481.336208000001</v>
      </c>
      <c r="CJ88" s="1708">
        <f t="shared" si="215"/>
        <v>49740.316263000001</v>
      </c>
      <c r="CK88" s="1708">
        <f t="shared" si="215"/>
        <v>75350.974448000008</v>
      </c>
      <c r="CL88" s="1708">
        <f t="shared" si="215"/>
        <v>47935.549009999995</v>
      </c>
      <c r="CM88" s="1708">
        <f t="shared" si="215"/>
        <v>83581.19142399999</v>
      </c>
      <c r="CN88" s="1708">
        <f t="shared" si="215"/>
        <v>52629.929918000002</v>
      </c>
      <c r="CO88" s="1708">
        <f t="shared" si="215"/>
        <v>51505.238196000006</v>
      </c>
      <c r="CP88" s="1334">
        <f t="shared" si="215"/>
        <v>49081.679813999996</v>
      </c>
      <c r="CQ88" s="1031">
        <f t="shared" ref="CQ88:DC88" si="216">CQ89+CQ90</f>
        <v>756506.32114775735</v>
      </c>
      <c r="CR88" s="1708">
        <f t="shared" si="216"/>
        <v>54847.549091467576</v>
      </c>
      <c r="CS88" s="1708">
        <f t="shared" si="216"/>
        <v>49808.853136384147</v>
      </c>
      <c r="CT88" s="1708">
        <f t="shared" si="216"/>
        <v>89550.728345573007</v>
      </c>
      <c r="CU88" s="1708">
        <f t="shared" si="216"/>
        <v>57983.725554729215</v>
      </c>
      <c r="CV88" s="1708">
        <f t="shared" si="216"/>
        <v>56603.065203491569</v>
      </c>
      <c r="CW88" s="1708">
        <f t="shared" si="216"/>
        <v>52547.709780758458</v>
      </c>
      <c r="CX88" s="1708">
        <f t="shared" si="216"/>
        <v>75509.294154898394</v>
      </c>
      <c r="CY88" s="1708">
        <f t="shared" si="216"/>
        <v>59225.733633297314</v>
      </c>
      <c r="CZ88" s="1708">
        <f t="shared" si="216"/>
        <v>87983.688707429741</v>
      </c>
      <c r="DA88" s="1708">
        <f t="shared" si="216"/>
        <v>61807.12783089529</v>
      </c>
      <c r="DB88" s="1708">
        <f t="shared" si="216"/>
        <v>55148.447317743703</v>
      </c>
      <c r="DC88" s="1334">
        <f t="shared" si="216"/>
        <v>55490.398391088718</v>
      </c>
      <c r="DD88" s="2587"/>
      <c r="DE88" s="2587"/>
      <c r="DF88" s="2587"/>
      <c r="DG88" s="2975">
        <f t="shared" ref="DG88:DG114" si="217">BQ88/BD88-1</f>
        <v>0.1480422721606014</v>
      </c>
      <c r="DH88" s="2976">
        <f t="shared" ref="DH88:DH126" si="218">CD88/BQ88-1</f>
        <v>-9.0637653349254221E-2</v>
      </c>
      <c r="DI88" s="2976">
        <f t="shared" ref="DI88:DI126" si="219">CQ88/CD88-1</f>
        <v>8.4131196479860115E-2</v>
      </c>
      <c r="DJ88" s="2976"/>
      <c r="DK88" s="1884"/>
      <c r="DL88" s="2718"/>
      <c r="DM88" s="2718"/>
      <c r="DN88" s="2603"/>
    </row>
    <row r="89" spans="1:121">
      <c r="B89" s="33" t="s">
        <v>62</v>
      </c>
      <c r="C89" s="34"/>
      <c r="D89" s="35"/>
      <c r="E89" s="1335"/>
      <c r="F89" s="1335"/>
      <c r="G89" s="1335"/>
      <c r="H89" s="1335"/>
      <c r="I89" s="1335"/>
      <c r="J89" s="1335"/>
      <c r="K89" s="1335"/>
      <c r="L89" s="1335"/>
      <c r="M89" s="1335"/>
      <c r="N89" s="1335"/>
      <c r="O89" s="1335"/>
      <c r="P89" s="1335"/>
      <c r="Q89" s="1345">
        <f>SUM(R89:AC89)</f>
        <v>483351.67972400005</v>
      </c>
      <c r="R89" s="1335">
        <f>무선!F196</f>
        <v>42512.579846000001</v>
      </c>
      <c r="S89" s="1335">
        <f>무선!G196</f>
        <v>43559.136783000002</v>
      </c>
      <c r="T89" s="1335">
        <f>무선!H196</f>
        <v>41706.115768999996</v>
      </c>
      <c r="U89" s="1335">
        <f>무선!I196</f>
        <v>36208.609871000001</v>
      </c>
      <c r="V89" s="1335">
        <f>무선!J196</f>
        <v>37676.338571</v>
      </c>
      <c r="W89" s="1335">
        <f>무선!K196</f>
        <v>31112.636391</v>
      </c>
      <c r="X89" s="1335">
        <f>무선!L196</f>
        <v>29844.902959999999</v>
      </c>
      <c r="Y89" s="1335">
        <f>무선!M196</f>
        <v>51191.694641000002</v>
      </c>
      <c r="Z89" s="1335">
        <f>무선!N196</f>
        <v>37702.539263999999</v>
      </c>
      <c r="AA89" s="1335">
        <f>무선!O196</f>
        <v>41760.570400999997</v>
      </c>
      <c r="AB89" s="1335">
        <f>무선!P196</f>
        <v>47897.756393000003</v>
      </c>
      <c r="AC89" s="1074">
        <f>무선!Q196</f>
        <v>42178.798834000001</v>
      </c>
      <c r="AD89" s="1345">
        <f t="shared" si="211"/>
        <v>493474.5626740001</v>
      </c>
      <c r="AE89" s="1335">
        <f>무선!S196</f>
        <v>42730.275371999996</v>
      </c>
      <c r="AF89" s="1335">
        <f>무선!T196</f>
        <v>35995.056358000002</v>
      </c>
      <c r="AG89" s="1335">
        <f>무선!U196</f>
        <v>37313.116861000002</v>
      </c>
      <c r="AH89" s="1335">
        <f>무선!V196</f>
        <v>39255.810857999997</v>
      </c>
      <c r="AI89" s="1335">
        <f>무선!W196</f>
        <v>35017.420694</v>
      </c>
      <c r="AJ89" s="1335">
        <f>무선!X196</f>
        <v>35584.185872000002</v>
      </c>
      <c r="AK89" s="1335">
        <f>무선!Y196</f>
        <v>32718.948698</v>
      </c>
      <c r="AL89" s="1335">
        <f>무선!Z196</f>
        <v>53393.259669999999</v>
      </c>
      <c r="AM89" s="1335">
        <f>무선!AA196</f>
        <v>48744.124084000003</v>
      </c>
      <c r="AN89" s="1335">
        <f>무선!AB196</f>
        <v>61926.928742999997</v>
      </c>
      <c r="AO89" s="1335">
        <f>무선!AC196</f>
        <v>47839.390177000001</v>
      </c>
      <c r="AP89" s="1335">
        <f>무선!AD196</f>
        <v>37154.045287000001</v>
      </c>
      <c r="AQ89" s="1345">
        <f t="shared" si="213"/>
        <v>482036.89269499999</v>
      </c>
      <c r="AR89" s="1335"/>
      <c r="AS89" s="1335"/>
      <c r="AT89" s="1335"/>
      <c r="AU89" s="1335"/>
      <c r="AV89" s="1335"/>
      <c r="AW89" s="1335"/>
      <c r="AX89" s="1335"/>
      <c r="AY89" s="1335"/>
      <c r="AZ89" s="1335"/>
      <c r="BA89" s="1335"/>
      <c r="BB89" s="1335"/>
      <c r="BC89" s="1335"/>
      <c r="BD89" s="1345">
        <f t="shared" ref="BD89:BP89" si="220">BD13-BD137</f>
        <v>426405.04496600002</v>
      </c>
      <c r="BE89" s="1335">
        <f t="shared" si="220"/>
        <v>30756.190310999998</v>
      </c>
      <c r="BF89" s="1335">
        <f t="shared" si="220"/>
        <v>50634.739579000001</v>
      </c>
      <c r="BG89" s="1335">
        <f t="shared" si="220"/>
        <v>33551.970859000001</v>
      </c>
      <c r="BH89" s="1335">
        <f t="shared" si="220"/>
        <v>27010.871031000002</v>
      </c>
      <c r="BI89" s="1335">
        <f t="shared" si="220"/>
        <v>26722.186732000002</v>
      </c>
      <c r="BJ89" s="1335">
        <f t="shared" si="220"/>
        <v>23884.647827000001</v>
      </c>
      <c r="BK89" s="1335">
        <f t="shared" si="220"/>
        <v>21518.169999000002</v>
      </c>
      <c r="BL89" s="1335">
        <f t="shared" si="220"/>
        <v>55317.258281999995</v>
      </c>
      <c r="BM89" s="1335">
        <f t="shared" si="220"/>
        <v>23847.595929000003</v>
      </c>
      <c r="BN89" s="1335">
        <f t="shared" si="220"/>
        <v>74645.886135000008</v>
      </c>
      <c r="BO89" s="1335">
        <f t="shared" si="220"/>
        <v>33394.233087000001</v>
      </c>
      <c r="BP89" s="1335">
        <f t="shared" si="220"/>
        <v>25121.295194999999</v>
      </c>
      <c r="BQ89" s="1396">
        <f t="shared" ref="BQ89:CC89" si="221">BQ13-BQ137</f>
        <v>509537.34162300004</v>
      </c>
      <c r="BR89" s="1777">
        <f t="shared" si="221"/>
        <v>93730.233009000003</v>
      </c>
      <c r="BS89" s="1777">
        <f t="shared" si="221"/>
        <v>41293.290717000003</v>
      </c>
      <c r="BT89" s="1777">
        <f t="shared" si="221"/>
        <v>34037.764573999993</v>
      </c>
      <c r="BU89" s="1777">
        <f t="shared" si="221"/>
        <v>23673.678524999999</v>
      </c>
      <c r="BV89" s="1777">
        <f t="shared" si="221"/>
        <v>21296.512344999999</v>
      </c>
      <c r="BW89" s="1777">
        <f t="shared" si="221"/>
        <v>42433.744471999998</v>
      </c>
      <c r="BX89" s="1777">
        <f t="shared" si="221"/>
        <v>48094.916848000001</v>
      </c>
      <c r="BY89" s="1777">
        <f t="shared" si="221"/>
        <v>31164.623166999998</v>
      </c>
      <c r="BZ89" s="1777">
        <f t="shared" si="221"/>
        <v>61409.557117000004</v>
      </c>
      <c r="CA89" s="1777">
        <f t="shared" si="221"/>
        <v>59939.285622999996</v>
      </c>
      <c r="CB89" s="1777">
        <f t="shared" si="221"/>
        <v>25585.800939999994</v>
      </c>
      <c r="CC89" s="1778">
        <f t="shared" si="221"/>
        <v>26877.934286</v>
      </c>
      <c r="CD89" s="1345">
        <f t="shared" ref="CD89:CP89" si="222">CD13-CD137</f>
        <v>416680.22926200001</v>
      </c>
      <c r="CE89" s="1777">
        <f t="shared" si="222"/>
        <v>35507.525212</v>
      </c>
      <c r="CF89" s="1777">
        <f t="shared" si="222"/>
        <v>67923.028432999999</v>
      </c>
      <c r="CG89" s="1777">
        <f t="shared" si="222"/>
        <v>32153.379535999997</v>
      </c>
      <c r="CH89" s="1777">
        <f t="shared" si="222"/>
        <v>21307.457941000001</v>
      </c>
      <c r="CI89" s="1777">
        <f t="shared" si="222"/>
        <v>24636.23893</v>
      </c>
      <c r="CJ89" s="1777">
        <f t="shared" si="222"/>
        <v>27480.846723999999</v>
      </c>
      <c r="CK89" s="1777">
        <f t="shared" si="222"/>
        <v>44147.96701</v>
      </c>
      <c r="CL89" s="1777">
        <f t="shared" si="222"/>
        <v>25674.804625999997</v>
      </c>
      <c r="CM89" s="1777">
        <f t="shared" si="222"/>
        <v>55957.756142000006</v>
      </c>
      <c r="CN89" s="1777">
        <f t="shared" si="222"/>
        <v>32498.229726999998</v>
      </c>
      <c r="CO89" s="1777">
        <f t="shared" si="222"/>
        <v>28483.313692000003</v>
      </c>
      <c r="CP89" s="1778">
        <f t="shared" si="222"/>
        <v>20909.681289</v>
      </c>
      <c r="CQ89" s="1345">
        <f t="shared" ref="CQ89:CQ95" si="223">SUM(CR89:DC89)</f>
        <v>474539.99814200215</v>
      </c>
      <c r="CR89" s="1336">
        <f>무선!CF196</f>
        <v>32899.580537303096</v>
      </c>
      <c r="CS89" s="1336">
        <f>무선!CG196</f>
        <v>28652.223597224474</v>
      </c>
      <c r="CT89" s="1336">
        <f>무선!CH196</f>
        <v>63460.431990015153</v>
      </c>
      <c r="CU89" s="1336">
        <f>무선!CI196</f>
        <v>35700.808164805341</v>
      </c>
      <c r="CV89" s="1336">
        <f>무선!CJ196</f>
        <v>34142.730622544288</v>
      </c>
      <c r="CW89" s="1336">
        <f>무선!CK196</f>
        <v>30627.862998713488</v>
      </c>
      <c r="CX89" s="1336">
        <f>무선!CL196</f>
        <v>47751.397434470789</v>
      </c>
      <c r="CY89" s="1336">
        <f>무선!CM196</f>
        <v>36297.730616076529</v>
      </c>
      <c r="CZ89" s="1336">
        <f>무선!CN196</f>
        <v>60756.089122052159</v>
      </c>
      <c r="DA89" s="1336">
        <f>무선!CO196</f>
        <v>38077.578283007475</v>
      </c>
      <c r="DB89" s="1336">
        <f>무선!CP196</f>
        <v>33156.618926298899</v>
      </c>
      <c r="DC89" s="2284">
        <f>무선!CQ196</f>
        <v>33016.945849490359</v>
      </c>
      <c r="DD89" s="2587"/>
      <c r="DE89" s="2587"/>
      <c r="DF89" s="2587"/>
      <c r="DG89" s="2975">
        <f t="shared" si="217"/>
        <v>0.19496086558644898</v>
      </c>
      <c r="DH89" s="2977">
        <f t="shared" si="218"/>
        <v>-0.18223809086342446</v>
      </c>
      <c r="DI89" s="2977">
        <f t="shared" si="219"/>
        <v>0.13885892542221168</v>
      </c>
      <c r="DJ89" s="2977"/>
      <c r="DK89" s="1884"/>
      <c r="DL89" s="2718"/>
      <c r="DM89" s="2718"/>
      <c r="DN89" s="2611"/>
      <c r="DO89" s="2716"/>
    </row>
    <row r="90" spans="1:121">
      <c r="B90" s="60" t="s">
        <v>59</v>
      </c>
      <c r="C90" s="61"/>
      <c r="D90" s="65"/>
      <c r="E90" s="1337"/>
      <c r="F90" s="1337"/>
      <c r="G90" s="1337"/>
      <c r="H90" s="1337"/>
      <c r="I90" s="1337"/>
      <c r="J90" s="1337"/>
      <c r="K90" s="1337"/>
      <c r="L90" s="1337"/>
      <c r="M90" s="1337"/>
      <c r="N90" s="1337"/>
      <c r="O90" s="1337"/>
      <c r="P90" s="1337"/>
      <c r="Q90" s="99">
        <f>SUM(R90:AC90)</f>
        <v>177844.08840345455</v>
      </c>
      <c r="R90" s="1337">
        <f t="shared" ref="R90:S90" si="224">SUM(R91:R93)</f>
        <v>14438.566949</v>
      </c>
      <c r="S90" s="1337">
        <f t="shared" si="224"/>
        <v>14275.074884000001</v>
      </c>
      <c r="T90" s="1337">
        <f t="shared" ref="T90:U90" si="225">SUM(T91:T93)</f>
        <v>15096.183108000001</v>
      </c>
      <c r="U90" s="1337">
        <f t="shared" si="225"/>
        <v>14086.401490000002</v>
      </c>
      <c r="V90" s="1337">
        <f t="shared" ref="V90:W90" si="226">SUM(V91:V93)</f>
        <v>14748.588387000002</v>
      </c>
      <c r="W90" s="1337">
        <f t="shared" si="226"/>
        <v>14114.212821000001</v>
      </c>
      <c r="X90" s="1337">
        <f t="shared" ref="X90:AC90" si="227">SUM(X91:X93)</f>
        <v>14277.361410000001</v>
      </c>
      <c r="Y90" s="1337">
        <f t="shared" si="227"/>
        <v>15082.128938000002</v>
      </c>
      <c r="Z90" s="1337">
        <f t="shared" si="227"/>
        <v>14434.954535000001</v>
      </c>
      <c r="AA90" s="1337">
        <f t="shared" si="227"/>
        <v>15747.706932000001</v>
      </c>
      <c r="AB90" s="1337">
        <f t="shared" si="227"/>
        <v>17556.826961454546</v>
      </c>
      <c r="AC90" s="1339">
        <f t="shared" si="227"/>
        <v>13986.081987999998</v>
      </c>
      <c r="AD90" s="99">
        <f t="shared" si="211"/>
        <v>202374.26226699998</v>
      </c>
      <c r="AE90" s="1337">
        <f t="shared" ref="AE90:AP90" si="228">SUM(AE91:AE93)</f>
        <v>13996.291066000002</v>
      </c>
      <c r="AF90" s="1337">
        <f t="shared" si="228"/>
        <v>14702.679154999994</v>
      </c>
      <c r="AG90" s="1337">
        <f t="shared" si="228"/>
        <v>13647.864373000002</v>
      </c>
      <c r="AH90" s="1337">
        <f t="shared" si="228"/>
        <v>14227.140114000003</v>
      </c>
      <c r="AI90" s="1337">
        <f t="shared" si="228"/>
        <v>16087.006918999998</v>
      </c>
      <c r="AJ90" s="1337">
        <f t="shared" si="228"/>
        <v>17479.494648</v>
      </c>
      <c r="AK90" s="1337">
        <f t="shared" si="228"/>
        <v>16870.461414999998</v>
      </c>
      <c r="AL90" s="1337">
        <f t="shared" si="228"/>
        <v>18719.869114999998</v>
      </c>
      <c r="AM90" s="1337">
        <f t="shared" si="228"/>
        <v>17094.282085999999</v>
      </c>
      <c r="AN90" s="1337">
        <f t="shared" si="228"/>
        <v>18547.932944</v>
      </c>
      <c r="AO90" s="1337">
        <f t="shared" si="228"/>
        <v>16588.092132999998</v>
      </c>
      <c r="AP90" s="1337">
        <f t="shared" si="228"/>
        <v>24539.148299000004</v>
      </c>
      <c r="AQ90" s="99">
        <f t="shared" si="213"/>
        <v>230033.33289700001</v>
      </c>
      <c r="AR90" s="1337"/>
      <c r="AS90" s="1337"/>
      <c r="AT90" s="1337"/>
      <c r="AU90" s="1337"/>
      <c r="AV90" s="1337"/>
      <c r="AW90" s="1337"/>
      <c r="AX90" s="1337"/>
      <c r="AY90" s="1337"/>
      <c r="AZ90" s="1337"/>
      <c r="BA90" s="1337"/>
      <c r="BB90" s="1337"/>
      <c r="BC90" s="1337"/>
      <c r="BD90" s="99">
        <f t="shared" ref="BD90:BP90" si="229">BD14-BD138</f>
        <v>241994.07942500003</v>
      </c>
      <c r="BE90" s="1337">
        <f t="shared" si="229"/>
        <v>14788.221552000001</v>
      </c>
      <c r="BF90" s="1337">
        <f t="shared" si="229"/>
        <v>21028.879517999998</v>
      </c>
      <c r="BG90" s="1337">
        <f t="shared" si="229"/>
        <v>17860.839276999999</v>
      </c>
      <c r="BH90" s="1337">
        <f t="shared" si="229"/>
        <v>19530.239898</v>
      </c>
      <c r="BI90" s="1337">
        <f t="shared" si="229"/>
        <v>19880.778667999999</v>
      </c>
      <c r="BJ90" s="1337">
        <f t="shared" si="229"/>
        <v>22476.416961000003</v>
      </c>
      <c r="BK90" s="1337">
        <f t="shared" si="229"/>
        <v>19049.969679000005</v>
      </c>
      <c r="BL90" s="1337">
        <f t="shared" si="229"/>
        <v>26908.927854999998</v>
      </c>
      <c r="BM90" s="1337">
        <f t="shared" si="229"/>
        <v>19584.786811000002</v>
      </c>
      <c r="BN90" s="1337">
        <f t="shared" si="229"/>
        <v>24029.221935999998</v>
      </c>
      <c r="BO90" s="1337">
        <f t="shared" si="229"/>
        <v>16990.414381000002</v>
      </c>
      <c r="BP90" s="1337">
        <f t="shared" si="229"/>
        <v>19865.382888999997</v>
      </c>
      <c r="BQ90" s="1338">
        <f t="shared" ref="BQ90:CC90" si="230">BQ14-BQ138</f>
        <v>257813.10785300002</v>
      </c>
      <c r="BR90" s="1928">
        <f t="shared" si="230"/>
        <v>24929.025658000002</v>
      </c>
      <c r="BS90" s="1928">
        <f t="shared" si="230"/>
        <v>18485.857029999999</v>
      </c>
      <c r="BT90" s="1928">
        <f t="shared" si="230"/>
        <v>18948.823461</v>
      </c>
      <c r="BU90" s="1928">
        <f t="shared" si="230"/>
        <v>20493.904087999996</v>
      </c>
      <c r="BV90" s="1928">
        <f t="shared" si="230"/>
        <v>18978.819524000002</v>
      </c>
      <c r="BW90" s="1928">
        <f t="shared" si="230"/>
        <v>18699.602430999999</v>
      </c>
      <c r="BX90" s="1928">
        <f t="shared" si="230"/>
        <v>26762.929525999996</v>
      </c>
      <c r="BY90" s="1928">
        <f t="shared" si="230"/>
        <v>20380.374106000003</v>
      </c>
      <c r="BZ90" s="1928">
        <f t="shared" si="230"/>
        <v>26340.403384000005</v>
      </c>
      <c r="CA90" s="1928">
        <f t="shared" si="230"/>
        <v>21547.476264000001</v>
      </c>
      <c r="CB90" s="1928">
        <f t="shared" si="230"/>
        <v>20203.394839000001</v>
      </c>
      <c r="CC90" s="1929">
        <f t="shared" si="230"/>
        <v>22042.497541999997</v>
      </c>
      <c r="CD90" s="1338">
        <f t="shared" ref="CD90:CP90" si="231">CD14-CD138</f>
        <v>281119.376177</v>
      </c>
      <c r="CE90" s="1928">
        <f t="shared" si="231"/>
        <v>17849.001251000002</v>
      </c>
      <c r="CF90" s="1928">
        <f t="shared" si="231"/>
        <v>25780.661392000002</v>
      </c>
      <c r="CG90" s="1928">
        <f t="shared" si="231"/>
        <v>19929.071244999999</v>
      </c>
      <c r="CH90" s="1928">
        <f t="shared" si="231"/>
        <v>20043.265147999999</v>
      </c>
      <c r="CI90" s="1928">
        <f t="shared" si="231"/>
        <v>22845.097278000001</v>
      </c>
      <c r="CJ90" s="1928">
        <f t="shared" si="231"/>
        <v>22259.469539000002</v>
      </c>
      <c r="CK90" s="1928">
        <f t="shared" si="231"/>
        <v>31203.007438000001</v>
      </c>
      <c r="CL90" s="1928">
        <f t="shared" si="231"/>
        <v>22260.744383999998</v>
      </c>
      <c r="CM90" s="1928">
        <f t="shared" si="231"/>
        <v>27623.435281999995</v>
      </c>
      <c r="CN90" s="1928">
        <f t="shared" si="231"/>
        <v>20131.700190999996</v>
      </c>
      <c r="CO90" s="1928">
        <f t="shared" si="231"/>
        <v>23021.924503999999</v>
      </c>
      <c r="CP90" s="1929">
        <f t="shared" si="231"/>
        <v>28171.998524999992</v>
      </c>
      <c r="CQ90" s="2011">
        <f t="shared" si="223"/>
        <v>281966.32300575514</v>
      </c>
      <c r="CR90" s="1709">
        <f t="shared" ref="CR90:CV90" si="232">SUM(CR91:CR93)</f>
        <v>21947.968554164483</v>
      </c>
      <c r="CS90" s="1709">
        <f t="shared" si="232"/>
        <v>21156.629539159676</v>
      </c>
      <c r="CT90" s="1709">
        <f t="shared" si="232"/>
        <v>26090.296355557861</v>
      </c>
      <c r="CU90" s="1709">
        <f t="shared" si="232"/>
        <v>22282.91738992387</v>
      </c>
      <c r="CV90" s="1709">
        <f t="shared" si="232"/>
        <v>22460.334580947285</v>
      </c>
      <c r="CW90" s="1709">
        <f>SUM(CW91:CW93)</f>
        <v>21919.84678204497</v>
      </c>
      <c r="CX90" s="1709">
        <f t="shared" ref="CX90:DC90" si="233">SUM(CX91:CX93)</f>
        <v>27757.896720427605</v>
      </c>
      <c r="CY90" s="1709">
        <f t="shared" si="233"/>
        <v>22928.003017220784</v>
      </c>
      <c r="CZ90" s="1709">
        <f t="shared" si="233"/>
        <v>27227.599585377578</v>
      </c>
      <c r="DA90" s="1709">
        <f t="shared" si="233"/>
        <v>23729.549547887818</v>
      </c>
      <c r="DB90" s="1709">
        <f t="shared" si="233"/>
        <v>21991.828391444804</v>
      </c>
      <c r="DC90" s="2285">
        <f t="shared" si="233"/>
        <v>22473.452541598355</v>
      </c>
      <c r="DD90" s="2587"/>
      <c r="DE90" s="2587"/>
      <c r="DF90" s="2587"/>
      <c r="DG90" s="2975">
        <f t="shared" si="217"/>
        <v>6.5369485342730016E-2</v>
      </c>
      <c r="DH90" s="2976">
        <f t="shared" si="218"/>
        <v>9.0399857936194428E-2</v>
      </c>
      <c r="DI90" s="2977">
        <f t="shared" si="219"/>
        <v>3.0127657519483098E-3</v>
      </c>
      <c r="DJ90" s="2977"/>
      <c r="DK90" s="1884"/>
      <c r="DL90" s="2718"/>
      <c r="DM90" s="2718"/>
      <c r="DN90" s="2767"/>
      <c r="DO90" s="2716"/>
    </row>
    <row r="91" spans="1:121">
      <c r="B91" s="40" t="s">
        <v>120</v>
      </c>
      <c r="C91" s="41"/>
      <c r="D91" s="66"/>
      <c r="E91" s="1340"/>
      <c r="F91" s="1340"/>
      <c r="G91" s="1340"/>
      <c r="H91" s="1340"/>
      <c r="I91" s="1340"/>
      <c r="J91" s="1340"/>
      <c r="K91" s="1340"/>
      <c r="L91" s="1340"/>
      <c r="M91" s="1340"/>
      <c r="N91" s="1340"/>
      <c r="O91" s="1340"/>
      <c r="P91" s="1340"/>
      <c r="Q91" s="64">
        <f>SUM(R91:AC91)</f>
        <v>85819.200350999992</v>
      </c>
      <c r="R91" s="1340">
        <f>무선!F253+유선!F42</f>
        <v>6650.5845959999997</v>
      </c>
      <c r="S91" s="1340">
        <f>무선!G253+유선!G42</f>
        <v>6165.5319900000004</v>
      </c>
      <c r="T91" s="1340">
        <f>무선!H253+유선!H42</f>
        <v>6765.5567510000019</v>
      </c>
      <c r="U91" s="1340">
        <f>무선!I253+유선!I42</f>
        <v>6273.3707990000003</v>
      </c>
      <c r="V91" s="1340">
        <f>무선!J253+유선!J42</f>
        <v>7173.6810569999998</v>
      </c>
      <c r="W91" s="1340">
        <f>무선!K253+유선!K42</f>
        <v>6740.7588590000014</v>
      </c>
      <c r="X91" s="1340">
        <f>무선!L253+유선!L42</f>
        <v>6615.3399130000007</v>
      </c>
      <c r="Y91" s="1340">
        <f>무선!M253+유선!M42</f>
        <v>7314.1149129999994</v>
      </c>
      <c r="Z91" s="1340">
        <f>무선!N253+유선!N42</f>
        <v>6997.9594889999998</v>
      </c>
      <c r="AA91" s="1340">
        <f>무선!O253+유선!O42</f>
        <v>8236.9230960000004</v>
      </c>
      <c r="AB91" s="1340">
        <f>무선!P253+유선!P42</f>
        <v>10352.138165</v>
      </c>
      <c r="AC91" s="1341">
        <f>무선!Q253+유선!Q42</f>
        <v>6533.2407229999999</v>
      </c>
      <c r="AD91" s="64">
        <f t="shared" si="211"/>
        <v>106845.74045100001</v>
      </c>
      <c r="AE91" s="1340">
        <f>무선!S253+유선!S42</f>
        <v>6775.9317260000007</v>
      </c>
      <c r="AF91" s="1340">
        <f>무선!T253+유선!T42</f>
        <v>7000.7579199999982</v>
      </c>
      <c r="AG91" s="1340">
        <f>무선!U253+유선!U42</f>
        <v>6248.7498330000026</v>
      </c>
      <c r="AH91" s="1340">
        <f>무선!V253+유선!V42</f>
        <v>5643.6670949999998</v>
      </c>
      <c r="AI91" s="1340">
        <f>무선!W253+유선!W42</f>
        <v>8252.1390840000004</v>
      </c>
      <c r="AJ91" s="1340">
        <f>무선!X253+유선!X42</f>
        <v>9604.1538750000018</v>
      </c>
      <c r="AK91" s="1340">
        <f>무선!Y253+유선!Y42</f>
        <v>8850.5992729999998</v>
      </c>
      <c r="AL91" s="1340">
        <f>무선!Z253+유선!Z42</f>
        <v>10662.664535999998</v>
      </c>
      <c r="AM91" s="1340">
        <f>무선!AA253+유선!AA42</f>
        <v>9115.927846999999</v>
      </c>
      <c r="AN91" s="1340">
        <f>무선!AB253+유선!AB42</f>
        <v>10095.803033000002</v>
      </c>
      <c r="AO91" s="1340">
        <f>무선!AC253+유선!AC42</f>
        <v>8363.3351179999972</v>
      </c>
      <c r="AP91" s="1340">
        <f>무선!AD253+유선!AD42</f>
        <v>16232.011111000002</v>
      </c>
      <c r="AQ91" s="64">
        <f t="shared" si="213"/>
        <v>124108.54401900002</v>
      </c>
      <c r="AR91" s="1340"/>
      <c r="AS91" s="1340"/>
      <c r="AT91" s="1340"/>
      <c r="AU91" s="1340"/>
      <c r="AV91" s="1340"/>
      <c r="AW91" s="1340"/>
      <c r="AX91" s="1340"/>
      <c r="AY91" s="1340"/>
      <c r="AZ91" s="1340"/>
      <c r="BA91" s="1340"/>
      <c r="BB91" s="1340"/>
      <c r="BC91" s="1340"/>
      <c r="BD91" s="64">
        <f t="shared" ref="BD91:BP91" si="234">BD15-BD139</f>
        <v>128744.553939</v>
      </c>
      <c r="BE91" s="1340">
        <f t="shared" si="234"/>
        <v>3992.9752490000001</v>
      </c>
      <c r="BF91" s="1340">
        <f t="shared" si="234"/>
        <v>12618.733026</v>
      </c>
      <c r="BG91" s="1340">
        <f t="shared" si="234"/>
        <v>7848.7283399999997</v>
      </c>
      <c r="BH91" s="1340">
        <f t="shared" si="234"/>
        <v>10654.674633000001</v>
      </c>
      <c r="BI91" s="1340">
        <f t="shared" si="234"/>
        <v>10744.778007999999</v>
      </c>
      <c r="BJ91" s="1340">
        <f t="shared" si="234"/>
        <v>12697.076551999999</v>
      </c>
      <c r="BK91" s="1340">
        <f t="shared" si="234"/>
        <v>9472.0604570000032</v>
      </c>
      <c r="BL91" s="1340">
        <f t="shared" si="234"/>
        <v>17659.733647000001</v>
      </c>
      <c r="BM91" s="1340">
        <f t="shared" si="234"/>
        <v>9901.3854940000001</v>
      </c>
      <c r="BN91" s="1340">
        <f t="shared" si="234"/>
        <v>14600.524173</v>
      </c>
      <c r="BO91" s="1340">
        <f t="shared" si="234"/>
        <v>8048.7953580000003</v>
      </c>
      <c r="BP91" s="1340">
        <f t="shared" si="234"/>
        <v>10505.089002000001</v>
      </c>
      <c r="BQ91" s="1710">
        <f t="shared" ref="BQ91:CC91" si="235">BQ15-BQ139</f>
        <v>138712.51761600003</v>
      </c>
      <c r="BR91" s="1930">
        <f t="shared" si="235"/>
        <v>14915.128452999999</v>
      </c>
      <c r="BS91" s="1930">
        <f t="shared" si="235"/>
        <v>8839.4004990000012</v>
      </c>
      <c r="BT91" s="1930">
        <f t="shared" si="235"/>
        <v>9874.7062619999979</v>
      </c>
      <c r="BU91" s="1930">
        <f t="shared" si="235"/>
        <v>10410.232276000001</v>
      </c>
      <c r="BV91" s="1930">
        <f t="shared" si="235"/>
        <v>9847.3284500000009</v>
      </c>
      <c r="BW91" s="1930">
        <f t="shared" si="235"/>
        <v>9023.0886109999992</v>
      </c>
      <c r="BX91" s="1930">
        <f t="shared" si="235"/>
        <v>16722.273008999997</v>
      </c>
      <c r="BY91" s="1930">
        <f t="shared" si="235"/>
        <v>10031.821041000001</v>
      </c>
      <c r="BZ91" s="1930">
        <f t="shared" si="235"/>
        <v>15599.796676000002</v>
      </c>
      <c r="CA91" s="1930">
        <f t="shared" si="235"/>
        <v>12189.961691</v>
      </c>
      <c r="CB91" s="1930">
        <f t="shared" si="235"/>
        <v>9953.8160609999995</v>
      </c>
      <c r="CC91" s="1931">
        <f t="shared" si="235"/>
        <v>11304.964587</v>
      </c>
      <c r="CD91" s="1710">
        <f t="shared" ref="CD91:CP91" si="236">CD15-CD139</f>
        <v>172903.210666</v>
      </c>
      <c r="CE91" s="1930">
        <f t="shared" si="236"/>
        <v>9578.4423850000003</v>
      </c>
      <c r="CF91" s="1930">
        <f t="shared" si="236"/>
        <v>16662.481604000001</v>
      </c>
      <c r="CG91" s="1930">
        <f t="shared" si="236"/>
        <v>11026.219451999999</v>
      </c>
      <c r="CH91" s="1930">
        <f t="shared" si="236"/>
        <v>10399.977729999999</v>
      </c>
      <c r="CI91" s="1930">
        <f t="shared" si="236"/>
        <v>14127.506871</v>
      </c>
      <c r="CJ91" s="1930">
        <f t="shared" si="236"/>
        <v>12171.603563999999</v>
      </c>
      <c r="CK91" s="1930">
        <f t="shared" si="236"/>
        <v>22207.761887000001</v>
      </c>
      <c r="CL91" s="1930">
        <f t="shared" si="236"/>
        <v>13499.655785000001</v>
      </c>
      <c r="CM91" s="1930">
        <f t="shared" si="236"/>
        <v>18593.206876</v>
      </c>
      <c r="CN91" s="1930">
        <f t="shared" si="236"/>
        <v>11940.087632000001</v>
      </c>
      <c r="CO91" s="1930">
        <f t="shared" si="236"/>
        <v>14323.107129</v>
      </c>
      <c r="CP91" s="1931">
        <f t="shared" si="236"/>
        <v>18373.159750999999</v>
      </c>
      <c r="CQ91" s="1710">
        <f t="shared" si="223"/>
        <v>177085.62252693847</v>
      </c>
      <c r="CR91" s="1711">
        <f>무선!CF253+유선!CF42</f>
        <v>13136.5927120409</v>
      </c>
      <c r="CS91" s="1711">
        <f>무선!CG253+유선!CG42</f>
        <v>12397.062919732423</v>
      </c>
      <c r="CT91" s="1711">
        <f>무선!CH253+유선!CH42</f>
        <v>17339.041837897705</v>
      </c>
      <c r="CU91" s="1711">
        <f>무선!CI253+유선!CI42</f>
        <v>13548.561970604444</v>
      </c>
      <c r="CV91" s="1711">
        <f>무선!CJ253+유선!CJ42</f>
        <v>13742.100859383483</v>
      </c>
      <c r="CW91" s="1711">
        <f>무선!CK253+유선!CK42</f>
        <v>13220.844778198796</v>
      </c>
      <c r="CX91" s="1711">
        <f>무선!CL253+유선!CL42</f>
        <v>19014.913866724666</v>
      </c>
      <c r="CY91" s="1711">
        <f>무선!CM253+유선!CM42</f>
        <v>14192.644629116125</v>
      </c>
      <c r="CZ91" s="1711">
        <f>무선!CN253+유선!CN42</f>
        <v>18487.718058590657</v>
      </c>
      <c r="DA91" s="1711">
        <f>무선!CO253+유선!CO42</f>
        <v>14990.348613879049</v>
      </c>
      <c r="DB91" s="1711">
        <f>무선!CP253+유선!CP42</f>
        <v>13264.240483851305</v>
      </c>
      <c r="DC91" s="2286">
        <f>무선!CQ253+유선!CQ42</f>
        <v>13751.5517969189</v>
      </c>
      <c r="DD91" s="25"/>
      <c r="DE91" s="25"/>
      <c r="DF91" s="25"/>
      <c r="DG91" s="2975">
        <f t="shared" si="217"/>
        <v>7.7424352114520589E-2</v>
      </c>
      <c r="DH91" s="2976">
        <f t="shared" si="218"/>
        <v>0.24648599591170695</v>
      </c>
      <c r="DI91" s="2976">
        <f t="shared" si="219"/>
        <v>2.4189324448218086E-2</v>
      </c>
      <c r="DJ91" s="2976"/>
      <c r="DK91" s="1884"/>
      <c r="DL91" s="2718"/>
      <c r="DM91" s="2718"/>
      <c r="DN91" s="2769"/>
    </row>
    <row r="92" spans="1:121">
      <c r="B92" s="40" t="s">
        <v>121</v>
      </c>
      <c r="C92" s="42"/>
      <c r="D92" s="797"/>
      <c r="E92" s="1342"/>
      <c r="F92" s="1342"/>
      <c r="G92" s="1342"/>
      <c r="H92" s="1342"/>
      <c r="I92" s="1342"/>
      <c r="J92" s="1342"/>
      <c r="K92" s="1342"/>
      <c r="L92" s="1342"/>
      <c r="M92" s="1342"/>
      <c r="N92" s="1342"/>
      <c r="O92" s="1342"/>
      <c r="P92" s="1342"/>
      <c r="Q92" s="64">
        <f>SUM(R92:AC92)</f>
        <v>50046.036487454548</v>
      </c>
      <c r="R92" s="1342">
        <f>무선!F116+무선!F181+유선!F32+무선!F129</f>
        <v>3887.387898</v>
      </c>
      <c r="S92" s="1342">
        <f>무선!G116+무선!G181+유선!G32+무선!G129</f>
        <v>4031.233029</v>
      </c>
      <c r="T92" s="1342">
        <f>무선!H116+무선!H181+유선!H32+무선!H129</f>
        <v>4225.2128009999997</v>
      </c>
      <c r="U92" s="1342">
        <f>무선!I116+무선!I181+유선!I32+무선!I129</f>
        <v>3943.988859</v>
      </c>
      <c r="V92" s="1342">
        <f>무선!J116+무선!J181+유선!J32+무선!J129</f>
        <v>4359.4259570000004</v>
      </c>
      <c r="W92" s="1342">
        <f>무선!K116+무선!K181+유선!K32+무선!K129</f>
        <v>4087.7616489999996</v>
      </c>
      <c r="X92" s="1342">
        <f>무선!L116+무선!L181+유선!L32+무선!L129</f>
        <v>4106.5561860000007</v>
      </c>
      <c r="Y92" s="1342">
        <f>무선!M116+무선!M181+유선!M32+무선!M129</f>
        <v>4486.5415860000003</v>
      </c>
      <c r="Z92" s="1342">
        <f>무선!N116+무선!N181+유선!N32+무선!N129</f>
        <v>4249.6813099999999</v>
      </c>
      <c r="AA92" s="1342">
        <f>무선!O116+무선!O181+유선!O32+무선!O129</f>
        <v>4383.8211230000006</v>
      </c>
      <c r="AB92" s="1342">
        <f>무선!P116+무선!P181+유선!P32+무선!P129</f>
        <v>4066.9407464545457</v>
      </c>
      <c r="AC92" s="1343">
        <f>무선!Q116+무선!Q181+유선!Q32+무선!Q129</f>
        <v>4217.4853430000003</v>
      </c>
      <c r="AD92" s="64">
        <f t="shared" si="211"/>
        <v>56993.081637999989</v>
      </c>
      <c r="AE92" s="1342">
        <f>무선!S116+무선!S181+유선!S32+무선!S129+무선!S126</f>
        <v>4118.1558699999996</v>
      </c>
      <c r="AF92" s="1342">
        <f>무선!T116+무선!T181+유선!T32+무선!T129+무선!T126</f>
        <v>4617.9168099999952</v>
      </c>
      <c r="AG92" s="1342">
        <f>무선!U116+무선!U181+유선!U32+무선!U129+무선!U126</f>
        <v>4356.2213520000005</v>
      </c>
      <c r="AH92" s="1342">
        <f>무선!V116+무선!V181+유선!V32+무선!V129+무선!V126</f>
        <v>5291.9490050000022</v>
      </c>
      <c r="AI92" s="1342">
        <f>무선!W116+무선!W181+유선!W32+무선!W129+무선!W126</f>
        <v>4656.8343689999965</v>
      </c>
      <c r="AJ92" s="1342">
        <f>무선!X116+무선!X181+유선!X32+무선!X129+무선!X126</f>
        <v>4758.5660719999987</v>
      </c>
      <c r="AK92" s="1342">
        <f>무선!Y116+무선!Y181+유선!Y32+무선!Y129+무선!Y126</f>
        <v>4675.3641399999988</v>
      </c>
      <c r="AL92" s="1342">
        <f>무선!Z116+무선!Z181+유선!Z32+무선!Z129+무선!Z126</f>
        <v>4966.5687379999981</v>
      </c>
      <c r="AM92" s="1342">
        <f>무선!AA116+무선!AA181+유선!AA32+무선!AA129+무선!AA126</f>
        <v>4642.2715719999997</v>
      </c>
      <c r="AN92" s="1342">
        <f>무선!AB116+무선!AB181+유선!AB32+무선!AB129+무선!AB126</f>
        <v>4967.0652089999994</v>
      </c>
      <c r="AO92" s="1342">
        <f>무선!AC116+무선!AC181+유선!AC32+무선!AC129+무선!AC126</f>
        <v>5046.6019699999997</v>
      </c>
      <c r="AP92" s="1342">
        <f>무선!AD116+무선!AD181+유선!AD32+무선!AD129+무선!AD126</f>
        <v>4895.5665310000004</v>
      </c>
      <c r="AQ92" s="64">
        <f t="shared" si="213"/>
        <v>62536.303876999998</v>
      </c>
      <c r="AR92" s="1342"/>
      <c r="AS92" s="1342"/>
      <c r="AT92" s="1342"/>
      <c r="AU92" s="1342"/>
      <c r="AV92" s="1342"/>
      <c r="AW92" s="1342"/>
      <c r="AX92" s="1342"/>
      <c r="AY92" s="1342"/>
      <c r="AZ92" s="1342"/>
      <c r="BA92" s="1342"/>
      <c r="BB92" s="1342"/>
      <c r="BC92" s="1342"/>
      <c r="BD92" s="64">
        <f t="shared" ref="BD92:BP92" si="237">BD16-BD140</f>
        <v>70035.095862000002</v>
      </c>
      <c r="BE92" s="1342">
        <f t="shared" si="237"/>
        <v>6703.5031749999998</v>
      </c>
      <c r="BF92" s="1342">
        <f t="shared" si="237"/>
        <v>5086.3375660000002</v>
      </c>
      <c r="BG92" s="1342">
        <f t="shared" si="237"/>
        <v>5971.603648000003</v>
      </c>
      <c r="BH92" s="1342">
        <f t="shared" si="237"/>
        <v>5556.7620829999987</v>
      </c>
      <c r="BI92" s="1342">
        <f t="shared" si="237"/>
        <v>5871.6058899999962</v>
      </c>
      <c r="BJ92" s="1342">
        <f t="shared" si="237"/>
        <v>5791.4679450000031</v>
      </c>
      <c r="BK92" s="1342">
        <f t="shared" si="237"/>
        <v>6055.5175100000006</v>
      </c>
      <c r="BL92" s="1342">
        <f t="shared" si="237"/>
        <v>5862.3190420000001</v>
      </c>
      <c r="BM92" s="1342">
        <f t="shared" si="237"/>
        <v>5375.0966200000003</v>
      </c>
      <c r="BN92" s="1342">
        <f t="shared" si="237"/>
        <v>6048.1486310000037</v>
      </c>
      <c r="BO92" s="1342">
        <f t="shared" si="237"/>
        <v>5596.4690570000002</v>
      </c>
      <c r="BP92" s="1342">
        <f t="shared" si="237"/>
        <v>6116.2646949999944</v>
      </c>
      <c r="BQ92" s="1710">
        <f t="shared" ref="BQ92:CC92" si="238">BQ16-BQ140</f>
        <v>68532.327231999996</v>
      </c>
      <c r="BR92" s="1932">
        <f t="shared" si="238"/>
        <v>5982.54486</v>
      </c>
      <c r="BS92" s="1932">
        <f t="shared" si="238"/>
        <v>5820.434526</v>
      </c>
      <c r="BT92" s="1932">
        <f t="shared" si="238"/>
        <v>5775.5821100000003</v>
      </c>
      <c r="BU92" s="1932">
        <f t="shared" si="238"/>
        <v>5544.538442</v>
      </c>
      <c r="BV92" s="1932">
        <f t="shared" si="238"/>
        <v>5535.8036609999999</v>
      </c>
      <c r="BW92" s="1932">
        <f t="shared" si="238"/>
        <v>5512.7946979999997</v>
      </c>
      <c r="BX92" s="1932">
        <f t="shared" si="238"/>
        <v>5700.9084980000007</v>
      </c>
      <c r="BY92" s="1932">
        <f t="shared" si="238"/>
        <v>5518.8601709999994</v>
      </c>
      <c r="BZ92" s="1932">
        <f t="shared" si="238"/>
        <v>5370.5683179999996</v>
      </c>
      <c r="CA92" s="1932">
        <f t="shared" si="238"/>
        <v>6036.7560839999987</v>
      </c>
      <c r="CB92" s="1932">
        <f t="shared" si="238"/>
        <v>5024.4769759999999</v>
      </c>
      <c r="CC92" s="1933">
        <f t="shared" si="238"/>
        <v>6709.0588879999968</v>
      </c>
      <c r="CD92" s="1710">
        <f t="shared" ref="CD92:CP92" si="239">CD16-CD140</f>
        <v>61564.254750999993</v>
      </c>
      <c r="CE92" s="1932">
        <f t="shared" si="239"/>
        <v>4992.6384159999998</v>
      </c>
      <c r="CF92" s="1932">
        <f t="shared" si="239"/>
        <v>5297.0257590000019</v>
      </c>
      <c r="CG92" s="1932">
        <f t="shared" si="239"/>
        <v>4926.4714550000008</v>
      </c>
      <c r="CH92" s="1932">
        <f t="shared" si="239"/>
        <v>5660.3339919999999</v>
      </c>
      <c r="CI92" s="1932">
        <f t="shared" si="239"/>
        <v>4622.4100549999994</v>
      </c>
      <c r="CJ92" s="1932">
        <f t="shared" si="239"/>
        <v>5926.0521970000018</v>
      </c>
      <c r="CK92" s="1932">
        <f t="shared" si="239"/>
        <v>5327.657830000001</v>
      </c>
      <c r="CL92" s="1932">
        <f t="shared" si="239"/>
        <v>5029.3205839999964</v>
      </c>
      <c r="CM92" s="1932">
        <f t="shared" si="239"/>
        <v>5254.1221059999962</v>
      </c>
      <c r="CN92" s="1932">
        <f t="shared" si="239"/>
        <v>4402.0951679999971</v>
      </c>
      <c r="CO92" s="1932">
        <f t="shared" si="239"/>
        <v>5025.4107280000007</v>
      </c>
      <c r="CP92" s="1933">
        <f t="shared" si="239"/>
        <v>5100.7164609999963</v>
      </c>
      <c r="CQ92" s="1710">
        <f t="shared" si="223"/>
        <v>57976.257145533986</v>
      </c>
      <c r="CR92" s="1712">
        <f>무선!CF116+무선!CF181+유선!CF32+무선!CF126+무선!CF127+무선!CF129+무선!CF128</f>
        <v>4899.588897683363</v>
      </c>
      <c r="CS92" s="1712">
        <f>무선!CG116+무선!CG181+유선!CG32+무선!CG126+무선!CG127+무선!CG129+무선!CG128</f>
        <v>4874.7796749870331</v>
      </c>
      <c r="CT92" s="1712">
        <f>무선!CH116+무선!CH181+유선!CH32+무선!CH126+무선!CH127+무선!CH129+무선!CH128</f>
        <v>4864.4675732199357</v>
      </c>
      <c r="CU92" s="1712">
        <f>무선!CI116+무선!CI181+유선!CI32+무선!CI126+무선!CI127+무선!CI129+무선!CI128</f>
        <v>4847.5684748792046</v>
      </c>
      <c r="CV92" s="1712">
        <f>무선!CJ116+무선!CJ181+유선!CJ32+무선!CJ126+무선!CJ127+무선!CJ129+무선!CJ128</f>
        <v>4831.4467771235795</v>
      </c>
      <c r="CW92" s="1712">
        <f>무선!CK116+무선!CK181+유선!CK32+무선!CK126+무선!CK127+무선!CK129+무선!CK128</f>
        <v>4812.2150594059549</v>
      </c>
      <c r="CX92" s="1712">
        <f>무선!CL116+무선!CL181+유선!CL32+무선!CL126+무선!CL127+무선!CL129+무선!CL128</f>
        <v>4816.1959092627176</v>
      </c>
      <c r="CY92" s="1712">
        <f>무선!CM116+무선!CM181+유선!CM32+무선!CM126+무선!CM127+무선!CM129+무선!CM128</f>
        <v>4808.5714436644394</v>
      </c>
      <c r="CZ92" s="1712">
        <f>무선!CN116+무선!CN181+유선!CN32+무선!CN126+무선!CN127+무선!CN129+무선!CN128</f>
        <v>4813.0945823466991</v>
      </c>
      <c r="DA92" s="1712">
        <f>무선!CO116+무선!CO181+유선!CO32+무선!CO126+무선!CO127+무선!CO129+무선!CO128</f>
        <v>4812.4139895685485</v>
      </c>
      <c r="DB92" s="1712">
        <f>무선!CP116+무선!CP181+유선!CP32+무선!CP126+무선!CP127+무선!CP129+무선!CP128</f>
        <v>4800.8009631532777</v>
      </c>
      <c r="DC92" s="2287">
        <f>무선!CQ116+무선!CQ181+유선!CQ32+무선!CQ126+무선!CQ127+무선!CQ129+무선!CQ128</f>
        <v>4795.1138002392345</v>
      </c>
      <c r="DD92" s="2588"/>
      <c r="DE92" s="2588"/>
      <c r="DF92" s="2588"/>
      <c r="DG92" s="2975">
        <f t="shared" si="217"/>
        <v>-2.1457365218163216E-2</v>
      </c>
      <c r="DH92" s="2976">
        <f t="shared" si="218"/>
        <v>-0.10167570199989329</v>
      </c>
      <c r="DI92" s="2976">
        <f t="shared" si="219"/>
        <v>-5.8280533403317514E-2</v>
      </c>
      <c r="DJ92" s="2976"/>
      <c r="DK92" s="1884"/>
      <c r="DL92" s="2718"/>
      <c r="DM92" s="2718"/>
      <c r="DN92" s="2603"/>
    </row>
    <row r="93" spans="1:121">
      <c r="B93" s="40" t="s">
        <v>122</v>
      </c>
      <c r="C93" s="41"/>
      <c r="D93" s="66"/>
      <c r="E93" s="1340"/>
      <c r="F93" s="1340"/>
      <c r="G93" s="1340"/>
      <c r="H93" s="1340"/>
      <c r="I93" s="1340"/>
      <c r="J93" s="1340"/>
      <c r="K93" s="1340"/>
      <c r="L93" s="1340"/>
      <c r="M93" s="1340"/>
      <c r="N93" s="1340"/>
      <c r="O93" s="1340"/>
      <c r="P93" s="1340"/>
      <c r="Q93" s="64">
        <f>SUM(R93:AC93)</f>
        <v>41978.851565000004</v>
      </c>
      <c r="R93" s="1340">
        <f>기타수익!D37+기타수익!D40+기타수익!D44</f>
        <v>3900.5944549999995</v>
      </c>
      <c r="S93" s="1340">
        <f>기타수익!E37+기타수익!E40+기타수익!E44</f>
        <v>4078.3098650000002</v>
      </c>
      <c r="T93" s="1340">
        <f>기타수익!F37+기타수익!F40+기타수익!F44</f>
        <v>4105.4135559999995</v>
      </c>
      <c r="U93" s="1340">
        <f>기타수익!G37+기타수익!G40+기타수익!G44</f>
        <v>3869.0418320000003</v>
      </c>
      <c r="V93" s="1340">
        <f>기타수익!H37+기타수익!H40+기타수익!H44</f>
        <v>3215.4813730000001</v>
      </c>
      <c r="W93" s="1340">
        <f>기타수익!I37+기타수익!I40+기타수익!I44</f>
        <v>3285.6923129999996</v>
      </c>
      <c r="X93" s="1340">
        <f>기타수익!J37+기타수익!J40+기타수익!J44</f>
        <v>3555.4653109999999</v>
      </c>
      <c r="Y93" s="1340">
        <f>기타수익!K37+기타수익!K40+기타수익!K44</f>
        <v>3281.4724390000001</v>
      </c>
      <c r="Z93" s="1340">
        <f>기타수익!L37+기타수익!L40+기타수익!L44</f>
        <v>3187.3137360000001</v>
      </c>
      <c r="AA93" s="1340">
        <f>기타수익!M37+기타수익!M40+기타수익!M44</f>
        <v>3126.9627129999999</v>
      </c>
      <c r="AB93" s="1340">
        <f>기타수익!N37+기타수익!N40+기타수익!N44</f>
        <v>3137.7480500000001</v>
      </c>
      <c r="AC93" s="1341">
        <f>기타수익!O37+기타수익!O40+기타수익!O44</f>
        <v>3235.3559219999997</v>
      </c>
      <c r="AD93" s="64">
        <f t="shared" si="211"/>
        <v>38535.440178000004</v>
      </c>
      <c r="AE93" s="1340">
        <f>기타수익!Q37+기타수익!Q40+기타수익!Q44</f>
        <v>3102.2034699999999</v>
      </c>
      <c r="AF93" s="1340">
        <f>기타수익!R37+기타수익!R40+기타수익!R44</f>
        <v>3084.0044250000001</v>
      </c>
      <c r="AG93" s="1340">
        <f>기타수익!S37+기타수익!S40+기타수익!S44</f>
        <v>3042.893188</v>
      </c>
      <c r="AH93" s="1340">
        <f>기타수익!T37+기타수익!T40+기타수익!T44</f>
        <v>3291.5240140000001</v>
      </c>
      <c r="AI93" s="1340">
        <f>기타수익!U37+기타수익!U40+기타수익!U44</f>
        <v>3178.0334660000003</v>
      </c>
      <c r="AJ93" s="1340">
        <f>기타수익!V37+기타수익!V40+기타수익!V44</f>
        <v>3116.7747009999998</v>
      </c>
      <c r="AK93" s="1340">
        <f>기타수익!W37+기타수익!W40+기타수익!W44</f>
        <v>3344.4980020000003</v>
      </c>
      <c r="AL93" s="1340">
        <f>기타수익!X37+기타수익!X40+기타수익!X44</f>
        <v>3090.6358409999998</v>
      </c>
      <c r="AM93" s="1340">
        <f>기타수익!Y37+기타수익!Y40+기타수익!Y44</f>
        <v>3336.0826670000001</v>
      </c>
      <c r="AN93" s="1340">
        <f>기타수익!Z37+기타수익!Z40+기타수익!Z44</f>
        <v>3485.0647020000006</v>
      </c>
      <c r="AO93" s="1340">
        <f>기타수익!AA37+기타수익!AA40+기타수익!AA44</f>
        <v>3178.1550450000004</v>
      </c>
      <c r="AP93" s="1340">
        <f>기타수익!AB37+기타수익!AB40+기타수익!AB44</f>
        <v>3411.5706570000002</v>
      </c>
      <c r="AQ93" s="64">
        <f t="shared" si="213"/>
        <v>43388.485001000001</v>
      </c>
      <c r="AR93" s="1340"/>
      <c r="AS93" s="1340"/>
      <c r="AT93" s="1340"/>
      <c r="AU93" s="1340"/>
      <c r="AV93" s="1340"/>
      <c r="AW93" s="1340"/>
      <c r="AX93" s="1340"/>
      <c r="AY93" s="1340"/>
      <c r="AZ93" s="1340"/>
      <c r="BA93" s="1340"/>
      <c r="BB93" s="1340"/>
      <c r="BC93" s="1340"/>
      <c r="BD93" s="64">
        <f t="shared" ref="BD93:BP93" si="240">BD17-BD141</f>
        <v>43214.429623999989</v>
      </c>
      <c r="BE93" s="1340">
        <f t="shared" si="240"/>
        <v>4091.7431279999996</v>
      </c>
      <c r="BF93" s="1340">
        <f t="shared" si="240"/>
        <v>3323.8089260000002</v>
      </c>
      <c r="BG93" s="1340">
        <f t="shared" si="240"/>
        <v>4040.5072889999992</v>
      </c>
      <c r="BH93" s="1340">
        <f t="shared" si="240"/>
        <v>3318.8031819999997</v>
      </c>
      <c r="BI93" s="1340">
        <f t="shared" si="240"/>
        <v>3264.3947700000003</v>
      </c>
      <c r="BJ93" s="1340">
        <f t="shared" si="240"/>
        <v>3987.872464</v>
      </c>
      <c r="BK93" s="1340">
        <f t="shared" si="240"/>
        <v>3522.3917120000001</v>
      </c>
      <c r="BL93" s="1340">
        <f t="shared" si="240"/>
        <v>3386.8751659999975</v>
      </c>
      <c r="BM93" s="1340">
        <f t="shared" si="240"/>
        <v>4308.3046970000005</v>
      </c>
      <c r="BN93" s="1340">
        <f t="shared" si="240"/>
        <v>3380.5491319999996</v>
      </c>
      <c r="BO93" s="1340">
        <f t="shared" si="240"/>
        <v>3345.1499659999999</v>
      </c>
      <c r="BP93" s="1340">
        <f t="shared" si="240"/>
        <v>3244.029192</v>
      </c>
      <c r="BQ93" s="1710">
        <f t="shared" ref="BQ93:CC93" si="241">BQ17-BQ141</f>
        <v>50568.263004999986</v>
      </c>
      <c r="BR93" s="1930">
        <f t="shared" si="241"/>
        <v>4031.3523450000002</v>
      </c>
      <c r="BS93" s="1930">
        <f t="shared" si="241"/>
        <v>3826.0220049999998</v>
      </c>
      <c r="BT93" s="1930">
        <f t="shared" si="241"/>
        <v>3298.5350889999995</v>
      </c>
      <c r="BU93" s="1930">
        <f t="shared" si="241"/>
        <v>4539.1333699999986</v>
      </c>
      <c r="BV93" s="1930">
        <f t="shared" si="241"/>
        <v>3595.6874130000001</v>
      </c>
      <c r="BW93" s="1930">
        <f t="shared" si="241"/>
        <v>4163.7191219999995</v>
      </c>
      <c r="BX93" s="1930">
        <f t="shared" si="241"/>
        <v>4339.7480189999997</v>
      </c>
      <c r="BY93" s="1930">
        <f t="shared" si="241"/>
        <v>4829.6928939999998</v>
      </c>
      <c r="BZ93" s="1930">
        <f t="shared" si="241"/>
        <v>5370.0383899999997</v>
      </c>
      <c r="CA93" s="1930">
        <f t="shared" si="241"/>
        <v>3320.7584890000003</v>
      </c>
      <c r="CB93" s="1930">
        <f t="shared" si="241"/>
        <v>5225.1018020000001</v>
      </c>
      <c r="CC93" s="1931">
        <f t="shared" si="241"/>
        <v>4028.4740669999996</v>
      </c>
      <c r="CD93" s="1710">
        <f t="shared" ref="CD93:CP93" si="242">CD17-CD141</f>
        <v>46651.910759999999</v>
      </c>
      <c r="CE93" s="1930">
        <f t="shared" si="242"/>
        <v>3277.9204500000005</v>
      </c>
      <c r="CF93" s="1930">
        <f t="shared" si="242"/>
        <v>3821.1540289999998</v>
      </c>
      <c r="CG93" s="1930">
        <f t="shared" si="242"/>
        <v>3976.3803379999995</v>
      </c>
      <c r="CH93" s="1930">
        <f t="shared" si="242"/>
        <v>3982.9534259999996</v>
      </c>
      <c r="CI93" s="1930">
        <f t="shared" si="242"/>
        <v>4095.1803520000003</v>
      </c>
      <c r="CJ93" s="1930">
        <f t="shared" si="242"/>
        <v>4161.8137779999997</v>
      </c>
      <c r="CK93" s="1930">
        <f t="shared" si="242"/>
        <v>3667.5877210000003</v>
      </c>
      <c r="CL93" s="1930">
        <f t="shared" si="242"/>
        <v>3731.7680150000001</v>
      </c>
      <c r="CM93" s="1930">
        <f t="shared" si="242"/>
        <v>3776.1062999999999</v>
      </c>
      <c r="CN93" s="1930">
        <f t="shared" si="242"/>
        <v>3789.5173909999999</v>
      </c>
      <c r="CO93" s="1930">
        <f t="shared" si="242"/>
        <v>3673.4066470000002</v>
      </c>
      <c r="CP93" s="1931">
        <f t="shared" si="242"/>
        <v>4698.1223129999998</v>
      </c>
      <c r="CQ93" s="1710">
        <f t="shared" si="223"/>
        <v>46904.443333282667</v>
      </c>
      <c r="CR93" s="1711">
        <f>기타수익!CD37+기타수익!CD40+기타수익!CD44</f>
        <v>3911.7869444402218</v>
      </c>
      <c r="CS93" s="1711">
        <f>기타수익!CE37+기타수익!CE40+기타수익!CE44</f>
        <v>3884.7869444402218</v>
      </c>
      <c r="CT93" s="1711">
        <f>기타수익!CF37+기타수익!CF40+기타수익!CF44</f>
        <v>3886.7869444402218</v>
      </c>
      <c r="CU93" s="1711">
        <f>기타수익!CG37+기타수익!CG40+기타수익!CG44</f>
        <v>3886.7869444402218</v>
      </c>
      <c r="CV93" s="1711">
        <f>기타수익!CH37+기타수익!CH40+기타수익!CH44</f>
        <v>3886.7869444402218</v>
      </c>
      <c r="CW93" s="1711">
        <f>기타수익!CI37+기타수익!CI40+기타수익!CI44</f>
        <v>3886.7869444402218</v>
      </c>
      <c r="CX93" s="1711">
        <f>기타수익!CJ37+기타수익!CJ40+기타수익!CJ44</f>
        <v>3926.7869444402218</v>
      </c>
      <c r="CY93" s="1711">
        <f>기타수익!CK37+기타수익!CK40+기타수익!CK44</f>
        <v>3926.7869444402218</v>
      </c>
      <c r="CZ93" s="1711">
        <f>기타수익!CL37+기타수익!CL40+기타수익!CL44</f>
        <v>3926.7869444402218</v>
      </c>
      <c r="DA93" s="1711">
        <f>기타수익!CM37+기타수익!CM40+기타수익!CM44</f>
        <v>3926.7869444402218</v>
      </c>
      <c r="DB93" s="1711">
        <f>기타수익!CN37+기타수익!CN40+기타수익!CN44</f>
        <v>3926.7869444402218</v>
      </c>
      <c r="DC93" s="2286">
        <f>기타수익!CO37+기타수익!CO40+기타수익!CO44</f>
        <v>3926.7869444402218</v>
      </c>
      <c r="DD93" s="25"/>
      <c r="DE93" s="25"/>
      <c r="DF93" s="25"/>
      <c r="DG93" s="2975">
        <f t="shared" si="217"/>
        <v>0.17017078427238808</v>
      </c>
      <c r="DH93" s="2976">
        <f t="shared" si="218"/>
        <v>-7.7446841403525202E-2</v>
      </c>
      <c r="DI93" s="2976">
        <f t="shared" si="219"/>
        <v>5.4131239035806189E-3</v>
      </c>
      <c r="DJ93" s="2976"/>
      <c r="DK93" s="1884"/>
      <c r="DL93" s="2718"/>
      <c r="DM93" s="2718"/>
    </row>
    <row r="94" spans="1:121">
      <c r="B94" s="30" t="s">
        <v>63</v>
      </c>
      <c r="C94" s="31"/>
      <c r="D94" s="32"/>
      <c r="E94" s="417"/>
      <c r="F94" s="417"/>
      <c r="G94" s="417"/>
      <c r="H94" s="417"/>
      <c r="I94" s="417"/>
      <c r="J94" s="417"/>
      <c r="K94" s="417"/>
      <c r="L94" s="417"/>
      <c r="M94" s="417"/>
      <c r="N94" s="417"/>
      <c r="O94" s="417"/>
      <c r="P94" s="417"/>
      <c r="Q94" s="1031">
        <f t="shared" ref="Q94" si="243">SUM(R94:AC94)</f>
        <v>483999.98547099996</v>
      </c>
      <c r="R94" s="417">
        <f>무선!F220</f>
        <v>43105.112013999998</v>
      </c>
      <c r="S94" s="417">
        <f>무선!G220</f>
        <v>43998.350915000003</v>
      </c>
      <c r="T94" s="417">
        <f>무선!H220</f>
        <v>41806.971897000003</v>
      </c>
      <c r="U94" s="417">
        <f>무선!I220</f>
        <v>35584.579238999999</v>
      </c>
      <c r="V94" s="417">
        <f>무선!J220</f>
        <v>37648.167332999998</v>
      </c>
      <c r="W94" s="417">
        <f>무선!K220</f>
        <v>30523.117059</v>
      </c>
      <c r="X94" s="417">
        <f>무선!L220</f>
        <v>29757.589748999999</v>
      </c>
      <c r="Y94" s="417">
        <f>무선!M220</f>
        <v>51057.503627999999</v>
      </c>
      <c r="Z94" s="417">
        <f>무선!N220</f>
        <v>38112.291375000001</v>
      </c>
      <c r="AA94" s="417">
        <f>무선!O220</f>
        <v>41598.217874000002</v>
      </c>
      <c r="AB94" s="417">
        <f>무선!P220</f>
        <v>48680.890015999998</v>
      </c>
      <c r="AC94" s="1036">
        <f>무선!Q220</f>
        <v>42127.194371999998</v>
      </c>
      <c r="AD94" s="1031">
        <f t="shared" si="211"/>
        <v>511586.04654300003</v>
      </c>
      <c r="AE94" s="417">
        <f>무선!S220</f>
        <v>43031.800007999998</v>
      </c>
      <c r="AF94" s="417">
        <f>무선!T220</f>
        <v>36204.685917000003</v>
      </c>
      <c r="AG94" s="417">
        <f>무선!U220</f>
        <v>36678.753780999999</v>
      </c>
      <c r="AH94" s="417">
        <f>무선!V220</f>
        <v>39733.485161999997</v>
      </c>
      <c r="AI94" s="417">
        <f>무선!W220</f>
        <v>36132.010391999997</v>
      </c>
      <c r="AJ94" s="417">
        <f>무선!X220</f>
        <v>37457.078500000003</v>
      </c>
      <c r="AK94" s="417">
        <f>무선!Y220</f>
        <v>34547.227576999998</v>
      </c>
      <c r="AL94" s="417">
        <f>무선!Z220</f>
        <v>57208.191301999999</v>
      </c>
      <c r="AM94" s="417">
        <f>무선!AA220</f>
        <v>50030.266527</v>
      </c>
      <c r="AN94" s="417">
        <f>무선!AB220</f>
        <v>64431.455967000002</v>
      </c>
      <c r="AO94" s="417">
        <f>무선!AC220</f>
        <v>48955.600170999998</v>
      </c>
      <c r="AP94" s="417">
        <f>무선!AD220</f>
        <v>40314.611238999998</v>
      </c>
      <c r="AQ94" s="1031">
        <f t="shared" si="213"/>
        <v>497164.10325600003</v>
      </c>
      <c r="AR94" s="417"/>
      <c r="AS94" s="417"/>
      <c r="AT94" s="417"/>
      <c r="AU94" s="417"/>
      <c r="AV94" s="417"/>
      <c r="AW94" s="417"/>
      <c r="AX94" s="417"/>
      <c r="AY94" s="417"/>
      <c r="AZ94" s="417"/>
      <c r="BA94" s="417"/>
      <c r="BB94" s="417"/>
      <c r="BC94" s="417"/>
      <c r="BD94" s="1031">
        <f t="shared" ref="BD94:BP94" si="244">BD18-BD142</f>
        <v>445802.48642799997</v>
      </c>
      <c r="BE94" s="417">
        <f t="shared" si="244"/>
        <v>31514.573626000001</v>
      </c>
      <c r="BF94" s="417">
        <f t="shared" si="244"/>
        <v>54553.679401000001</v>
      </c>
      <c r="BG94" s="417">
        <f t="shared" si="244"/>
        <v>34295.276424000003</v>
      </c>
      <c r="BH94" s="417">
        <f t="shared" si="244"/>
        <v>29578.125067000001</v>
      </c>
      <c r="BI94" s="417">
        <f t="shared" si="244"/>
        <v>29658.431233000003</v>
      </c>
      <c r="BJ94" s="417">
        <f t="shared" si="244"/>
        <v>26043.734444000002</v>
      </c>
      <c r="BK94" s="417">
        <f t="shared" si="244"/>
        <v>22551.700525</v>
      </c>
      <c r="BL94" s="417">
        <f t="shared" si="244"/>
        <v>61756.430166999999</v>
      </c>
      <c r="BM94" s="417">
        <f t="shared" si="244"/>
        <v>23250.634404</v>
      </c>
      <c r="BN94" s="417">
        <f t="shared" si="244"/>
        <v>74369.222055999999</v>
      </c>
      <c r="BO94" s="417">
        <f t="shared" si="244"/>
        <v>33079.326953000003</v>
      </c>
      <c r="BP94" s="417">
        <f t="shared" si="244"/>
        <v>25151.352127999999</v>
      </c>
      <c r="BQ94" s="1031">
        <f t="shared" ref="BQ94:CC94" si="245">BQ18-BQ142</f>
        <v>551549.076046</v>
      </c>
      <c r="BR94" s="1708">
        <f t="shared" si="245"/>
        <v>99554.839191999999</v>
      </c>
      <c r="BS94" s="1708">
        <f t="shared" si="245"/>
        <v>42465.024247999994</v>
      </c>
      <c r="BT94" s="1708">
        <f t="shared" si="245"/>
        <v>35734.624669999997</v>
      </c>
      <c r="BU94" s="1708">
        <f t="shared" si="245"/>
        <v>27386.264682000001</v>
      </c>
      <c r="BV94" s="1708">
        <f t="shared" si="245"/>
        <v>24407.464198000001</v>
      </c>
      <c r="BW94" s="1708">
        <f t="shared" si="245"/>
        <v>45708.476448000001</v>
      </c>
      <c r="BX94" s="1708">
        <f t="shared" si="245"/>
        <v>55377.696685000003</v>
      </c>
      <c r="BY94" s="1708">
        <f t="shared" si="245"/>
        <v>34845.848840999999</v>
      </c>
      <c r="BZ94" s="1708">
        <f t="shared" si="245"/>
        <v>66074.463610999999</v>
      </c>
      <c r="CA94" s="1708">
        <f t="shared" si="245"/>
        <v>60903.572144999998</v>
      </c>
      <c r="CB94" s="1708">
        <f t="shared" si="245"/>
        <v>28435.304437999999</v>
      </c>
      <c r="CC94" s="1334">
        <f t="shared" si="245"/>
        <v>30655.496888000001</v>
      </c>
      <c r="CD94" s="1031">
        <f t="shared" ref="CD94:CP94" si="246">CD18-CD142</f>
        <v>458922.97127899999</v>
      </c>
      <c r="CE94" s="1708">
        <f t="shared" si="246"/>
        <v>36932.064918999997</v>
      </c>
      <c r="CF94" s="1708">
        <f t="shared" si="246"/>
        <v>74759.737380000006</v>
      </c>
      <c r="CG94" s="1708">
        <f t="shared" si="246"/>
        <v>34350.432002000001</v>
      </c>
      <c r="CH94" s="1708">
        <f t="shared" si="246"/>
        <v>23208.515510999998</v>
      </c>
      <c r="CI94" s="1708">
        <f t="shared" si="246"/>
        <v>27317.432278</v>
      </c>
      <c r="CJ94" s="1708">
        <f t="shared" si="246"/>
        <v>28928.551144000001</v>
      </c>
      <c r="CK94" s="1708">
        <f t="shared" si="246"/>
        <v>51755.397718</v>
      </c>
      <c r="CL94" s="1708">
        <f t="shared" si="246"/>
        <v>31119.655078000003</v>
      </c>
      <c r="CM94" s="1708">
        <f t="shared" si="246"/>
        <v>58344.542514000001</v>
      </c>
      <c r="CN94" s="1708">
        <f t="shared" si="246"/>
        <v>36299.379496000001</v>
      </c>
      <c r="CO94" s="1708">
        <f t="shared" si="246"/>
        <v>32133.826251000002</v>
      </c>
      <c r="CP94" s="1334">
        <f t="shared" si="246"/>
        <v>23773.436988000001</v>
      </c>
      <c r="CQ94" s="1031">
        <f t="shared" si="223"/>
        <v>509651.39942743856</v>
      </c>
      <c r="CR94" s="1708">
        <f>무선!CF220</f>
        <v>35069.631161535595</v>
      </c>
      <c r="CS94" s="1708">
        <f>무선!CG220</f>
        <v>31883.726135465273</v>
      </c>
      <c r="CT94" s="1708">
        <f>무선!CH220</f>
        <v>67645.312715060572</v>
      </c>
      <c r="CU94" s="1708">
        <f>무선!CI220</f>
        <v>38042.903888392924</v>
      </c>
      <c r="CV94" s="1708">
        <f>무선!CJ220</f>
        <v>36865.096241444298</v>
      </c>
      <c r="CW94" s="1708">
        <f>무선!CK220</f>
        <v>32340.245337216176</v>
      </c>
      <c r="CX94" s="1708">
        <f>무선!CL220</f>
        <v>52738.557543794348</v>
      </c>
      <c r="CY94" s="1708">
        <f>무선!CM220</f>
        <v>39326.881790486135</v>
      </c>
      <c r="CZ94" s="1708">
        <f>무선!CN220</f>
        <v>63990.83321227516</v>
      </c>
      <c r="DA94" s="1708">
        <f>무선!CO220</f>
        <v>41035.844350675492</v>
      </c>
      <c r="DB94" s="1708">
        <f>무선!CP220</f>
        <v>36290.369411431304</v>
      </c>
      <c r="DC94" s="1334">
        <f>무선!CQ220</f>
        <v>34421.997639661313</v>
      </c>
      <c r="DD94" s="2587"/>
      <c r="DE94" s="2587"/>
      <c r="DF94" s="2587"/>
      <c r="DG94" s="2975">
        <f t="shared" si="217"/>
        <v>0.2372050242817092</v>
      </c>
      <c r="DH94" s="2977">
        <f t="shared" si="218"/>
        <v>-0.16793810159383693</v>
      </c>
      <c r="DI94" s="2977">
        <f t="shared" si="219"/>
        <v>0.11053800163251903</v>
      </c>
      <c r="DJ94" s="2977"/>
      <c r="DK94" s="1884"/>
      <c r="DL94" s="2718"/>
      <c r="DM94" s="2718"/>
      <c r="DN94" s="2605"/>
    </row>
    <row r="95" spans="1:121">
      <c r="B95" s="30" t="s">
        <v>64</v>
      </c>
      <c r="C95" s="31"/>
      <c r="D95" s="32"/>
      <c r="E95" s="417"/>
      <c r="F95" s="417"/>
      <c r="G95" s="417"/>
      <c r="H95" s="417"/>
      <c r="I95" s="417"/>
      <c r="J95" s="417"/>
      <c r="K95" s="417"/>
      <c r="L95" s="417"/>
      <c r="M95" s="417"/>
      <c r="N95" s="417"/>
      <c r="O95" s="417"/>
      <c r="P95" s="417"/>
      <c r="Q95" s="1031">
        <f>SUM(R95:AC95)</f>
        <v>177195.7826564546</v>
      </c>
      <c r="R95" s="417">
        <f t="shared" ref="R95:S95" si="247">R88-R94</f>
        <v>13846.034781000002</v>
      </c>
      <c r="S95" s="417">
        <f t="shared" si="247"/>
        <v>13835.860752000001</v>
      </c>
      <c r="T95" s="417">
        <f t="shared" ref="T95:U95" si="248">T88-T94</f>
        <v>14995.326979999991</v>
      </c>
      <c r="U95" s="417">
        <f t="shared" si="248"/>
        <v>14710.432122000006</v>
      </c>
      <c r="V95" s="417">
        <f t="shared" ref="V95:W95" si="249">V88-V94</f>
        <v>14776.759625000006</v>
      </c>
      <c r="W95" s="417">
        <f t="shared" si="249"/>
        <v>14703.732153000001</v>
      </c>
      <c r="X95" s="417">
        <f t="shared" ref="X95:AC95" si="250">X88-X94</f>
        <v>14364.674621000006</v>
      </c>
      <c r="Y95" s="417">
        <f t="shared" si="250"/>
        <v>15216.319951000005</v>
      </c>
      <c r="Z95" s="417">
        <f t="shared" si="250"/>
        <v>14025.202424000003</v>
      </c>
      <c r="AA95" s="417">
        <f t="shared" si="250"/>
        <v>15910.059458999996</v>
      </c>
      <c r="AB95" s="417">
        <f t="shared" si="250"/>
        <v>16773.693338454548</v>
      </c>
      <c r="AC95" s="1036">
        <f t="shared" si="250"/>
        <v>14037.686450000001</v>
      </c>
      <c r="AD95" s="1031">
        <f t="shared" si="211"/>
        <v>184262.77839800005</v>
      </c>
      <c r="AE95" s="417">
        <f t="shared" ref="AE95:AP95" si="251">AE88-AE94</f>
        <v>13694.766429999996</v>
      </c>
      <c r="AF95" s="417">
        <f t="shared" si="251"/>
        <v>14493.04959599999</v>
      </c>
      <c r="AG95" s="417">
        <f t="shared" si="251"/>
        <v>14282.227453000007</v>
      </c>
      <c r="AH95" s="417">
        <f t="shared" si="251"/>
        <v>13749.465810000002</v>
      </c>
      <c r="AI95" s="417">
        <f t="shared" si="251"/>
        <v>14972.417221000003</v>
      </c>
      <c r="AJ95" s="417">
        <f t="shared" si="251"/>
        <v>15606.602019999998</v>
      </c>
      <c r="AK95" s="417">
        <f t="shared" si="251"/>
        <v>15042.182536</v>
      </c>
      <c r="AL95" s="417">
        <f t="shared" si="251"/>
        <v>14904.937482999994</v>
      </c>
      <c r="AM95" s="417">
        <f t="shared" si="251"/>
        <v>15808.139643000002</v>
      </c>
      <c r="AN95" s="417">
        <f t="shared" si="251"/>
        <v>16043.405719999995</v>
      </c>
      <c r="AO95" s="417">
        <f t="shared" si="251"/>
        <v>15471.882139000001</v>
      </c>
      <c r="AP95" s="417">
        <f t="shared" si="251"/>
        <v>21378.58234700001</v>
      </c>
      <c r="AQ95" s="1031">
        <f t="shared" si="213"/>
        <v>214906.12233600006</v>
      </c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1031">
        <f t="shared" ref="BD95:BP95" si="252">BD19-BD143</f>
        <v>222596.63796300004</v>
      </c>
      <c r="BE95" s="417">
        <f t="shared" si="252"/>
        <v>14029.838237</v>
      </c>
      <c r="BF95" s="417">
        <f t="shared" si="252"/>
        <v>17109.939695999998</v>
      </c>
      <c r="BG95" s="417">
        <f t="shared" si="252"/>
        <v>17117.533712</v>
      </c>
      <c r="BH95" s="417">
        <f t="shared" si="252"/>
        <v>16962.985862000005</v>
      </c>
      <c r="BI95" s="417">
        <f t="shared" si="252"/>
        <v>16944.534167000002</v>
      </c>
      <c r="BJ95" s="417">
        <f t="shared" si="252"/>
        <v>20317.330344000002</v>
      </c>
      <c r="BK95" s="417">
        <f t="shared" si="252"/>
        <v>18016.439153000007</v>
      </c>
      <c r="BL95" s="417">
        <f t="shared" si="252"/>
        <v>20469.755969999991</v>
      </c>
      <c r="BM95" s="417">
        <f t="shared" si="252"/>
        <v>20181.748336000001</v>
      </c>
      <c r="BN95" s="417">
        <f t="shared" si="252"/>
        <v>24305.886015000004</v>
      </c>
      <c r="BO95" s="417">
        <f t="shared" si="252"/>
        <v>17305.320515000003</v>
      </c>
      <c r="BP95" s="417">
        <f t="shared" si="252"/>
        <v>19835.325955999993</v>
      </c>
      <c r="BQ95" s="1031">
        <f t="shared" ref="BQ95:CC95" si="253">BQ19-BQ143</f>
        <v>215801.37342999998</v>
      </c>
      <c r="BR95" s="1708">
        <f t="shared" si="253"/>
        <v>19104.41947500001</v>
      </c>
      <c r="BS95" s="1708">
        <f t="shared" si="253"/>
        <v>17314.123499000005</v>
      </c>
      <c r="BT95" s="1708">
        <f t="shared" si="253"/>
        <v>17251.963365</v>
      </c>
      <c r="BU95" s="1708">
        <f t="shared" si="253"/>
        <v>16781.317930999998</v>
      </c>
      <c r="BV95" s="1708">
        <f t="shared" si="253"/>
        <v>15867.867670999996</v>
      </c>
      <c r="BW95" s="1708">
        <f t="shared" si="253"/>
        <v>15424.870455</v>
      </c>
      <c r="BX95" s="1708">
        <f t="shared" si="253"/>
        <v>19480.149688999998</v>
      </c>
      <c r="BY95" s="1708">
        <f t="shared" si="253"/>
        <v>16699.148432000002</v>
      </c>
      <c r="BZ95" s="1708">
        <f t="shared" si="253"/>
        <v>21675.496890000006</v>
      </c>
      <c r="CA95" s="1708">
        <f t="shared" si="253"/>
        <v>20583.189741999988</v>
      </c>
      <c r="CB95" s="1708">
        <f t="shared" si="253"/>
        <v>17353.891340999991</v>
      </c>
      <c r="CC95" s="1334">
        <f t="shared" si="253"/>
        <v>18264.934939999999</v>
      </c>
      <c r="CD95" s="1031">
        <f t="shared" ref="CD95:CP95" si="254">CD19-CD143</f>
        <v>238876.63416000005</v>
      </c>
      <c r="CE95" s="1708">
        <f t="shared" si="254"/>
        <v>16424.461543999998</v>
      </c>
      <c r="CF95" s="1708">
        <f t="shared" si="254"/>
        <v>18943.952444999999</v>
      </c>
      <c r="CG95" s="1708">
        <f t="shared" si="254"/>
        <v>17732.018778999998</v>
      </c>
      <c r="CH95" s="1708">
        <f t="shared" si="254"/>
        <v>18142.207578000001</v>
      </c>
      <c r="CI95" s="1708">
        <f t="shared" si="254"/>
        <v>20163.90393</v>
      </c>
      <c r="CJ95" s="1708">
        <f t="shared" si="254"/>
        <v>20811.765118999996</v>
      </c>
      <c r="CK95" s="1708">
        <f t="shared" si="254"/>
        <v>23595.576730000004</v>
      </c>
      <c r="CL95" s="1708">
        <f t="shared" si="254"/>
        <v>16815.893931999995</v>
      </c>
      <c r="CM95" s="1708">
        <f t="shared" si="254"/>
        <v>25236.648909999996</v>
      </c>
      <c r="CN95" s="1708">
        <f t="shared" si="254"/>
        <v>16330.550421999997</v>
      </c>
      <c r="CO95" s="1708">
        <f t="shared" si="254"/>
        <v>19371.411945</v>
      </c>
      <c r="CP95" s="1334">
        <f t="shared" si="254"/>
        <v>25308.242825999991</v>
      </c>
      <c r="CQ95" s="1031">
        <f t="shared" si="223"/>
        <v>246854.92172031855</v>
      </c>
      <c r="CR95" s="1708">
        <f t="shared" ref="CR95:DC95" si="255">CR88-CR94</f>
        <v>19777.91792993198</v>
      </c>
      <c r="CS95" s="1708">
        <f t="shared" si="255"/>
        <v>17925.127000918874</v>
      </c>
      <c r="CT95" s="1708">
        <f t="shared" si="255"/>
        <v>21905.415630512434</v>
      </c>
      <c r="CU95" s="1708">
        <f t="shared" si="255"/>
        <v>19940.821666336291</v>
      </c>
      <c r="CV95" s="1708">
        <f t="shared" si="255"/>
        <v>19737.968962047271</v>
      </c>
      <c r="CW95" s="1708">
        <f t="shared" si="255"/>
        <v>20207.464443542282</v>
      </c>
      <c r="CX95" s="1708">
        <f t="shared" si="255"/>
        <v>22770.736611104046</v>
      </c>
      <c r="CY95" s="1708">
        <f t="shared" si="255"/>
        <v>19898.851842811178</v>
      </c>
      <c r="CZ95" s="1708">
        <f t="shared" si="255"/>
        <v>23992.855495154581</v>
      </c>
      <c r="DA95" s="1708">
        <f t="shared" si="255"/>
        <v>20771.283480219798</v>
      </c>
      <c r="DB95" s="1708">
        <f t="shared" si="255"/>
        <v>18858.077906312399</v>
      </c>
      <c r="DC95" s="1334">
        <f t="shared" si="255"/>
        <v>21068.400751427405</v>
      </c>
      <c r="DD95" s="2587"/>
      <c r="DE95" s="2587"/>
      <c r="DF95" s="2587"/>
      <c r="DG95" s="2975">
        <f t="shared" si="217"/>
        <v>-3.0527255915381635E-2</v>
      </c>
      <c r="DH95" s="2976">
        <f t="shared" si="218"/>
        <v>0.10692823851505762</v>
      </c>
      <c r="DI95" s="2976">
        <f t="shared" si="219"/>
        <v>3.3399196151493893E-2</v>
      </c>
      <c r="DJ95" s="2976"/>
      <c r="DK95" s="1884"/>
      <c r="DL95" s="2718"/>
      <c r="DM95" s="2718"/>
      <c r="DN95" s="2603"/>
    </row>
    <row r="96" spans="1:121">
      <c r="B96" s="30" t="s">
        <v>65</v>
      </c>
      <c r="C96" s="31"/>
      <c r="D96" s="32"/>
      <c r="E96" s="417"/>
      <c r="F96" s="417"/>
      <c r="G96" s="417"/>
      <c r="H96" s="417"/>
      <c r="I96" s="417"/>
      <c r="J96" s="417"/>
      <c r="K96" s="417"/>
      <c r="L96" s="417"/>
      <c r="M96" s="417"/>
      <c r="N96" s="417"/>
      <c r="O96" s="417"/>
      <c r="P96" s="417"/>
      <c r="Q96" s="1031">
        <f>Q97+Q104+Q108+Q111+Q114</f>
        <v>175469.49581600001</v>
      </c>
      <c r="R96" s="417">
        <f>R97+R104+R108+R111+R114</f>
        <v>14387.761242</v>
      </c>
      <c r="S96" s="417">
        <f t="shared" ref="S96:T96" si="256">S97+S104+S108+S111+S114</f>
        <v>13118.332056000001</v>
      </c>
      <c r="T96" s="417">
        <f t="shared" si="256"/>
        <v>15581.362487000002</v>
      </c>
      <c r="U96" s="417">
        <f>U97+U104+U108+U111+U114</f>
        <v>13668.868354999999</v>
      </c>
      <c r="V96" s="417">
        <f t="shared" ref="V96:W96" si="257">V97+V104+V108+V111+V114</f>
        <v>13749.405343</v>
      </c>
      <c r="W96" s="417">
        <f t="shared" si="257"/>
        <v>15634.151275</v>
      </c>
      <c r="X96" s="417">
        <f t="shared" ref="X96:AC96" si="258">X97+X104+X108+X111+X114</f>
        <v>13568.583323999999</v>
      </c>
      <c r="Y96" s="417">
        <f t="shared" si="258"/>
        <v>13192.859816</v>
      </c>
      <c r="Z96" s="417">
        <f t="shared" si="258"/>
        <v>14985.468045999998</v>
      </c>
      <c r="AA96" s="417">
        <f t="shared" si="258"/>
        <v>13803.137828999999</v>
      </c>
      <c r="AB96" s="417">
        <f t="shared" si="258"/>
        <v>15636.006673000002</v>
      </c>
      <c r="AC96" s="1036">
        <f t="shared" si="258"/>
        <v>18143.559369999999</v>
      </c>
      <c r="AD96" s="1031">
        <f t="shared" si="211"/>
        <v>179869.46988300001</v>
      </c>
      <c r="AE96" s="417">
        <f>AE97+AE104+AE108+AE111+AE114</f>
        <v>14106.043335000002</v>
      </c>
      <c r="AF96" s="417">
        <f t="shared" ref="AF96:AP96" si="259">AF97+AF104+AF108+AF111+AF114</f>
        <v>13982.145823999999</v>
      </c>
      <c r="AG96" s="417">
        <f t="shared" si="259"/>
        <v>13548.619042999999</v>
      </c>
      <c r="AH96" s="417">
        <f t="shared" si="259"/>
        <v>13541.365537000003</v>
      </c>
      <c r="AI96" s="417">
        <f t="shared" si="259"/>
        <v>14192.744751999999</v>
      </c>
      <c r="AJ96" s="417">
        <f t="shared" si="259"/>
        <v>14888.625869</v>
      </c>
      <c r="AK96" s="417">
        <f t="shared" si="259"/>
        <v>14643.289099</v>
      </c>
      <c r="AL96" s="417">
        <f t="shared" si="259"/>
        <v>14154.864293000001</v>
      </c>
      <c r="AM96" s="417">
        <f t="shared" si="259"/>
        <v>15497.947887000002</v>
      </c>
      <c r="AN96" s="417">
        <f t="shared" si="259"/>
        <v>15580.505952999996</v>
      </c>
      <c r="AO96" s="417">
        <f t="shared" si="259"/>
        <v>15259.514337000004</v>
      </c>
      <c r="AP96" s="417">
        <f t="shared" si="259"/>
        <v>21529.371174</v>
      </c>
      <c r="AQ96" s="1031">
        <f t="shared" si="213"/>
        <v>208573.34509300004</v>
      </c>
      <c r="AR96" s="417"/>
      <c r="AS96" s="417"/>
      <c r="AT96" s="417"/>
      <c r="AU96" s="417"/>
      <c r="AV96" s="417"/>
      <c r="AW96" s="417"/>
      <c r="AX96" s="417"/>
      <c r="AY96" s="417"/>
      <c r="AZ96" s="417"/>
      <c r="BA96" s="417"/>
      <c r="BB96" s="417"/>
      <c r="BC96" s="417"/>
      <c r="BD96" s="1031">
        <f t="shared" ref="BD96:BP96" si="260">BD20-BD144</f>
        <v>214564.95388600003</v>
      </c>
      <c r="BE96" s="417">
        <f t="shared" si="260"/>
        <v>13767.636665999999</v>
      </c>
      <c r="BF96" s="417">
        <f t="shared" si="260"/>
        <v>15940.089988000002</v>
      </c>
      <c r="BG96" s="417">
        <f t="shared" si="260"/>
        <v>16012.110094000001</v>
      </c>
      <c r="BH96" s="417">
        <f t="shared" si="260"/>
        <v>16019.356983000001</v>
      </c>
      <c r="BI96" s="417">
        <f t="shared" si="260"/>
        <v>15523.886478</v>
      </c>
      <c r="BJ96" s="417">
        <f t="shared" si="260"/>
        <v>18925.218831000002</v>
      </c>
      <c r="BK96" s="417">
        <f t="shared" si="260"/>
        <v>17228.007135000003</v>
      </c>
      <c r="BL96" s="417">
        <f t="shared" si="260"/>
        <v>17127.788066000001</v>
      </c>
      <c r="BM96" s="417">
        <f t="shared" si="260"/>
        <v>20140.906271</v>
      </c>
      <c r="BN96" s="417">
        <f t="shared" si="260"/>
        <v>22268.262545999998</v>
      </c>
      <c r="BO96" s="417">
        <f t="shared" si="260"/>
        <v>19905.573976999996</v>
      </c>
      <c r="BP96" s="417">
        <f t="shared" si="260"/>
        <v>21706.116851000002</v>
      </c>
      <c r="BQ96" s="1031">
        <f t="shared" ref="BQ96:CC96" si="261">BQ20-BQ144</f>
        <v>203178.69173799996</v>
      </c>
      <c r="BR96" s="1708">
        <f t="shared" si="261"/>
        <v>17201.206972999997</v>
      </c>
      <c r="BS96" s="1708">
        <f t="shared" si="261"/>
        <v>15138.721025999999</v>
      </c>
      <c r="BT96" s="1708">
        <f t="shared" si="261"/>
        <v>13892.672927</v>
      </c>
      <c r="BU96" s="1708">
        <f t="shared" si="261"/>
        <v>15029.598908</v>
      </c>
      <c r="BV96" s="1708">
        <f t="shared" si="261"/>
        <v>14628.440603999999</v>
      </c>
      <c r="BW96" s="1708">
        <f t="shared" si="261"/>
        <v>15342.059509000001</v>
      </c>
      <c r="BX96" s="1708">
        <f t="shared" si="261"/>
        <v>16366.654584</v>
      </c>
      <c r="BY96" s="1708">
        <f t="shared" si="261"/>
        <v>16797.847683</v>
      </c>
      <c r="BZ96" s="1708">
        <f t="shared" si="261"/>
        <v>20995.000358000001</v>
      </c>
      <c r="CA96" s="1708">
        <f t="shared" si="261"/>
        <v>21400.632436</v>
      </c>
      <c r="CB96" s="1708">
        <f t="shared" si="261"/>
        <v>17198.406254000001</v>
      </c>
      <c r="CC96" s="1334">
        <f t="shared" si="261"/>
        <v>19187.450475999998</v>
      </c>
      <c r="CD96" s="1031">
        <f t="shared" ref="CD96:CP96" si="262">CD20-CD144</f>
        <v>228130.066189</v>
      </c>
      <c r="CE96" s="1708">
        <f t="shared" si="262"/>
        <v>16924.266405999999</v>
      </c>
      <c r="CF96" s="1708">
        <f t="shared" si="262"/>
        <v>15758.724536</v>
      </c>
      <c r="CG96" s="1708">
        <f t="shared" si="262"/>
        <v>15744.046193</v>
      </c>
      <c r="CH96" s="1708">
        <f t="shared" si="262"/>
        <v>16157.548723000002</v>
      </c>
      <c r="CI96" s="1708">
        <f t="shared" si="262"/>
        <v>16941.181127999997</v>
      </c>
      <c r="CJ96" s="1708">
        <f t="shared" si="262"/>
        <v>18923.464989999997</v>
      </c>
      <c r="CK96" s="1708">
        <f t="shared" si="262"/>
        <v>19837.193429000003</v>
      </c>
      <c r="CL96" s="1708">
        <f t="shared" si="262"/>
        <v>17018.020562999998</v>
      </c>
      <c r="CM96" s="1708">
        <f t="shared" si="262"/>
        <v>23835.460869000002</v>
      </c>
      <c r="CN96" s="1708">
        <f t="shared" si="262"/>
        <v>18739.440573</v>
      </c>
      <c r="CO96" s="1708">
        <f t="shared" si="262"/>
        <v>21368.562815999991</v>
      </c>
      <c r="CP96" s="1334">
        <f t="shared" si="262"/>
        <v>26882.155963000005</v>
      </c>
      <c r="CQ96" s="1031">
        <f t="shared" ref="CQ96:DC96" si="263">CQ97+CQ104+CQ108+CQ111+CQ114</f>
        <v>236737.63801084532</v>
      </c>
      <c r="CR96" s="1708">
        <f t="shared" si="263"/>
        <v>17877.193913358595</v>
      </c>
      <c r="CS96" s="1708">
        <f t="shared" si="263"/>
        <v>17571.268393491675</v>
      </c>
      <c r="CT96" s="1708">
        <f t="shared" si="263"/>
        <v>18355.972042854119</v>
      </c>
      <c r="CU96" s="1708">
        <f t="shared" si="263"/>
        <v>18151.440777786545</v>
      </c>
      <c r="CV96" s="1708">
        <f t="shared" si="263"/>
        <v>18068.666843854724</v>
      </c>
      <c r="CW96" s="1708">
        <f t="shared" si="263"/>
        <v>19642.338173093754</v>
      </c>
      <c r="CX96" s="1708">
        <f t="shared" si="263"/>
        <v>19104.15499703672</v>
      </c>
      <c r="CY96" s="1708">
        <f t="shared" si="263"/>
        <v>18723.945793104907</v>
      </c>
      <c r="CZ96" s="1708">
        <f t="shared" si="263"/>
        <v>24155.411597682494</v>
      </c>
      <c r="DA96" s="1708">
        <f t="shared" si="263"/>
        <v>19750.853941064754</v>
      </c>
      <c r="DB96" s="1708">
        <f t="shared" si="263"/>
        <v>19949.123743384</v>
      </c>
      <c r="DC96" s="1334">
        <f t="shared" si="263"/>
        <v>25387.267794133018</v>
      </c>
      <c r="DD96" s="2587"/>
      <c r="DE96" s="2587"/>
      <c r="DF96" s="2587"/>
      <c r="DG96" s="2975">
        <f t="shared" si="217"/>
        <v>-5.3066737795631203E-2</v>
      </c>
      <c r="DH96" s="2976">
        <f t="shared" si="218"/>
        <v>0.12280507487062153</v>
      </c>
      <c r="DI96" s="2976">
        <f t="shared" si="219"/>
        <v>3.7730983756933512E-2</v>
      </c>
      <c r="DJ96" s="2976"/>
      <c r="DK96" s="1884"/>
      <c r="DL96" s="2718"/>
      <c r="DM96" s="2718"/>
      <c r="DN96" s="2603"/>
    </row>
    <row r="97" spans="2:118">
      <c r="B97" s="33" t="s">
        <v>66</v>
      </c>
      <c r="C97" s="34"/>
      <c r="D97" s="35"/>
      <c r="E97" s="1335"/>
      <c r="F97" s="1335"/>
      <c r="G97" s="1335"/>
      <c r="H97" s="1335"/>
      <c r="I97" s="1335"/>
      <c r="J97" s="1335"/>
      <c r="K97" s="1335"/>
      <c r="L97" s="1335"/>
      <c r="M97" s="1335"/>
      <c r="N97" s="1335"/>
      <c r="O97" s="1335"/>
      <c r="P97" s="1335"/>
      <c r="Q97" s="1345">
        <f t="shared" ref="Q97" si="264">SUM(Q98:Q103)</f>
        <v>108405.05044100001</v>
      </c>
      <c r="R97" s="1335">
        <f>SUM(R98:R103)</f>
        <v>8697.2387689999996</v>
      </c>
      <c r="S97" s="1335">
        <f t="shared" ref="S97:T97" si="265">SUM(S98:S103)</f>
        <v>8477.4465579999996</v>
      </c>
      <c r="T97" s="1335">
        <f t="shared" si="265"/>
        <v>10852.852195000001</v>
      </c>
      <c r="U97" s="1335">
        <f t="shared" ref="U97" si="266">SUM(U98:U103)</f>
        <v>8928.2044129999995</v>
      </c>
      <c r="V97" s="1335">
        <f t="shared" ref="V97:W97" si="267">SUM(V98:V103)</f>
        <v>8528.3798650000008</v>
      </c>
      <c r="W97" s="1335">
        <f t="shared" si="267"/>
        <v>10500.919845999999</v>
      </c>
      <c r="X97" s="1335">
        <f t="shared" ref="X97:AC97" si="268">SUM(X98:X103)</f>
        <v>7916.4886090000009</v>
      </c>
      <c r="Y97" s="1335">
        <f t="shared" si="268"/>
        <v>7847.3211300000003</v>
      </c>
      <c r="Z97" s="1335">
        <f t="shared" si="268"/>
        <v>10341.392755999999</v>
      </c>
      <c r="AA97" s="1335">
        <f t="shared" si="268"/>
        <v>7677.9283310000001</v>
      </c>
      <c r="AB97" s="1335">
        <f t="shared" si="268"/>
        <v>7749.9529090000005</v>
      </c>
      <c r="AC97" s="1074">
        <f t="shared" si="268"/>
        <v>10886.925060000001</v>
      </c>
      <c r="AD97" s="1345">
        <f t="shared" si="211"/>
        <v>105946.91813199999</v>
      </c>
      <c r="AE97" s="1335">
        <f t="shared" ref="AE97:AP97" si="269">SUM(AE98:AE103)</f>
        <v>8335.885948000001</v>
      </c>
      <c r="AF97" s="1335">
        <f t="shared" si="269"/>
        <v>8667.101376999999</v>
      </c>
      <c r="AG97" s="1335">
        <f t="shared" si="269"/>
        <v>8382.546307999999</v>
      </c>
      <c r="AH97" s="1335">
        <f t="shared" si="269"/>
        <v>8596.4488750000019</v>
      </c>
      <c r="AI97" s="1335">
        <f t="shared" si="269"/>
        <v>8631.5302210000009</v>
      </c>
      <c r="AJ97" s="1335">
        <f t="shared" si="269"/>
        <v>9137.5866850000002</v>
      </c>
      <c r="AK97" s="1335">
        <f t="shared" si="269"/>
        <v>8536.4691279999988</v>
      </c>
      <c r="AL97" s="1335">
        <f t="shared" si="269"/>
        <v>8721.6810949999999</v>
      </c>
      <c r="AM97" s="1335">
        <f t="shared" si="269"/>
        <v>9524.9118540000018</v>
      </c>
      <c r="AN97" s="1335">
        <f t="shared" si="269"/>
        <v>8555.9405039999965</v>
      </c>
      <c r="AO97" s="1335">
        <f t="shared" si="269"/>
        <v>8386.4113060000018</v>
      </c>
      <c r="AP97" s="1335">
        <f t="shared" si="269"/>
        <v>10496.704830999999</v>
      </c>
      <c r="AQ97" s="1345">
        <f t="shared" si="213"/>
        <v>116482.18073400002</v>
      </c>
      <c r="AR97" s="1335"/>
      <c r="AS97" s="1335"/>
      <c r="AT97" s="1335"/>
      <c r="AU97" s="1335"/>
      <c r="AV97" s="1335"/>
      <c r="AW97" s="1335"/>
      <c r="AX97" s="1335"/>
      <c r="AY97" s="1335"/>
      <c r="AZ97" s="1335"/>
      <c r="BA97" s="1335"/>
      <c r="BB97" s="1335"/>
      <c r="BC97" s="1335"/>
      <c r="BD97" s="1345">
        <f t="shared" ref="BD97:BP97" si="270">BD21-BD145</f>
        <v>120995.06049799999</v>
      </c>
      <c r="BE97" s="1335">
        <f t="shared" si="270"/>
        <v>9483.4459640000005</v>
      </c>
      <c r="BF97" s="1335">
        <f t="shared" si="270"/>
        <v>9460.7499770000013</v>
      </c>
      <c r="BG97" s="1335">
        <f t="shared" si="270"/>
        <v>9908.6721109999999</v>
      </c>
      <c r="BH97" s="1335">
        <f t="shared" si="270"/>
        <v>10362.954842000001</v>
      </c>
      <c r="BI97" s="1335">
        <f t="shared" si="270"/>
        <v>9783.7381729999997</v>
      </c>
      <c r="BJ97" s="1335">
        <f t="shared" si="270"/>
        <v>9541.7562529999996</v>
      </c>
      <c r="BK97" s="1335">
        <f t="shared" si="270"/>
        <v>9855.429811</v>
      </c>
      <c r="BL97" s="1335">
        <f t="shared" si="270"/>
        <v>9465.6709389999996</v>
      </c>
      <c r="BM97" s="1335">
        <f t="shared" si="270"/>
        <v>10330.857765999997</v>
      </c>
      <c r="BN97" s="1335">
        <f t="shared" si="270"/>
        <v>9479.7285789999987</v>
      </c>
      <c r="BO97" s="1335">
        <f t="shared" si="270"/>
        <v>13365.885574</v>
      </c>
      <c r="BP97" s="1335">
        <f t="shared" si="270"/>
        <v>9956.1705090000014</v>
      </c>
      <c r="BQ97" s="1345">
        <f t="shared" ref="BQ97:CC97" si="271">BQ21-BQ145</f>
        <v>126030.85521699997</v>
      </c>
      <c r="BR97" s="1777">
        <f t="shared" si="271"/>
        <v>9079.8024160000004</v>
      </c>
      <c r="BS97" s="1777">
        <f t="shared" si="271"/>
        <v>10220.723252000002</v>
      </c>
      <c r="BT97" s="1777">
        <f t="shared" si="271"/>
        <v>9130.7561040000001</v>
      </c>
      <c r="BU97" s="1777">
        <f t="shared" si="271"/>
        <v>10035.229685</v>
      </c>
      <c r="BV97" s="1777">
        <f t="shared" si="271"/>
        <v>9823.2666419999987</v>
      </c>
      <c r="BW97" s="1777">
        <f t="shared" si="271"/>
        <v>10631.871032999999</v>
      </c>
      <c r="BX97" s="1777">
        <f t="shared" si="271"/>
        <v>9717.9130089999999</v>
      </c>
      <c r="BY97" s="1777">
        <f t="shared" si="271"/>
        <v>10325.134878000001</v>
      </c>
      <c r="BZ97" s="1777">
        <f t="shared" si="271"/>
        <v>12530.841210000002</v>
      </c>
      <c r="CA97" s="1777">
        <f t="shared" si="271"/>
        <v>11681.852759000001</v>
      </c>
      <c r="CB97" s="1777">
        <f t="shared" si="271"/>
        <v>10244.058959</v>
      </c>
      <c r="CC97" s="1778">
        <f t="shared" si="271"/>
        <v>12609.405269999988</v>
      </c>
      <c r="CD97" s="1345">
        <f t="shared" ref="CD97:CP97" si="272">CD21-CD145</f>
        <v>139292.19269400003</v>
      </c>
      <c r="CE97" s="1777">
        <f t="shared" si="272"/>
        <v>10232.365612000001</v>
      </c>
      <c r="CF97" s="1777">
        <f t="shared" si="272"/>
        <v>10077.167924000003</v>
      </c>
      <c r="CG97" s="1777">
        <f t="shared" si="272"/>
        <v>11266.439571999997</v>
      </c>
      <c r="CH97" s="1777">
        <f t="shared" si="272"/>
        <v>10881.401980000002</v>
      </c>
      <c r="CI97" s="1777">
        <f t="shared" si="272"/>
        <v>10717.086870999998</v>
      </c>
      <c r="CJ97" s="1777">
        <f t="shared" si="272"/>
        <v>12166.734811999999</v>
      </c>
      <c r="CK97" s="1777">
        <f t="shared" si="272"/>
        <v>11064.242757000002</v>
      </c>
      <c r="CL97" s="1777">
        <f t="shared" si="272"/>
        <v>11468.488869999999</v>
      </c>
      <c r="CM97" s="1777">
        <f t="shared" si="272"/>
        <v>14237.570464000002</v>
      </c>
      <c r="CN97" s="1777">
        <f t="shared" si="272"/>
        <v>12397.683214999999</v>
      </c>
      <c r="CO97" s="1777">
        <f t="shared" si="272"/>
        <v>10540.487069999999</v>
      </c>
      <c r="CP97" s="1778">
        <f t="shared" si="272"/>
        <v>14242.523546999999</v>
      </c>
      <c r="CQ97" s="1345">
        <f t="shared" ref="CQ97:DC97" si="273">SUM(CQ98:CQ103)</f>
        <v>146062.84687221679</v>
      </c>
      <c r="CR97" s="1336">
        <f t="shared" si="273"/>
        <v>10876.376818031637</v>
      </c>
      <c r="CS97" s="1336">
        <f t="shared" si="273"/>
        <v>11085.552493079796</v>
      </c>
      <c r="CT97" s="1336">
        <f t="shared" si="273"/>
        <v>11388.409496644461</v>
      </c>
      <c r="CU97" s="1336">
        <f t="shared" si="273"/>
        <v>11141.314593468909</v>
      </c>
      <c r="CV97" s="1336">
        <f t="shared" si="273"/>
        <v>10998.28394805618</v>
      </c>
      <c r="CW97" s="1336">
        <f t="shared" si="273"/>
        <v>12187.64073260005</v>
      </c>
      <c r="CX97" s="1336">
        <f t="shared" si="273"/>
        <v>11225.826630798259</v>
      </c>
      <c r="CY97" s="1336">
        <f t="shared" si="273"/>
        <v>11589.758326220384</v>
      </c>
      <c r="CZ97" s="1336">
        <f t="shared" si="273"/>
        <v>15968.115132126904</v>
      </c>
      <c r="DA97" s="1336">
        <f t="shared" si="273"/>
        <v>11766.284614771286</v>
      </c>
      <c r="DB97" s="1336">
        <f t="shared" si="273"/>
        <v>11423.41987731729</v>
      </c>
      <c r="DC97" s="2284">
        <f t="shared" si="273"/>
        <v>16411.864209101605</v>
      </c>
      <c r="DD97" s="2587"/>
      <c r="DE97" s="2587"/>
      <c r="DF97" s="2587"/>
      <c r="DG97" s="2975">
        <f t="shared" si="217"/>
        <v>4.1619837192305997E-2</v>
      </c>
      <c r="DH97" s="2976">
        <f t="shared" si="218"/>
        <v>0.10522294285924416</v>
      </c>
      <c r="DI97" s="2977">
        <f t="shared" si="219"/>
        <v>4.8607564051279528E-2</v>
      </c>
      <c r="DJ97" s="2977"/>
      <c r="DK97" s="1884"/>
      <c r="DL97" s="2718"/>
      <c r="DM97" s="2718"/>
    </row>
    <row r="98" spans="2:118">
      <c r="B98" s="40" t="s">
        <v>67</v>
      </c>
      <c r="C98" s="41"/>
      <c r="D98" s="66"/>
      <c r="E98" s="1340"/>
      <c r="F98" s="1340"/>
      <c r="G98" s="1340"/>
      <c r="H98" s="1340"/>
      <c r="I98" s="1340"/>
      <c r="J98" s="1340"/>
      <c r="K98" s="1340"/>
      <c r="L98" s="1340"/>
      <c r="M98" s="1340"/>
      <c r="N98" s="1340"/>
      <c r="O98" s="1340"/>
      <c r="P98" s="1340"/>
      <c r="Q98" s="64">
        <f>SUM(R98:AC98)</f>
        <v>13079.927830000002</v>
      </c>
      <c r="R98" s="1340">
        <f>인건비!G29</f>
        <v>732.41953000000001</v>
      </c>
      <c r="S98" s="1340">
        <f>인건비!H29</f>
        <v>792.56667000000016</v>
      </c>
      <c r="T98" s="1340">
        <f>인건비!I29</f>
        <v>1863.2813169999999</v>
      </c>
      <c r="U98" s="1340">
        <f>인건비!J29</f>
        <v>782.00269000000003</v>
      </c>
      <c r="V98" s="1340">
        <f>인건비!K29</f>
        <v>795.40254000000016</v>
      </c>
      <c r="W98" s="1340">
        <f>인건비!L29</f>
        <v>1574.1420969999999</v>
      </c>
      <c r="X98" s="1340">
        <f>인건비!M29</f>
        <v>782.30636000000015</v>
      </c>
      <c r="Y98" s="1340">
        <f>인건비!N29</f>
        <v>768.39486000000022</v>
      </c>
      <c r="Z98" s="1340">
        <f>인건비!O29</f>
        <v>1586.8999720000002</v>
      </c>
      <c r="AA98" s="1340">
        <f>인건비!P29</f>
        <v>767.20498000000009</v>
      </c>
      <c r="AB98" s="1340">
        <f>인건비!Q29</f>
        <v>782.43061000000012</v>
      </c>
      <c r="AC98" s="1341">
        <f>인건비!R29</f>
        <v>1852.8762039999997</v>
      </c>
      <c r="AD98" s="64">
        <f t="shared" si="211"/>
        <v>13537.893889999999</v>
      </c>
      <c r="AE98" s="1340">
        <f>인건비!T29</f>
        <v>1091.41236</v>
      </c>
      <c r="AF98" s="1340">
        <f>인건비!U29</f>
        <v>1134.5267899999999</v>
      </c>
      <c r="AG98" s="1340">
        <f>인건비!V29</f>
        <v>994.25001999999984</v>
      </c>
      <c r="AH98" s="1340">
        <f>인건비!W29</f>
        <v>1102.33527</v>
      </c>
      <c r="AI98" s="1340">
        <f>인건비!X29</f>
        <v>1109.3111700000002</v>
      </c>
      <c r="AJ98" s="1340">
        <f>인건비!Y29</f>
        <v>1089.90741</v>
      </c>
      <c r="AK98" s="1340">
        <f>인건비!Z29</f>
        <v>1053.570408</v>
      </c>
      <c r="AL98" s="1340">
        <f>인건비!AA29</f>
        <v>1091.3761840000002</v>
      </c>
      <c r="AM98" s="1340">
        <f>인건비!AB29</f>
        <v>1135.1577040000002</v>
      </c>
      <c r="AN98" s="1340">
        <f>인건비!AC29</f>
        <v>1099.5699140000002</v>
      </c>
      <c r="AO98" s="1340">
        <f>인건비!AD29</f>
        <v>1119.0637839999999</v>
      </c>
      <c r="AP98" s="1340">
        <f>인건비!AE29</f>
        <v>1517.4128760000003</v>
      </c>
      <c r="AQ98" s="64">
        <f t="shared" si="213"/>
        <v>13620.726559999997</v>
      </c>
      <c r="AR98" s="1340"/>
      <c r="AS98" s="1340"/>
      <c r="AT98" s="1340"/>
      <c r="AU98" s="1340"/>
      <c r="AV98" s="1340"/>
      <c r="AW98" s="1340"/>
      <c r="AX98" s="1340"/>
      <c r="AY98" s="1340"/>
      <c r="AZ98" s="1340"/>
      <c r="BA98" s="1340"/>
      <c r="BB98" s="1340"/>
      <c r="BC98" s="1340"/>
      <c r="BD98" s="64">
        <f t="shared" ref="BD98:BP98" si="274">BD22-BD146</f>
        <v>14910.462000000001</v>
      </c>
      <c r="BE98" s="1340">
        <f t="shared" si="274"/>
        <v>1155.56203</v>
      </c>
      <c r="BF98" s="1340">
        <f t="shared" si="274"/>
        <v>1154.95865</v>
      </c>
      <c r="BG98" s="1340">
        <f t="shared" si="274"/>
        <v>896.16154000000017</v>
      </c>
      <c r="BH98" s="1340">
        <f t="shared" si="274"/>
        <v>1157.8665300000002</v>
      </c>
      <c r="BI98" s="1340">
        <f t="shared" si="274"/>
        <v>1177.5984100000001</v>
      </c>
      <c r="BJ98" s="1340">
        <f t="shared" si="274"/>
        <v>1169.5172699999998</v>
      </c>
      <c r="BK98" s="1340">
        <f t="shared" si="274"/>
        <v>1459.0689239999997</v>
      </c>
      <c r="BL98" s="1340">
        <f t="shared" si="274"/>
        <v>1177.6672699999999</v>
      </c>
      <c r="BM98" s="1340">
        <f t="shared" si="274"/>
        <v>1195.3349699999999</v>
      </c>
      <c r="BN98" s="1340">
        <f t="shared" si="274"/>
        <v>1182.1812800000002</v>
      </c>
      <c r="BO98" s="1340">
        <f t="shared" si="274"/>
        <v>1295.16617</v>
      </c>
      <c r="BP98" s="1340">
        <f t="shared" si="274"/>
        <v>1889.3789560000002</v>
      </c>
      <c r="BQ98" s="1710">
        <f t="shared" ref="BQ98:CC98" si="275">BQ22-BQ146</f>
        <v>14763.337839999997</v>
      </c>
      <c r="BR98" s="1930">
        <f t="shared" si="275"/>
        <v>1324.7113079999999</v>
      </c>
      <c r="BS98" s="1930">
        <f t="shared" si="275"/>
        <v>1351.2224679999997</v>
      </c>
      <c r="BT98" s="1930">
        <f t="shared" si="275"/>
        <v>688.47385799999984</v>
      </c>
      <c r="BU98" s="1930">
        <f t="shared" si="275"/>
        <v>1308.6766680000001</v>
      </c>
      <c r="BV98" s="1930">
        <f t="shared" si="275"/>
        <v>1312.292038</v>
      </c>
      <c r="BW98" s="1930">
        <f t="shared" si="275"/>
        <v>1306.9141780000002</v>
      </c>
      <c r="BX98" s="1930">
        <f t="shared" si="275"/>
        <v>1215.1461219999999</v>
      </c>
      <c r="BY98" s="1930">
        <f t="shared" si="275"/>
        <v>1228.1721640000003</v>
      </c>
      <c r="BZ98" s="1930">
        <f t="shared" si="275"/>
        <v>1242.0570839999998</v>
      </c>
      <c r="CA98" s="1930">
        <f t="shared" si="275"/>
        <v>1447.1241440000001</v>
      </c>
      <c r="CB98" s="1930">
        <f t="shared" si="275"/>
        <v>1166.3180540000001</v>
      </c>
      <c r="CC98" s="1931">
        <f t="shared" si="275"/>
        <v>1172.229754</v>
      </c>
      <c r="CD98" s="1710">
        <f t="shared" ref="CD98:CP98" si="276">CD22-CD146</f>
        <v>17537.095530000002</v>
      </c>
      <c r="CE98" s="1930">
        <f t="shared" si="276"/>
        <v>1258.446064</v>
      </c>
      <c r="CF98" s="1930">
        <f t="shared" si="276"/>
        <v>1311.497554</v>
      </c>
      <c r="CG98" s="1930">
        <f t="shared" si="276"/>
        <v>1665.147254</v>
      </c>
      <c r="CH98" s="1930">
        <f t="shared" si="276"/>
        <v>1332.2243939999998</v>
      </c>
      <c r="CI98" s="1930">
        <f t="shared" si="276"/>
        <v>1320.5953239999999</v>
      </c>
      <c r="CJ98" s="1930">
        <f t="shared" si="276"/>
        <v>1333.4174239999998</v>
      </c>
      <c r="CK98" s="1930">
        <f t="shared" si="276"/>
        <v>1353.3149440000004</v>
      </c>
      <c r="CL98" s="1930">
        <f t="shared" si="276"/>
        <v>1329.2281439999999</v>
      </c>
      <c r="CM98" s="1930">
        <f t="shared" si="276"/>
        <v>1357.3013239999996</v>
      </c>
      <c r="CN98" s="1930">
        <f t="shared" si="276"/>
        <v>1661.2105639999997</v>
      </c>
      <c r="CO98" s="1930">
        <f t="shared" si="276"/>
        <v>1388.4506940000001</v>
      </c>
      <c r="CP98" s="1931">
        <f t="shared" si="276"/>
        <v>2226.2618459999999</v>
      </c>
      <c r="CQ98" s="1710">
        <f t="shared" ref="CQ98:CQ103" si="277">SUM(CR98:DC98)</f>
        <v>18912.697761681789</v>
      </c>
      <c r="CR98" s="1711">
        <f>인건비!CG29</f>
        <v>1390.8656975883146</v>
      </c>
      <c r="CS98" s="1711">
        <f>인건비!CH29</f>
        <v>1425.4746618697238</v>
      </c>
      <c r="CT98" s="1711">
        <f>인건비!CI29</f>
        <v>1801.3358338802234</v>
      </c>
      <c r="CU98" s="1711">
        <f>인건비!CJ29</f>
        <v>1441.1839757215641</v>
      </c>
      <c r="CV98" s="1711">
        <f>인건비!CK29</f>
        <v>1428.6037907226814</v>
      </c>
      <c r="CW98" s="1711">
        <f>인건비!CL29</f>
        <v>1442.4745809126255</v>
      </c>
      <c r="CX98" s="1711">
        <f>인건비!CM29</f>
        <v>1503.8564779727374</v>
      </c>
      <c r="CY98" s="1711">
        <f>인건비!CN29</f>
        <v>1503.8564779727374</v>
      </c>
      <c r="CZ98" s="1711">
        <f>인건비!CO29</f>
        <v>1603.47683112296</v>
      </c>
      <c r="DA98" s="1711">
        <f>인건비!CP29</f>
        <v>1523.8564779727401</v>
      </c>
      <c r="DB98" s="1711">
        <f>인건비!CQ29</f>
        <v>1423.8564779727401</v>
      </c>
      <c r="DC98" s="2286">
        <f>인건비!CR29</f>
        <v>2423.8564779727403</v>
      </c>
      <c r="DD98" s="25"/>
      <c r="DE98" s="25"/>
      <c r="DF98" s="25"/>
      <c r="DG98" s="2975">
        <f t="shared" si="217"/>
        <v>-9.8671764831971265E-3</v>
      </c>
      <c r="DH98" s="2976">
        <f t="shared" si="218"/>
        <v>0.18788147504724484</v>
      </c>
      <c r="DI98" s="2976">
        <f t="shared" si="219"/>
        <v>7.8439569957784672E-2</v>
      </c>
      <c r="DJ98" s="2976"/>
      <c r="DK98" s="1884"/>
    </row>
    <row r="99" spans="2:118">
      <c r="B99" s="40" t="s">
        <v>68</v>
      </c>
      <c r="C99" s="42"/>
      <c r="D99" s="797"/>
      <c r="E99" s="1340"/>
      <c r="F99" s="1340"/>
      <c r="G99" s="1340"/>
      <c r="H99" s="1340"/>
      <c r="I99" s="1340"/>
      <c r="J99" s="1340"/>
      <c r="K99" s="1340"/>
      <c r="L99" s="1340"/>
      <c r="M99" s="1340"/>
      <c r="N99" s="1340"/>
      <c r="O99" s="1340"/>
      <c r="P99" s="1340"/>
      <c r="Q99" s="64">
        <f>SUM(R99:AC99)</f>
        <v>67307.359280000004</v>
      </c>
      <c r="R99" s="1340">
        <f>인건비!G30</f>
        <v>5521.9263899999996</v>
      </c>
      <c r="S99" s="1340">
        <f>인건비!H30</f>
        <v>5484.5402700000004</v>
      </c>
      <c r="T99" s="1340">
        <f>인건비!I30</f>
        <v>6874.0137800000011</v>
      </c>
      <c r="U99" s="1340">
        <f>인건비!J30</f>
        <v>5470.7390599999999</v>
      </c>
      <c r="V99" s="1340">
        <f>인건비!K30</f>
        <v>5286.5701300000001</v>
      </c>
      <c r="W99" s="1340">
        <f>인건비!L30</f>
        <v>6568.0286399999995</v>
      </c>
      <c r="X99" s="1340">
        <f>인건비!M30</f>
        <v>4989.1524900000004</v>
      </c>
      <c r="Y99" s="1340">
        <f>인건비!N30</f>
        <v>5025.3630599999997</v>
      </c>
      <c r="Z99" s="1340">
        <f>인건비!O30</f>
        <v>6346.7262000000001</v>
      </c>
      <c r="AA99" s="1340">
        <f>인건비!P30</f>
        <v>4918.25342</v>
      </c>
      <c r="AB99" s="1340">
        <f>인건비!Q30</f>
        <v>4935.5825100000002</v>
      </c>
      <c r="AC99" s="1341">
        <f>인건비!R30</f>
        <v>5886.4633300000023</v>
      </c>
      <c r="AD99" s="64">
        <f t="shared" si="211"/>
        <v>63224.641449999988</v>
      </c>
      <c r="AE99" s="1340">
        <f>인건비!T30</f>
        <v>5319.6061030000001</v>
      </c>
      <c r="AF99" s="1340">
        <f>인건비!U30</f>
        <v>5500.1339230000003</v>
      </c>
      <c r="AG99" s="1340">
        <f>인건비!V30</f>
        <v>5382.3584129999999</v>
      </c>
      <c r="AH99" s="1340">
        <f>인건비!W30</f>
        <v>5460.4270410000008</v>
      </c>
      <c r="AI99" s="1340">
        <f>인건비!X30</f>
        <v>5330.5585300000002</v>
      </c>
      <c r="AJ99" s="1340">
        <f>인건비!Y30</f>
        <v>5296.3631100000002</v>
      </c>
      <c r="AK99" s="1340">
        <f>인건비!Z30</f>
        <v>5262.6072599999989</v>
      </c>
      <c r="AL99" s="1340">
        <f>인건비!AA30</f>
        <v>5254.8808099999987</v>
      </c>
      <c r="AM99" s="1340">
        <f>인건비!AB30</f>
        <v>5231.1083399999998</v>
      </c>
      <c r="AN99" s="1340">
        <f>인건비!AC30</f>
        <v>5177.0641599999981</v>
      </c>
      <c r="AO99" s="1340">
        <f>인건비!AD30</f>
        <v>5139.4434200000005</v>
      </c>
      <c r="AP99" s="1340">
        <f>인건비!AE30</f>
        <v>4896.390339999999</v>
      </c>
      <c r="AQ99" s="64">
        <f t="shared" si="213"/>
        <v>65627.198680999994</v>
      </c>
      <c r="AR99" s="1340"/>
      <c r="AS99" s="1340"/>
      <c r="AT99" s="1340"/>
      <c r="AU99" s="1340"/>
      <c r="AV99" s="1340"/>
      <c r="AW99" s="1340"/>
      <c r="AX99" s="1340"/>
      <c r="AY99" s="1340"/>
      <c r="AZ99" s="1340"/>
      <c r="BA99" s="1340"/>
      <c r="BB99" s="1340"/>
      <c r="BC99" s="1340"/>
      <c r="BD99" s="64">
        <f t="shared" ref="BD99:BP99" si="278">BD23-BD147</f>
        <v>67370.045068999985</v>
      </c>
      <c r="BE99" s="1340">
        <f t="shared" si="278"/>
        <v>5499.0679929999988</v>
      </c>
      <c r="BF99" s="1340">
        <f t="shared" si="278"/>
        <v>5561.7652830000006</v>
      </c>
      <c r="BG99" s="1340">
        <f t="shared" si="278"/>
        <v>5541.2183719999994</v>
      </c>
      <c r="BH99" s="1340">
        <f t="shared" si="278"/>
        <v>5745.7358610000001</v>
      </c>
      <c r="BI99" s="1340">
        <f t="shared" si="278"/>
        <v>5548.9957399999994</v>
      </c>
      <c r="BJ99" s="1340">
        <f t="shared" si="278"/>
        <v>5526.7987899999998</v>
      </c>
      <c r="BK99" s="1340">
        <f t="shared" si="278"/>
        <v>5462.6340699999992</v>
      </c>
      <c r="BL99" s="1340">
        <f t="shared" si="278"/>
        <v>5519.4557599999989</v>
      </c>
      <c r="BM99" s="1340">
        <f t="shared" si="278"/>
        <v>5439.9589199999982</v>
      </c>
      <c r="BN99" s="1340">
        <f t="shared" si="278"/>
        <v>5452.1774199999982</v>
      </c>
      <c r="BO99" s="1340">
        <f t="shared" si="278"/>
        <v>6591.1193400000002</v>
      </c>
      <c r="BP99" s="1340">
        <f t="shared" si="278"/>
        <v>5481.1175200000016</v>
      </c>
      <c r="BQ99" s="1710">
        <f t="shared" ref="BQ99:CC99" si="279">BQ23-BQ147</f>
        <v>69733.712503999996</v>
      </c>
      <c r="BR99" s="1930">
        <f t="shared" si="279"/>
        <v>5427.0406909999992</v>
      </c>
      <c r="BS99" s="1930">
        <f t="shared" si="279"/>
        <v>5565.0178759999999</v>
      </c>
      <c r="BT99" s="1930">
        <f t="shared" si="279"/>
        <v>5456.3224689999997</v>
      </c>
      <c r="BU99" s="1930">
        <f t="shared" si="279"/>
        <v>5648.9719679999998</v>
      </c>
      <c r="BV99" s="1930">
        <f t="shared" si="279"/>
        <v>5641.5339300000005</v>
      </c>
      <c r="BW99" s="1930">
        <f t="shared" si="279"/>
        <v>5634.9608920000001</v>
      </c>
      <c r="BX99" s="1930">
        <f t="shared" si="279"/>
        <v>5591.7620379999998</v>
      </c>
      <c r="BY99" s="1930">
        <f t="shared" si="279"/>
        <v>5713.8088919999991</v>
      </c>
      <c r="BZ99" s="1930">
        <f t="shared" si="279"/>
        <v>5641.0848490000008</v>
      </c>
      <c r="CA99" s="1930">
        <f t="shared" si="279"/>
        <v>6998.6915859999999</v>
      </c>
      <c r="CB99" s="1930">
        <f t="shared" si="279"/>
        <v>5916.9451460000009</v>
      </c>
      <c r="CC99" s="1931">
        <f t="shared" si="279"/>
        <v>6497.5721669999875</v>
      </c>
      <c r="CD99" s="1710">
        <f t="shared" ref="CD99:CP99" si="280">CD23-CD147</f>
        <v>73919.094375000001</v>
      </c>
      <c r="CE99" s="1930">
        <f t="shared" si="280"/>
        <v>5994.7329639999998</v>
      </c>
      <c r="CF99" s="1930">
        <f t="shared" si="280"/>
        <v>6150.1210260000007</v>
      </c>
      <c r="CG99" s="1930">
        <f t="shared" si="280"/>
        <v>6055.0533449999984</v>
      </c>
      <c r="CH99" s="1930">
        <f t="shared" si="280"/>
        <v>6190.3044680000003</v>
      </c>
      <c r="CI99" s="1930">
        <f t="shared" si="280"/>
        <v>6108.0952709999974</v>
      </c>
      <c r="CJ99" s="1930">
        <f t="shared" si="280"/>
        <v>6054.5778589999982</v>
      </c>
      <c r="CK99" s="1930">
        <f t="shared" si="280"/>
        <v>5964.2699669999993</v>
      </c>
      <c r="CL99" s="1930">
        <f t="shared" si="280"/>
        <v>6000.0729809999993</v>
      </c>
      <c r="CM99" s="1930">
        <f t="shared" si="280"/>
        <v>5940.6239340000002</v>
      </c>
      <c r="CN99" s="1930">
        <f t="shared" si="280"/>
        <v>7380.0577480000011</v>
      </c>
      <c r="CO99" s="1930">
        <f t="shared" si="280"/>
        <v>6015.6716120000001</v>
      </c>
      <c r="CP99" s="1931">
        <f t="shared" si="280"/>
        <v>6065.5131999999994</v>
      </c>
      <c r="CQ99" s="1710">
        <f t="shared" si="277"/>
        <v>77119.124556431765</v>
      </c>
      <c r="CR99" s="1711">
        <f>인건비!CG30+인건비!CG31</f>
        <v>6252.9386188692606</v>
      </c>
      <c r="CS99" s="1711">
        <f>인건비!CH30+인건비!CH31</f>
        <v>6205.060759809814</v>
      </c>
      <c r="CT99" s="1711">
        <f>인건비!CI30+인건비!CI31</f>
        <v>6204.6254019832149</v>
      </c>
      <c r="CU99" s="1711">
        <f>인건비!CJ30+인건비!CJ31</f>
        <v>6198.5301031400759</v>
      </c>
      <c r="CV99" s="1711">
        <f>인건비!CK30+인건비!CK31</f>
        <v>6214.5251420238765</v>
      </c>
      <c r="CW99" s="1711">
        <f>인건비!CL30+인건비!CL31</f>
        <v>6224.9754474489901</v>
      </c>
      <c r="CX99" s="1711">
        <f>인건비!CM30+인건비!CM31</f>
        <v>6289.0333707593209</v>
      </c>
      <c r="CY99" s="1711">
        <f>인건비!CN30+인건비!CN31</f>
        <v>6274.3308678879221</v>
      </c>
      <c r="CZ99" s="1711">
        <f>인건비!CO30+인건비!CO31</f>
        <v>7910.4483560510198</v>
      </c>
      <c r="DA99" s="1711">
        <f>인건비!CP30+인건비!CP31</f>
        <v>6490.0515802685604</v>
      </c>
      <c r="DB99" s="1711">
        <f>인건비!CQ30+인건비!CQ31</f>
        <v>6427.30245409485</v>
      </c>
      <c r="DC99" s="2286">
        <f>인건비!CR30+인건비!CR31</f>
        <v>6427.30245409485</v>
      </c>
      <c r="DD99" s="25"/>
      <c r="DE99" s="25"/>
      <c r="DF99" s="25"/>
      <c r="DG99" s="2975">
        <f t="shared" si="217"/>
        <v>3.5084842715767284E-2</v>
      </c>
      <c r="DH99" s="2976">
        <f t="shared" si="218"/>
        <v>6.0019490153488286E-2</v>
      </c>
      <c r="DI99" s="2977">
        <f t="shared" si="219"/>
        <v>4.3290981964655195E-2</v>
      </c>
      <c r="DJ99" s="2977"/>
      <c r="DK99" s="1884"/>
      <c r="DL99" s="2718"/>
      <c r="DM99" s="2718"/>
      <c r="DN99" s="2715"/>
    </row>
    <row r="100" spans="2:118">
      <c r="B100" s="40" t="s">
        <v>438</v>
      </c>
      <c r="C100" s="42"/>
      <c r="D100" s="797"/>
      <c r="E100" s="1340"/>
      <c r="F100" s="1340"/>
      <c r="G100" s="1340"/>
      <c r="H100" s="1340"/>
      <c r="I100" s="1340"/>
      <c r="J100" s="1340"/>
      <c r="K100" s="1340"/>
      <c r="L100" s="1340"/>
      <c r="M100" s="1340"/>
      <c r="N100" s="1340"/>
      <c r="O100" s="1340"/>
      <c r="P100" s="1340"/>
      <c r="Q100" s="64">
        <f>SUM(R100:AC100)</f>
        <v>0</v>
      </c>
      <c r="R100" s="1340"/>
      <c r="S100" s="1340"/>
      <c r="T100" s="1340"/>
      <c r="U100" s="1340"/>
      <c r="V100" s="1340"/>
      <c r="W100" s="1340"/>
      <c r="X100" s="1340"/>
      <c r="Y100" s="1340"/>
      <c r="Z100" s="1340"/>
      <c r="AA100" s="1340"/>
      <c r="AB100" s="1340"/>
      <c r="AC100" s="1341"/>
      <c r="AD100" s="64">
        <f>SUM(AE100:AP100)</f>
        <v>0</v>
      </c>
      <c r="AE100" s="1340"/>
      <c r="AF100" s="1340"/>
      <c r="AG100" s="1340"/>
      <c r="AH100" s="1340"/>
      <c r="AI100" s="1340"/>
      <c r="AJ100" s="1340"/>
      <c r="AK100" s="1340"/>
      <c r="AL100" s="1340"/>
      <c r="AM100" s="1340"/>
      <c r="AN100" s="1340"/>
      <c r="AO100" s="1340"/>
      <c r="AP100" s="1340"/>
      <c r="AQ100" s="64">
        <f t="shared" si="213"/>
        <v>1840</v>
      </c>
      <c r="AR100" s="1340"/>
      <c r="AS100" s="1340"/>
      <c r="AT100" s="1340"/>
      <c r="AU100" s="1340"/>
      <c r="AV100" s="1340"/>
      <c r="AW100" s="1340"/>
      <c r="AX100" s="1340"/>
      <c r="AY100" s="1340"/>
      <c r="AZ100" s="1340"/>
      <c r="BA100" s="1340"/>
      <c r="BB100" s="1340"/>
      <c r="BC100" s="1340"/>
      <c r="BD100" s="64">
        <f t="shared" ref="BD100:BP100" si="281">BD24-BD148</f>
        <v>2363.4</v>
      </c>
      <c r="BE100" s="1340">
        <f t="shared" si="281"/>
        <v>0</v>
      </c>
      <c r="BF100" s="1340">
        <f t="shared" si="281"/>
        <v>0</v>
      </c>
      <c r="BG100" s="1340">
        <f t="shared" si="281"/>
        <v>0</v>
      </c>
      <c r="BH100" s="1340">
        <f t="shared" si="281"/>
        <v>0</v>
      </c>
      <c r="BI100" s="1340">
        <f t="shared" si="281"/>
        <v>0</v>
      </c>
      <c r="BJ100" s="1340">
        <f t="shared" si="281"/>
        <v>0</v>
      </c>
      <c r="BK100" s="1340">
        <f t="shared" si="281"/>
        <v>0</v>
      </c>
      <c r="BL100" s="1340">
        <f t="shared" si="281"/>
        <v>0</v>
      </c>
      <c r="BM100" s="1340">
        <f t="shared" si="281"/>
        <v>0</v>
      </c>
      <c r="BN100" s="1340">
        <f t="shared" si="281"/>
        <v>0</v>
      </c>
      <c r="BO100" s="1340">
        <f t="shared" si="281"/>
        <v>2363.4</v>
      </c>
      <c r="BP100" s="1340">
        <f t="shared" si="281"/>
        <v>0</v>
      </c>
      <c r="BQ100" s="1710">
        <f t="shared" ref="BQ100:CC100" si="282">BQ24-BQ148</f>
        <v>2357.4</v>
      </c>
      <c r="BR100" s="1930">
        <f t="shared" si="282"/>
        <v>0</v>
      </c>
      <c r="BS100" s="1930">
        <f t="shared" si="282"/>
        <v>0</v>
      </c>
      <c r="BT100" s="1930">
        <f t="shared" si="282"/>
        <v>0</v>
      </c>
      <c r="BU100" s="1930">
        <f t="shared" si="282"/>
        <v>0</v>
      </c>
      <c r="BV100" s="1930">
        <f t="shared" si="282"/>
        <v>0</v>
      </c>
      <c r="BW100" s="1930">
        <f t="shared" si="282"/>
        <v>578.4</v>
      </c>
      <c r="BX100" s="1930">
        <f t="shared" si="282"/>
        <v>0</v>
      </c>
      <c r="BY100" s="1930">
        <f t="shared" si="282"/>
        <v>0</v>
      </c>
      <c r="BZ100" s="1930">
        <f t="shared" si="282"/>
        <v>1779</v>
      </c>
      <c r="CA100" s="1930">
        <f t="shared" si="282"/>
        <v>0</v>
      </c>
      <c r="CB100" s="1930">
        <f t="shared" si="282"/>
        <v>0</v>
      </c>
      <c r="CC100" s="1931">
        <f t="shared" si="282"/>
        <v>0</v>
      </c>
      <c r="CD100" s="1710">
        <f t="shared" ref="CD100:CP100" si="283">CD24-CD148</f>
        <v>2896.5</v>
      </c>
      <c r="CE100" s="1930">
        <f t="shared" si="283"/>
        <v>0</v>
      </c>
      <c r="CF100" s="1930">
        <f t="shared" si="283"/>
        <v>0</v>
      </c>
      <c r="CG100" s="1930">
        <f t="shared" si="283"/>
        <v>0</v>
      </c>
      <c r="CH100" s="1930">
        <f t="shared" si="283"/>
        <v>0</v>
      </c>
      <c r="CI100" s="1930">
        <f t="shared" si="283"/>
        <v>0</v>
      </c>
      <c r="CJ100" s="1930">
        <f t="shared" si="283"/>
        <v>0</v>
      </c>
      <c r="CK100" s="1930">
        <f t="shared" si="283"/>
        <v>0</v>
      </c>
      <c r="CL100" s="1930">
        <f t="shared" si="283"/>
        <v>0</v>
      </c>
      <c r="CM100" s="1930">
        <f t="shared" si="283"/>
        <v>2895</v>
      </c>
      <c r="CN100" s="1930">
        <f t="shared" si="283"/>
        <v>1.5</v>
      </c>
      <c r="CO100" s="1930">
        <f t="shared" si="283"/>
        <v>0</v>
      </c>
      <c r="CP100" s="1931">
        <f t="shared" si="283"/>
        <v>0</v>
      </c>
      <c r="CQ100" s="1710">
        <f t="shared" si="277"/>
        <v>3000</v>
      </c>
      <c r="CR100" s="1711">
        <f>인건비!CG32</f>
        <v>0</v>
      </c>
      <c r="CS100" s="1711">
        <f>인건비!CH32</f>
        <v>0</v>
      </c>
      <c r="CT100" s="1711">
        <f>인건비!CI32</f>
        <v>0</v>
      </c>
      <c r="CU100" s="1711">
        <f>인건비!CJ32</f>
        <v>0</v>
      </c>
      <c r="CV100" s="1711">
        <f>인건비!CK32</f>
        <v>0</v>
      </c>
      <c r="CW100" s="1711">
        <f>인건비!CL32</f>
        <v>0</v>
      </c>
      <c r="CX100" s="1711">
        <f>인건비!CM32</f>
        <v>0</v>
      </c>
      <c r="CY100" s="1711">
        <f>인건비!CN32</f>
        <v>0</v>
      </c>
      <c r="CZ100" s="1711">
        <f>인건비!CO32</f>
        <v>3000</v>
      </c>
      <c r="DA100" s="1711">
        <f>인건비!CP32</f>
        <v>0</v>
      </c>
      <c r="DB100" s="1711">
        <f>인건비!CQ32</f>
        <v>0</v>
      </c>
      <c r="DC100" s="2286">
        <f>인건비!CR32</f>
        <v>0</v>
      </c>
      <c r="DD100" s="25"/>
      <c r="DE100" s="25"/>
      <c r="DF100" s="25"/>
      <c r="DG100" s="2975">
        <f t="shared" si="217"/>
        <v>-2.5387154100025011E-3</v>
      </c>
      <c r="DH100" s="2976">
        <f t="shared" si="218"/>
        <v>0.2286841435479765</v>
      </c>
      <c r="DI100" s="2976">
        <f t="shared" si="219"/>
        <v>3.5732780942516751E-2</v>
      </c>
      <c r="DJ100" s="2976"/>
      <c r="DK100" s="1884"/>
      <c r="DL100" s="2718"/>
      <c r="DM100" s="2718"/>
    </row>
    <row r="101" spans="2:118">
      <c r="B101" s="40" t="s">
        <v>69</v>
      </c>
      <c r="C101" s="41"/>
      <c r="D101" s="66"/>
      <c r="E101" s="1340"/>
      <c r="F101" s="1340"/>
      <c r="G101" s="1340"/>
      <c r="H101" s="1340"/>
      <c r="I101" s="1340"/>
      <c r="J101" s="1340"/>
      <c r="K101" s="1340"/>
      <c r="L101" s="1340"/>
      <c r="M101" s="1340"/>
      <c r="N101" s="1340"/>
      <c r="O101" s="1340"/>
      <c r="P101" s="1340"/>
      <c r="Q101" s="64">
        <f t="shared" ref="Q101:Q102" si="284">SUM(R101:AC101)</f>
        <v>317.32509800000003</v>
      </c>
      <c r="R101" s="1340">
        <f>인건비!G34</f>
        <v>0</v>
      </c>
      <c r="S101" s="1340">
        <f>인건비!H34</f>
        <v>0</v>
      </c>
      <c r="T101" s="1340">
        <f>인건비!I34</f>
        <v>13.675269</v>
      </c>
      <c r="U101" s="1340">
        <f>인건비!J34</f>
        <v>0</v>
      </c>
      <c r="V101" s="1340">
        <f>인건비!K34</f>
        <v>0</v>
      </c>
      <c r="W101" s="1340">
        <f>인건비!L34</f>
        <v>15.875268999999999</v>
      </c>
      <c r="X101" s="1340">
        <f>인건비!M34</f>
        <v>1.3</v>
      </c>
      <c r="Y101" s="1340">
        <f>인건비!N34</f>
        <v>0.4</v>
      </c>
      <c r="Z101" s="1340">
        <f>인건비!O34</f>
        <v>13.775269</v>
      </c>
      <c r="AA101" s="1340">
        <f>인건비!P34</f>
        <v>5.74E-2</v>
      </c>
      <c r="AB101" s="1340">
        <f>인건비!Q34</f>
        <v>0.58972000000000002</v>
      </c>
      <c r="AC101" s="1341">
        <f>인건비!R34</f>
        <v>271.65217100000001</v>
      </c>
      <c r="AD101" s="64">
        <f t="shared" ref="AD101:AD128" si="285">AD25-AD149</f>
        <v>396.97131899999994</v>
      </c>
      <c r="AE101" s="1340">
        <f>인건비!T34</f>
        <v>8.8021360000000008</v>
      </c>
      <c r="AF101" s="1340">
        <f>인건비!U34</f>
        <v>8.8021360000000008</v>
      </c>
      <c r="AG101" s="1340">
        <f>인건비!V34</f>
        <v>10.602136</v>
      </c>
      <c r="AH101" s="1340">
        <f>인건비!W34</f>
        <v>10.962135999999999</v>
      </c>
      <c r="AI101" s="1340">
        <f>인건비!X34</f>
        <v>10.602136</v>
      </c>
      <c r="AJ101" s="1340">
        <f>인건비!Y34</f>
        <v>12.282135999999999</v>
      </c>
      <c r="AK101" s="1340">
        <f>인건비!Z34</f>
        <v>10.362136</v>
      </c>
      <c r="AL101" s="1340">
        <f>인건비!AA34</f>
        <v>10.122135999999999</v>
      </c>
      <c r="AM101" s="1340">
        <f>인건비!AB34</f>
        <v>8.8021360000000008</v>
      </c>
      <c r="AN101" s="1340">
        <f>인건비!AC34</f>
        <v>263.13036499999998</v>
      </c>
      <c r="AO101" s="1340">
        <f>인건비!AD34</f>
        <v>10.602136</v>
      </c>
      <c r="AP101" s="1340">
        <f>인건비!AE34</f>
        <v>31.899594</v>
      </c>
      <c r="AQ101" s="64">
        <f t="shared" si="213"/>
        <v>741.52122900000006</v>
      </c>
      <c r="AR101" s="1340"/>
      <c r="AS101" s="1340"/>
      <c r="AT101" s="1340"/>
      <c r="AU101" s="1340"/>
      <c r="AV101" s="1340"/>
      <c r="AW101" s="1340"/>
      <c r="AX101" s="1340"/>
      <c r="AY101" s="1340"/>
      <c r="AZ101" s="1340"/>
      <c r="BA101" s="1340"/>
      <c r="BB101" s="1340"/>
      <c r="BC101" s="1340"/>
      <c r="BD101" s="64">
        <f t="shared" ref="BD101:BP101" si="286">BD25-BD149</f>
        <v>806.359106</v>
      </c>
      <c r="BE101" s="1340">
        <f t="shared" si="286"/>
        <v>9.0370430000000006</v>
      </c>
      <c r="BF101" s="1340">
        <f t="shared" si="286"/>
        <v>135.26564300000001</v>
      </c>
      <c r="BG101" s="1340">
        <f t="shared" si="286"/>
        <v>11.977043</v>
      </c>
      <c r="BH101" s="1340">
        <f t="shared" si="286"/>
        <v>131.93751900000001</v>
      </c>
      <c r="BI101" s="1340">
        <f t="shared" si="286"/>
        <v>10.357043000000001</v>
      </c>
      <c r="BJ101" s="1340">
        <f t="shared" si="286"/>
        <v>10.597042999999999</v>
      </c>
      <c r="BK101" s="1340">
        <f t="shared" si="286"/>
        <v>10.477043</v>
      </c>
      <c r="BL101" s="1340">
        <f t="shared" si="286"/>
        <v>82.647042999999996</v>
      </c>
      <c r="BM101" s="1340">
        <f t="shared" si="286"/>
        <v>10.597042999999999</v>
      </c>
      <c r="BN101" s="1340">
        <f t="shared" si="286"/>
        <v>155.57009199999999</v>
      </c>
      <c r="BO101" s="1340">
        <f t="shared" si="286"/>
        <v>18.464724</v>
      </c>
      <c r="BP101" s="1340">
        <f t="shared" si="286"/>
        <v>219.431827</v>
      </c>
      <c r="BQ101" s="1710">
        <f t="shared" ref="BQ101:CC101" si="287">BQ25-BQ149</f>
        <v>707.798631</v>
      </c>
      <c r="BR101" s="1930">
        <f t="shared" si="287"/>
        <v>10.320023000000001</v>
      </c>
      <c r="BS101" s="1930">
        <f t="shared" si="287"/>
        <v>15.840023</v>
      </c>
      <c r="BT101" s="1930">
        <f t="shared" si="287"/>
        <v>15.840023</v>
      </c>
      <c r="BU101" s="1930">
        <f t="shared" si="287"/>
        <v>136.77819600000001</v>
      </c>
      <c r="BV101" s="1930">
        <f t="shared" si="287"/>
        <v>15.840023</v>
      </c>
      <c r="BW101" s="1930">
        <f t="shared" si="287"/>
        <v>16.240023000000001</v>
      </c>
      <c r="BX101" s="1930">
        <f t="shared" si="287"/>
        <v>8.6400229999999993</v>
      </c>
      <c r="BY101" s="1930">
        <f t="shared" si="287"/>
        <v>32.833488000000003</v>
      </c>
      <c r="BZ101" s="1930">
        <f t="shared" si="287"/>
        <v>139.832527</v>
      </c>
      <c r="CA101" s="1930">
        <f t="shared" si="287"/>
        <v>21.840022999999999</v>
      </c>
      <c r="CB101" s="1930">
        <f t="shared" si="287"/>
        <v>151.93151700000001</v>
      </c>
      <c r="CC101" s="1931">
        <f t="shared" si="287"/>
        <v>141.862742</v>
      </c>
      <c r="CD101" s="1710">
        <f t="shared" ref="CD101:CP101" si="288">CD25-CD149</f>
        <v>699.44121100000007</v>
      </c>
      <c r="CE101" s="1930">
        <f t="shared" si="288"/>
        <v>115.603053</v>
      </c>
      <c r="CF101" s="1930">
        <f t="shared" si="288"/>
        <v>11.543053</v>
      </c>
      <c r="CG101" s="1930">
        <f t="shared" si="288"/>
        <v>9.7430529999999997</v>
      </c>
      <c r="CH101" s="1930">
        <f t="shared" si="288"/>
        <v>30.543053</v>
      </c>
      <c r="CI101" s="1930">
        <f t="shared" si="288"/>
        <v>8.6430530000000001</v>
      </c>
      <c r="CJ101" s="1930">
        <f t="shared" si="288"/>
        <v>21.243053</v>
      </c>
      <c r="CK101" s="1930">
        <f t="shared" si="288"/>
        <v>10.143053</v>
      </c>
      <c r="CL101" s="1930">
        <f t="shared" si="288"/>
        <v>8.5430530000000005</v>
      </c>
      <c r="CM101" s="1930">
        <f t="shared" si="288"/>
        <v>42.693052999999999</v>
      </c>
      <c r="CN101" s="1930">
        <f t="shared" si="288"/>
        <v>17.043053</v>
      </c>
      <c r="CO101" s="1930">
        <f t="shared" si="288"/>
        <v>27.643052999999998</v>
      </c>
      <c r="CP101" s="1931">
        <f t="shared" si="288"/>
        <v>396.05762800000002</v>
      </c>
      <c r="CQ101" s="1710">
        <f t="shared" si="277"/>
        <v>710.47573507999959</v>
      </c>
      <c r="CR101" s="1711">
        <f>인건비!CG34</f>
        <v>19.904477923333335</v>
      </c>
      <c r="CS101" s="1711">
        <f>인건비!CH34</f>
        <v>71.522677923333347</v>
      </c>
      <c r="CT101" s="1711">
        <f>인건비!CI34</f>
        <v>69.668677923333348</v>
      </c>
      <c r="CU101" s="1711">
        <f>인건비!CJ34</f>
        <v>41.092677923333326</v>
      </c>
      <c r="CV101" s="1711">
        <f>인건비!CK34</f>
        <v>38.535677923333331</v>
      </c>
      <c r="CW101" s="1711">
        <f>인건비!CL34</f>
        <v>31.513677923333336</v>
      </c>
      <c r="CX101" s="1711">
        <f>인건비!CM34</f>
        <v>43.506311256666663</v>
      </c>
      <c r="CY101" s="1711">
        <f>인건비!CN34</f>
        <v>43.506311256666663</v>
      </c>
      <c r="CZ101" s="1711">
        <f>인건비!CO34</f>
        <v>43.506311256666663</v>
      </c>
      <c r="DA101" s="1711">
        <f>인건비!CP34</f>
        <v>43.506311256666663</v>
      </c>
      <c r="DB101" s="1711">
        <f>인건비!CQ34</f>
        <v>43.506311256666663</v>
      </c>
      <c r="DC101" s="2286">
        <f>인건비!CR34</f>
        <v>220.70631125666631</v>
      </c>
      <c r="DD101" s="25"/>
      <c r="DE101" s="25"/>
      <c r="DF101" s="25"/>
      <c r="DG101" s="2975">
        <f t="shared" si="217"/>
        <v>-0.12222900971369444</v>
      </c>
      <c r="DH101" s="2976">
        <f t="shared" si="218"/>
        <v>-1.1807623855096039E-2</v>
      </c>
      <c r="DI101" s="2976">
        <f t="shared" si="219"/>
        <v>1.5776199495341814E-2</v>
      </c>
      <c r="DJ101" s="2976"/>
      <c r="DK101" s="1884"/>
      <c r="DL101" s="2718"/>
      <c r="DM101" s="2718"/>
    </row>
    <row r="102" spans="2:118">
      <c r="B102" s="40" t="s">
        <v>70</v>
      </c>
      <c r="C102" s="41"/>
      <c r="D102" s="66"/>
      <c r="E102" s="1340"/>
      <c r="F102" s="1340"/>
      <c r="G102" s="1340"/>
      <c r="H102" s="1340"/>
      <c r="I102" s="1340"/>
      <c r="J102" s="1340"/>
      <c r="K102" s="1340"/>
      <c r="L102" s="1340"/>
      <c r="M102" s="1340"/>
      <c r="N102" s="1340"/>
      <c r="O102" s="1340"/>
      <c r="P102" s="1340"/>
      <c r="Q102" s="64">
        <f t="shared" si="284"/>
        <v>7981.6238729999995</v>
      </c>
      <c r="R102" s="1340">
        <f>인건비!G36</f>
        <v>711.13694999999996</v>
      </c>
      <c r="S102" s="1340">
        <f>인건비!H36</f>
        <v>711.13694999999996</v>
      </c>
      <c r="T102" s="1340">
        <f>인건비!I36</f>
        <v>561.13694999999996</v>
      </c>
      <c r="U102" s="1340">
        <f>인건비!J36</f>
        <v>661.13694999999996</v>
      </c>
      <c r="V102" s="1340">
        <f>인건비!K36</f>
        <v>661.13694999999996</v>
      </c>
      <c r="W102" s="1340">
        <f>인건비!L36</f>
        <v>661.13694999999996</v>
      </c>
      <c r="X102" s="1340">
        <f>인건비!M36</f>
        <v>661.13694999999996</v>
      </c>
      <c r="Y102" s="1340">
        <f>인건비!N36</f>
        <v>661.13694999999996</v>
      </c>
      <c r="Z102" s="1340">
        <f>인건비!O36</f>
        <v>661.13694999999996</v>
      </c>
      <c r="AA102" s="1340">
        <f>인건비!P36</f>
        <v>661.13694999999996</v>
      </c>
      <c r="AB102" s="1340">
        <f>인건비!Q36</f>
        <v>661.13694999999996</v>
      </c>
      <c r="AC102" s="1341">
        <f>인건비!R36</f>
        <v>709.11742300000003</v>
      </c>
      <c r="AD102" s="64">
        <f t="shared" si="285"/>
        <v>8056.1611250000014</v>
      </c>
      <c r="AE102" s="1340">
        <f>인건비!T36</f>
        <v>639.63320599999997</v>
      </c>
      <c r="AF102" s="1340">
        <f>인건비!U36</f>
        <v>639.63320599999997</v>
      </c>
      <c r="AG102" s="1340">
        <f>인건비!V36</f>
        <v>639.63320599999997</v>
      </c>
      <c r="AH102" s="1340">
        <f>인건비!W36</f>
        <v>639.63320599999997</v>
      </c>
      <c r="AI102" s="1340">
        <f>인건비!X36</f>
        <v>639.63320599999997</v>
      </c>
      <c r="AJ102" s="1340">
        <f>인건비!Y36</f>
        <v>639.63320599999997</v>
      </c>
      <c r="AK102" s="1340">
        <f>인건비!Z36</f>
        <v>639.63320599999997</v>
      </c>
      <c r="AL102" s="1340">
        <f>인건비!AA36</f>
        <v>639.63320599999997</v>
      </c>
      <c r="AM102" s="1340">
        <f>인건비!AB36</f>
        <v>639.63320599999997</v>
      </c>
      <c r="AN102" s="1340">
        <f>인건비!AC36</f>
        <v>639.63320599999997</v>
      </c>
      <c r="AO102" s="1340">
        <f>인건비!AD36</f>
        <v>639.63320599999997</v>
      </c>
      <c r="AP102" s="1340">
        <f>인건비!AE36</f>
        <v>1020.195859</v>
      </c>
      <c r="AQ102" s="64">
        <f t="shared" si="213"/>
        <v>7888.8736600000011</v>
      </c>
      <c r="AR102" s="1340"/>
      <c r="AS102" s="1340"/>
      <c r="AT102" s="1340"/>
      <c r="AU102" s="1340"/>
      <c r="AV102" s="1340"/>
      <c r="AW102" s="1340"/>
      <c r="AX102" s="1340"/>
      <c r="AY102" s="1340"/>
      <c r="AZ102" s="1340"/>
      <c r="BA102" s="1340"/>
      <c r="BB102" s="1340"/>
      <c r="BC102" s="1340"/>
      <c r="BD102" s="64">
        <f t="shared" ref="BD102:BP102" si="289">BD26-BD150</f>
        <v>7219.9387460000016</v>
      </c>
      <c r="BE102" s="1340">
        <f t="shared" si="289"/>
        <v>668.26682400000004</v>
      </c>
      <c r="BF102" s="1340">
        <f t="shared" si="289"/>
        <v>668.26682400000004</v>
      </c>
      <c r="BG102" s="1340">
        <f t="shared" si="289"/>
        <v>668.26682400000004</v>
      </c>
      <c r="BH102" s="1340">
        <f t="shared" si="289"/>
        <v>668.26682400000004</v>
      </c>
      <c r="BI102" s="1340">
        <f t="shared" si="289"/>
        <v>668.26682400000004</v>
      </c>
      <c r="BJ102" s="1340">
        <f t="shared" si="289"/>
        <v>668.26682400000004</v>
      </c>
      <c r="BK102" s="1340">
        <f t="shared" si="289"/>
        <v>668.26682400000004</v>
      </c>
      <c r="BL102" s="1340">
        <f t="shared" si="289"/>
        <v>668.26682400000004</v>
      </c>
      <c r="BM102" s="1340">
        <f t="shared" si="289"/>
        <v>668.26682400000004</v>
      </c>
      <c r="BN102" s="1340">
        <f t="shared" si="289"/>
        <v>668.26682400000004</v>
      </c>
      <c r="BO102" s="1340">
        <f t="shared" si="289"/>
        <v>668.26682400000004</v>
      </c>
      <c r="BP102" s="1340">
        <f t="shared" si="289"/>
        <v>-130.996318</v>
      </c>
      <c r="BQ102" s="1710">
        <f t="shared" ref="BQ102:CC102" si="290">BQ26-BQ150</f>
        <v>8364.7090190000017</v>
      </c>
      <c r="BR102" s="1930">
        <f t="shared" si="290"/>
        <v>646.57751900000005</v>
      </c>
      <c r="BS102" s="1930">
        <f t="shared" si="290"/>
        <v>646.57751900000005</v>
      </c>
      <c r="BT102" s="1930">
        <f t="shared" si="290"/>
        <v>646.57751900000005</v>
      </c>
      <c r="BU102" s="1930">
        <f t="shared" si="290"/>
        <v>646.57751900000005</v>
      </c>
      <c r="BV102" s="1930">
        <f t="shared" si="290"/>
        <v>646.57751900000005</v>
      </c>
      <c r="BW102" s="1930">
        <f t="shared" si="290"/>
        <v>646.57751900000005</v>
      </c>
      <c r="BX102" s="1930">
        <f t="shared" si="290"/>
        <v>646.57751900000005</v>
      </c>
      <c r="BY102" s="1930">
        <f t="shared" si="290"/>
        <v>646.57751900000005</v>
      </c>
      <c r="BZ102" s="1930">
        <f t="shared" si="290"/>
        <v>646.57751900000005</v>
      </c>
      <c r="CA102" s="1930">
        <f t="shared" si="290"/>
        <v>646.57751900000005</v>
      </c>
      <c r="CB102" s="1930">
        <f t="shared" si="290"/>
        <v>646.57751900000005</v>
      </c>
      <c r="CC102" s="1931">
        <f t="shared" si="290"/>
        <v>1252.3563099999999</v>
      </c>
      <c r="CD102" s="1710">
        <f t="shared" ref="CD102:CP102" si="291">CD26-CD150</f>
        <v>10263.998377999998</v>
      </c>
      <c r="CE102" s="1930">
        <f t="shared" si="291"/>
        <v>743.62770699999999</v>
      </c>
      <c r="CF102" s="1930">
        <f t="shared" si="291"/>
        <v>743.62770699999999</v>
      </c>
      <c r="CG102" s="1930">
        <f t="shared" si="291"/>
        <v>743.62770699999999</v>
      </c>
      <c r="CH102" s="1930">
        <f t="shared" si="291"/>
        <v>743.62770699999999</v>
      </c>
      <c r="CI102" s="1930">
        <f t="shared" si="291"/>
        <v>743.62770699999999</v>
      </c>
      <c r="CJ102" s="1930">
        <f t="shared" si="291"/>
        <v>743.62770699999999</v>
      </c>
      <c r="CK102" s="1930">
        <f t="shared" si="291"/>
        <v>743.62770699999999</v>
      </c>
      <c r="CL102" s="1930">
        <f t="shared" si="291"/>
        <v>743.62770699999999</v>
      </c>
      <c r="CM102" s="1930">
        <f t="shared" si="291"/>
        <v>743.62770699999999</v>
      </c>
      <c r="CN102" s="1930">
        <f t="shared" si="291"/>
        <v>743.62770699999999</v>
      </c>
      <c r="CO102" s="1930">
        <f t="shared" si="291"/>
        <v>743.62770699999999</v>
      </c>
      <c r="CP102" s="1931">
        <f t="shared" si="291"/>
        <v>2084.093601</v>
      </c>
      <c r="CQ102" s="1710">
        <f t="shared" si="277"/>
        <v>11914</v>
      </c>
      <c r="CR102" s="1711">
        <f>인건비!CG36</f>
        <v>729</v>
      </c>
      <c r="CS102" s="1711">
        <f>인건비!CH36</f>
        <v>729</v>
      </c>
      <c r="CT102" s="1711">
        <f>인건비!CI36</f>
        <v>729</v>
      </c>
      <c r="CU102" s="1711">
        <f>인건비!CJ36</f>
        <v>729</v>
      </c>
      <c r="CV102" s="1711">
        <f>인건비!CK36</f>
        <v>729</v>
      </c>
      <c r="CW102" s="1711">
        <f>인건비!CL36</f>
        <v>729</v>
      </c>
      <c r="CX102" s="1711">
        <f>인건비!CM36</f>
        <v>729</v>
      </c>
      <c r="CY102" s="1711">
        <f>인건비!CN36</f>
        <v>729</v>
      </c>
      <c r="CZ102" s="1711">
        <f>인건비!CO36</f>
        <v>729</v>
      </c>
      <c r="DA102" s="1711">
        <f>인건비!CP36</f>
        <v>729</v>
      </c>
      <c r="DB102" s="1711">
        <f>인건비!CQ36</f>
        <v>729</v>
      </c>
      <c r="DC102" s="2286">
        <f>인건비!CR36</f>
        <v>3895</v>
      </c>
      <c r="DD102" s="25"/>
      <c r="DE102" s="25"/>
      <c r="DF102" s="25"/>
      <c r="DG102" s="2975">
        <f t="shared" si="217"/>
        <v>0.15855678465890399</v>
      </c>
      <c r="DH102" s="2976">
        <f t="shared" si="218"/>
        <v>0.2270598241595565</v>
      </c>
      <c r="DI102" s="2976">
        <f t="shared" si="219"/>
        <v>0.16075622396206124</v>
      </c>
      <c r="DJ102" s="2976"/>
      <c r="DK102" s="1884"/>
      <c r="DL102" s="2718"/>
      <c r="DM102" s="2718"/>
    </row>
    <row r="103" spans="2:118">
      <c r="B103" s="43" t="s">
        <v>71</v>
      </c>
      <c r="C103" s="44"/>
      <c r="D103" s="45"/>
      <c r="E103" s="1346"/>
      <c r="F103" s="1346"/>
      <c r="G103" s="1346"/>
      <c r="H103" s="1346"/>
      <c r="I103" s="1346"/>
      <c r="J103" s="1346"/>
      <c r="K103" s="1346"/>
      <c r="L103" s="1346"/>
      <c r="M103" s="1346"/>
      <c r="N103" s="1346"/>
      <c r="O103" s="1346"/>
      <c r="P103" s="1346"/>
      <c r="Q103" s="1349">
        <f>SUM(R103:AC103)</f>
        <v>19718.81436</v>
      </c>
      <c r="R103" s="1346">
        <f>인건비!G37</f>
        <v>1731.755899</v>
      </c>
      <c r="S103" s="1346">
        <f>인건비!H37</f>
        <v>1489.2026679999999</v>
      </c>
      <c r="T103" s="1346">
        <f>인건비!I37</f>
        <v>1540.7448790000001</v>
      </c>
      <c r="U103" s="1346">
        <f>인건비!J37</f>
        <v>2014.325713</v>
      </c>
      <c r="V103" s="1346">
        <f>인건비!K37</f>
        <v>1785.2702449999999</v>
      </c>
      <c r="W103" s="1346">
        <f>인건비!L37</f>
        <v>1681.7368899999999</v>
      </c>
      <c r="X103" s="1346">
        <f>인건비!M37</f>
        <v>1482.592809</v>
      </c>
      <c r="Y103" s="1346">
        <f>인건비!N37</f>
        <v>1392.0262600000001</v>
      </c>
      <c r="Z103" s="1346">
        <f>인건비!O37</f>
        <v>1732.8543649999999</v>
      </c>
      <c r="AA103" s="1346">
        <f>인건비!P37</f>
        <v>1331.2755810000001</v>
      </c>
      <c r="AB103" s="1346">
        <f>인건비!Q37</f>
        <v>1370.213119</v>
      </c>
      <c r="AC103" s="1350">
        <f>인건비!R37</f>
        <v>2166.815932</v>
      </c>
      <c r="AD103" s="1349">
        <f t="shared" si="285"/>
        <v>20731.250347999998</v>
      </c>
      <c r="AE103" s="1346">
        <f>인건비!T37</f>
        <v>1276.432143</v>
      </c>
      <c r="AF103" s="1346">
        <f>인건비!U37</f>
        <v>1384.005322</v>
      </c>
      <c r="AG103" s="1346">
        <f>인건비!V37</f>
        <v>1355.7025329999999</v>
      </c>
      <c r="AH103" s="1346">
        <f>인건비!W37</f>
        <v>1383.091222</v>
      </c>
      <c r="AI103" s="1346">
        <f>인건비!X37</f>
        <v>1541.4251790000001</v>
      </c>
      <c r="AJ103" s="1346">
        <f>인건비!Y37</f>
        <v>2099.4008229999999</v>
      </c>
      <c r="AK103" s="1346">
        <f>인건비!Z37</f>
        <v>1570.296118</v>
      </c>
      <c r="AL103" s="1346">
        <f>인건비!AA37</f>
        <v>1725.6687589999999</v>
      </c>
      <c r="AM103" s="1346">
        <f>인건비!AB37</f>
        <v>2510.2104680000002</v>
      </c>
      <c r="AN103" s="1346">
        <f>인건비!AC37</f>
        <v>1376.5428589999999</v>
      </c>
      <c r="AO103" s="1346">
        <f>인건비!AD37</f>
        <v>1477.66876</v>
      </c>
      <c r="AP103" s="1346">
        <f>인건비!AE37</f>
        <v>3030.8061619999999</v>
      </c>
      <c r="AQ103" s="1349">
        <f t="shared" si="213"/>
        <v>26763.860604000005</v>
      </c>
      <c r="AR103" s="1346"/>
      <c r="AS103" s="1346"/>
      <c r="AT103" s="1346"/>
      <c r="AU103" s="1346"/>
      <c r="AV103" s="1346"/>
      <c r="AW103" s="1346"/>
      <c r="AX103" s="1346"/>
      <c r="AY103" s="1346"/>
      <c r="AZ103" s="1346"/>
      <c r="BA103" s="1346"/>
      <c r="BB103" s="1346"/>
      <c r="BC103" s="1346"/>
      <c r="BD103" s="1349">
        <f t="shared" ref="BD103:BP103" si="292">BD27-BD151</f>
        <v>28324.855577000002</v>
      </c>
      <c r="BE103" s="1346">
        <f t="shared" si="292"/>
        <v>2151.5120740000002</v>
      </c>
      <c r="BF103" s="1346">
        <f t="shared" si="292"/>
        <v>1940.493577</v>
      </c>
      <c r="BG103" s="1346">
        <f t="shared" si="292"/>
        <v>2791.0483319999998</v>
      </c>
      <c r="BH103" s="1346">
        <f t="shared" si="292"/>
        <v>2659.1481079999999</v>
      </c>
      <c r="BI103" s="1346">
        <f t="shared" si="292"/>
        <v>2378.520156</v>
      </c>
      <c r="BJ103" s="1346">
        <f t="shared" si="292"/>
        <v>2166.5763259999999</v>
      </c>
      <c r="BK103" s="1346">
        <f t="shared" si="292"/>
        <v>2254.9829500000001</v>
      </c>
      <c r="BL103" s="1346">
        <f t="shared" si="292"/>
        <v>2017.6340419999999</v>
      </c>
      <c r="BM103" s="1346">
        <f t="shared" si="292"/>
        <v>3016.7000090000001</v>
      </c>
      <c r="BN103" s="1346">
        <f t="shared" si="292"/>
        <v>2021.5329630000001</v>
      </c>
      <c r="BO103" s="1346">
        <f t="shared" si="292"/>
        <v>2429.4685159999999</v>
      </c>
      <c r="BP103" s="1346">
        <f t="shared" si="292"/>
        <v>2497.2385239999999</v>
      </c>
      <c r="BQ103" s="1349">
        <f t="shared" ref="BQ103:CC103" si="293">BQ27-BQ151</f>
        <v>30103.897223</v>
      </c>
      <c r="BR103" s="1934">
        <f t="shared" si="293"/>
        <v>1671.152875</v>
      </c>
      <c r="BS103" s="1934">
        <f t="shared" si="293"/>
        <v>2642.0653659999998</v>
      </c>
      <c r="BT103" s="1934">
        <f t="shared" si="293"/>
        <v>2323.5422349999999</v>
      </c>
      <c r="BU103" s="1934">
        <f t="shared" si="293"/>
        <v>2294.2253340000002</v>
      </c>
      <c r="BV103" s="1934">
        <f t="shared" si="293"/>
        <v>2207.0231319999998</v>
      </c>
      <c r="BW103" s="1934">
        <f t="shared" si="293"/>
        <v>2448.778421</v>
      </c>
      <c r="BX103" s="1934">
        <f t="shared" si="293"/>
        <v>2255.7873070000001</v>
      </c>
      <c r="BY103" s="1934">
        <f t="shared" si="293"/>
        <v>2703.7428150000001</v>
      </c>
      <c r="BZ103" s="1934">
        <f t="shared" si="293"/>
        <v>3082.2892310000002</v>
      </c>
      <c r="CA103" s="1934">
        <f t="shared" si="293"/>
        <v>2567.6194869999999</v>
      </c>
      <c r="CB103" s="1934">
        <f t="shared" si="293"/>
        <v>2362.2867230000002</v>
      </c>
      <c r="CC103" s="1921">
        <f t="shared" si="293"/>
        <v>3545.3842970000001</v>
      </c>
      <c r="CD103" s="1349">
        <f t="shared" ref="CD103:CP103" si="294">CD27-CD151</f>
        <v>33976.063200000004</v>
      </c>
      <c r="CE103" s="2851">
        <f t="shared" si="294"/>
        <v>2119.9558240000001</v>
      </c>
      <c r="CF103" s="2851">
        <f t="shared" si="294"/>
        <v>1860.378584</v>
      </c>
      <c r="CG103" s="2851">
        <f t="shared" si="294"/>
        <v>2792.8682130000002</v>
      </c>
      <c r="CH103" s="2851">
        <f t="shared" si="294"/>
        <v>2584.702358</v>
      </c>
      <c r="CI103" s="2851">
        <f t="shared" si="294"/>
        <v>2536.1255160000001</v>
      </c>
      <c r="CJ103" s="2851">
        <f t="shared" si="294"/>
        <v>4013.8687690000002</v>
      </c>
      <c r="CK103" s="2851">
        <f t="shared" si="294"/>
        <v>2992.8870860000002</v>
      </c>
      <c r="CL103" s="2851">
        <f t="shared" si="294"/>
        <v>3387.0169850000002</v>
      </c>
      <c r="CM103" s="2851">
        <f t="shared" si="294"/>
        <v>3258.3244460000001</v>
      </c>
      <c r="CN103" s="2851">
        <f t="shared" si="294"/>
        <v>2594.2441429999999</v>
      </c>
      <c r="CO103" s="2851">
        <f t="shared" si="294"/>
        <v>2365.094004</v>
      </c>
      <c r="CP103" s="2878">
        <f t="shared" si="294"/>
        <v>3470.597272</v>
      </c>
      <c r="CQ103" s="1349">
        <f t="shared" si="277"/>
        <v>34406.548819023214</v>
      </c>
      <c r="CR103" s="2015">
        <f>인건비!CG37</f>
        <v>2483.6680236507264</v>
      </c>
      <c r="CS103" s="2015">
        <f>인건비!CH37</f>
        <v>2654.4943934769253</v>
      </c>
      <c r="CT103" s="2015">
        <f>인건비!CI37</f>
        <v>2583.7795828576891</v>
      </c>
      <c r="CU103" s="2015">
        <f>인건비!CJ37</f>
        <v>2731.5078366839361</v>
      </c>
      <c r="CV103" s="2015">
        <f>인건비!CK37</f>
        <v>2587.619337386288</v>
      </c>
      <c r="CW103" s="2015">
        <f>인건비!CL37</f>
        <v>3759.6770263151006</v>
      </c>
      <c r="CX103" s="2015">
        <f>인건비!CM37</f>
        <v>2660.4304708095324</v>
      </c>
      <c r="CY103" s="2015">
        <f>인건비!CN37</f>
        <v>3039.0646691030588</v>
      </c>
      <c r="CZ103" s="2015">
        <f>인건비!CO37</f>
        <v>2681.6836336962588</v>
      </c>
      <c r="DA103" s="2015">
        <f>인건비!CP37</f>
        <v>2979.8702452733178</v>
      </c>
      <c r="DB103" s="2015">
        <f>인건비!CQ37</f>
        <v>2799.7546339930341</v>
      </c>
      <c r="DC103" s="2288">
        <f>인건비!CR37</f>
        <v>3444.9989657773481</v>
      </c>
      <c r="DD103" s="25"/>
      <c r="DE103" s="25"/>
      <c r="DF103" s="25"/>
      <c r="DG103" s="2975">
        <f t="shared" si="217"/>
        <v>6.2808498393354339E-2</v>
      </c>
      <c r="DH103" s="2976">
        <f t="shared" si="218"/>
        <v>0.12862673388486034</v>
      </c>
      <c r="DI103" s="2976">
        <f t="shared" si="219"/>
        <v>1.2670261898477087E-2</v>
      </c>
      <c r="DJ103" s="2976"/>
      <c r="DK103" s="1884"/>
      <c r="DL103" s="2718"/>
      <c r="DM103" s="2718"/>
    </row>
    <row r="104" spans="2:118">
      <c r="B104" s="46" t="s">
        <v>72</v>
      </c>
      <c r="C104" s="34"/>
      <c r="D104" s="35"/>
      <c r="E104" s="1335"/>
      <c r="F104" s="1335"/>
      <c r="G104" s="1335"/>
      <c r="H104" s="1335"/>
      <c r="I104" s="1335"/>
      <c r="J104" s="1335"/>
      <c r="K104" s="1335"/>
      <c r="L104" s="1335"/>
      <c r="M104" s="1335"/>
      <c r="N104" s="1335"/>
      <c r="O104" s="1335"/>
      <c r="P104" s="1335"/>
      <c r="Q104" s="1345">
        <f t="shared" ref="Q104" si="295">SUM(Q105:Q107)</f>
        <v>30979.456885</v>
      </c>
      <c r="R104" s="1335">
        <f>SUM(R105:R107)</f>
        <v>1580.7568739999999</v>
      </c>
      <c r="S104" s="1335">
        <f t="shared" ref="S104:T104" si="296">SUM(S105:S107)</f>
        <v>1565.6174009999997</v>
      </c>
      <c r="T104" s="1335">
        <f t="shared" si="296"/>
        <v>1829.9156190000003</v>
      </c>
      <c r="U104" s="1335">
        <f t="shared" ref="U104" si="297">SUM(U105:U107)</f>
        <v>1901.1031849999999</v>
      </c>
      <c r="V104" s="1335">
        <f t="shared" ref="V104:W104" si="298">SUM(V105:V107)</f>
        <v>2366.7804230000002</v>
      </c>
      <c r="W104" s="1335">
        <f t="shared" si="298"/>
        <v>2287.7365909999999</v>
      </c>
      <c r="X104" s="1335">
        <f t="shared" ref="X104:AC104" si="299">SUM(X105:X107)</f>
        <v>2724.144065</v>
      </c>
      <c r="Y104" s="1335">
        <f t="shared" si="299"/>
        <v>2392.1398079999999</v>
      </c>
      <c r="Z104" s="1335">
        <f t="shared" si="299"/>
        <v>1961.8334149999998</v>
      </c>
      <c r="AA104" s="1335">
        <f t="shared" si="299"/>
        <v>3406.3408019999997</v>
      </c>
      <c r="AB104" s="1335">
        <f t="shared" si="299"/>
        <v>4940.1448099999998</v>
      </c>
      <c r="AC104" s="1074">
        <f t="shared" si="299"/>
        <v>4022.9438919999993</v>
      </c>
      <c r="AD104" s="1345">
        <f t="shared" si="285"/>
        <v>34947.091122999998</v>
      </c>
      <c r="AE104" s="1335">
        <f t="shared" ref="AE104:AP104" si="300">SUM(AE105:AE107)</f>
        <v>2180.0728340000001</v>
      </c>
      <c r="AF104" s="1335">
        <f t="shared" si="300"/>
        <v>2591.9360969999998</v>
      </c>
      <c r="AG104" s="1335">
        <f t="shared" si="300"/>
        <v>2608.666514</v>
      </c>
      <c r="AH104" s="1335">
        <f t="shared" si="300"/>
        <v>2188.2347179999997</v>
      </c>
      <c r="AI104" s="1335">
        <f t="shared" si="300"/>
        <v>2948.9548649999997</v>
      </c>
      <c r="AJ104" s="1335">
        <f t="shared" si="300"/>
        <v>2680.0678910000001</v>
      </c>
      <c r="AK104" s="1335">
        <f t="shared" si="300"/>
        <v>2442.3401690000001</v>
      </c>
      <c r="AL104" s="1335">
        <f t="shared" si="300"/>
        <v>2435.8798270000002</v>
      </c>
      <c r="AM104" s="1335">
        <f t="shared" si="300"/>
        <v>2986.4575319999999</v>
      </c>
      <c r="AN104" s="1335">
        <f t="shared" si="300"/>
        <v>3486.4014219999999</v>
      </c>
      <c r="AO104" s="1335">
        <f t="shared" si="300"/>
        <v>3695.8984499999997</v>
      </c>
      <c r="AP104" s="1335">
        <f t="shared" si="300"/>
        <v>5702.6608040000001</v>
      </c>
      <c r="AQ104" s="1345">
        <f t="shared" si="213"/>
        <v>52244.625585000002</v>
      </c>
      <c r="AR104" s="1335"/>
      <c r="AS104" s="1335"/>
      <c r="AT104" s="1335"/>
      <c r="AU104" s="1335"/>
      <c r="AV104" s="1335"/>
      <c r="AW104" s="1335"/>
      <c r="AX104" s="1335"/>
      <c r="AY104" s="1335"/>
      <c r="AZ104" s="1335"/>
      <c r="BA104" s="1335"/>
      <c r="BB104" s="1335"/>
      <c r="BC104" s="1335"/>
      <c r="BD104" s="1345">
        <f t="shared" ref="BD104:BP104" si="301">BD28-BD152</f>
        <v>52195.730611999992</v>
      </c>
      <c r="BE104" s="1335">
        <f t="shared" si="301"/>
        <v>1067.94661</v>
      </c>
      <c r="BF104" s="1335">
        <f t="shared" si="301"/>
        <v>3183.7916350000005</v>
      </c>
      <c r="BG104" s="1335">
        <f t="shared" si="301"/>
        <v>2951.2413190000002</v>
      </c>
      <c r="BH104" s="1335">
        <f t="shared" si="301"/>
        <v>2336.4959260000001</v>
      </c>
      <c r="BI104" s="1335">
        <f t="shared" si="301"/>
        <v>2660.2806840000003</v>
      </c>
      <c r="BJ104" s="1335">
        <f t="shared" si="301"/>
        <v>6279.9807749999991</v>
      </c>
      <c r="BK104" s="1335">
        <f t="shared" si="301"/>
        <v>3964.0826050000001</v>
      </c>
      <c r="BL104" s="1335">
        <f t="shared" si="301"/>
        <v>3746.7097250000002</v>
      </c>
      <c r="BM104" s="1335">
        <f t="shared" si="301"/>
        <v>6850.5533300000006</v>
      </c>
      <c r="BN104" s="1335">
        <f t="shared" si="301"/>
        <v>8752.3076189999992</v>
      </c>
      <c r="BO104" s="1335">
        <f t="shared" si="301"/>
        <v>2747.5328669999999</v>
      </c>
      <c r="BP104" s="1335">
        <f t="shared" si="301"/>
        <v>7654.8075170000002</v>
      </c>
      <c r="BQ104" s="1345">
        <f t="shared" ref="BQ104:CC104" si="302">BQ28-BQ152</f>
        <v>33841.142245000003</v>
      </c>
      <c r="BR104" s="1777">
        <f t="shared" si="302"/>
        <v>4630.6658049999996</v>
      </c>
      <c r="BS104" s="1777">
        <f t="shared" si="302"/>
        <v>1615.7876289999999</v>
      </c>
      <c r="BT104" s="1777">
        <f t="shared" si="302"/>
        <v>1663.7210460000003</v>
      </c>
      <c r="BU104" s="1777">
        <f t="shared" si="302"/>
        <v>1713.8753220000003</v>
      </c>
      <c r="BV104" s="1777">
        <f t="shared" si="302"/>
        <v>1572.1533869999998</v>
      </c>
      <c r="BW104" s="1777">
        <f t="shared" si="302"/>
        <v>1521.9289339999998</v>
      </c>
      <c r="BX104" s="1777">
        <f t="shared" si="302"/>
        <v>3057.0136769999999</v>
      </c>
      <c r="BY104" s="1777">
        <f t="shared" si="302"/>
        <v>2290.4374859999998</v>
      </c>
      <c r="BZ104" s="1777">
        <f t="shared" si="302"/>
        <v>4567.6956379999992</v>
      </c>
      <c r="CA104" s="1777">
        <f t="shared" si="302"/>
        <v>5377.857559</v>
      </c>
      <c r="CB104" s="1777">
        <f t="shared" si="302"/>
        <v>3451.0211119999999</v>
      </c>
      <c r="CC104" s="1778">
        <f t="shared" si="302"/>
        <v>2378.9846500000003</v>
      </c>
      <c r="CD104" s="1345">
        <f t="shared" ref="CD104:CP104" si="303">CD28-CD152</f>
        <v>44221.480654999985</v>
      </c>
      <c r="CE104" s="1777">
        <f t="shared" si="303"/>
        <v>3425.7586469999997</v>
      </c>
      <c r="CF104" s="1777">
        <f t="shared" si="303"/>
        <v>2228.9595059999997</v>
      </c>
      <c r="CG104" s="1777">
        <f t="shared" si="303"/>
        <v>1573.397258</v>
      </c>
      <c r="CH104" s="1777">
        <f t="shared" si="303"/>
        <v>1938.1341869999999</v>
      </c>
      <c r="CI104" s="1777">
        <f t="shared" si="303"/>
        <v>2842.4631800000006</v>
      </c>
      <c r="CJ104" s="1777">
        <f t="shared" si="303"/>
        <v>3456.8236319999996</v>
      </c>
      <c r="CK104" s="1777">
        <f t="shared" si="303"/>
        <v>4775.4266720000014</v>
      </c>
      <c r="CL104" s="1777">
        <f t="shared" si="303"/>
        <v>2071.2027009999997</v>
      </c>
      <c r="CM104" s="1777">
        <f t="shared" si="303"/>
        <v>5288.4736920000005</v>
      </c>
      <c r="CN104" s="1777">
        <f t="shared" si="303"/>
        <v>3010.9683109999996</v>
      </c>
      <c r="CO104" s="1777">
        <f t="shared" si="303"/>
        <v>6537.5005049999882</v>
      </c>
      <c r="CP104" s="1778">
        <f t="shared" si="303"/>
        <v>7072.3723639999998</v>
      </c>
      <c r="CQ104" s="1345">
        <f t="shared" ref="CQ104:DC104" si="304">SUM(CQ105:CQ107)</f>
        <v>44659.309763482452</v>
      </c>
      <c r="CR104" s="1336">
        <f t="shared" si="304"/>
        <v>3213.4227097918342</v>
      </c>
      <c r="CS104" s="1336">
        <f t="shared" si="304"/>
        <v>2777.9680133635952</v>
      </c>
      <c r="CT104" s="1336">
        <f t="shared" si="304"/>
        <v>3428.965749537952</v>
      </c>
      <c r="CU104" s="1336">
        <f t="shared" si="304"/>
        <v>3323.65213919197</v>
      </c>
      <c r="CV104" s="1336">
        <f t="shared" si="304"/>
        <v>3346.6995852733417</v>
      </c>
      <c r="CW104" s="1336">
        <f t="shared" si="304"/>
        <v>4037.4382816312313</v>
      </c>
      <c r="CX104" s="1336">
        <f t="shared" si="304"/>
        <v>4001.5804631998922</v>
      </c>
      <c r="CY104" s="1336">
        <f t="shared" si="304"/>
        <v>3296.0122951689777</v>
      </c>
      <c r="CZ104" s="1336">
        <f t="shared" si="304"/>
        <v>4520.3929960412952</v>
      </c>
      <c r="DA104" s="1336">
        <f t="shared" si="304"/>
        <v>4153.2031156518278</v>
      </c>
      <c r="DB104" s="1336">
        <f t="shared" si="304"/>
        <v>4312.0758507559331</v>
      </c>
      <c r="DC104" s="2284">
        <f t="shared" si="304"/>
        <v>4247.8985638745935</v>
      </c>
      <c r="DD104" s="2587"/>
      <c r="DE104" s="2587"/>
      <c r="DF104" s="2587"/>
      <c r="DG104" s="2975">
        <f t="shared" si="217"/>
        <v>-0.35164922785428354</v>
      </c>
      <c r="DH104" s="2976">
        <f t="shared" si="218"/>
        <v>0.30673723525197105</v>
      </c>
      <c r="DI104" s="2976">
        <f t="shared" si="219"/>
        <v>9.9008242600073793E-3</v>
      </c>
      <c r="DJ104" s="2976"/>
      <c r="DK104" s="1884"/>
      <c r="DL104" s="2718"/>
      <c r="DM104" s="2718"/>
    </row>
    <row r="105" spans="2:118">
      <c r="B105" s="40" t="s">
        <v>73</v>
      </c>
      <c r="C105" s="41"/>
      <c r="D105" s="66"/>
      <c r="E105" s="1340"/>
      <c r="F105" s="1340"/>
      <c r="G105" s="1340"/>
      <c r="H105" s="1340"/>
      <c r="I105" s="1340"/>
      <c r="J105" s="1340"/>
      <c r="K105" s="1340"/>
      <c r="L105" s="1340"/>
      <c r="M105" s="1340"/>
      <c r="N105" s="1340"/>
      <c r="O105" s="1340"/>
      <c r="P105" s="1340"/>
      <c r="Q105" s="64">
        <f t="shared" ref="Q105" si="305">SUM(R105:AC105)</f>
        <v>19775.606935</v>
      </c>
      <c r="R105" s="1340">
        <f>무선!F282</f>
        <v>992.55163800000003</v>
      </c>
      <c r="S105" s="1340">
        <f>무선!G282</f>
        <v>907.36839399999997</v>
      </c>
      <c r="T105" s="1340">
        <f>무선!H282</f>
        <v>1008.540397</v>
      </c>
      <c r="U105" s="1340">
        <f>무선!I282</f>
        <v>1187.8642420000001</v>
      </c>
      <c r="V105" s="1340">
        <f>무선!J282</f>
        <v>1466.1984</v>
      </c>
      <c r="W105" s="1340">
        <f>무선!K282</f>
        <v>1422.3798389999999</v>
      </c>
      <c r="X105" s="1340">
        <f>무선!L282</f>
        <v>2068.8051329999998</v>
      </c>
      <c r="Y105" s="1340">
        <f>무선!M282</f>
        <v>1436.5051040000001</v>
      </c>
      <c r="Z105" s="1340">
        <f>무선!N282</f>
        <v>1128.7012</v>
      </c>
      <c r="AA105" s="1340">
        <f>무선!O282</f>
        <v>2319.567231</v>
      </c>
      <c r="AB105" s="1340">
        <f>무선!P282</f>
        <v>4057.01082</v>
      </c>
      <c r="AC105" s="1341">
        <f>무선!Q282</f>
        <v>1780.1145369999999</v>
      </c>
      <c r="AD105" s="64">
        <f t="shared" si="285"/>
        <v>26739.311491</v>
      </c>
      <c r="AE105" s="1340">
        <f>무선!S282</f>
        <v>1725.4342160000001</v>
      </c>
      <c r="AF105" s="1340">
        <f>무선!T282</f>
        <v>2200.7861339999999</v>
      </c>
      <c r="AG105" s="1340">
        <f>무선!U282</f>
        <v>1987.5192959999999</v>
      </c>
      <c r="AH105" s="1340">
        <f>무선!V282</f>
        <v>1658.053971</v>
      </c>
      <c r="AI105" s="1340">
        <f>무선!W282</f>
        <v>2379.6793259999999</v>
      </c>
      <c r="AJ105" s="1340">
        <f>무선!X282</f>
        <v>2060.4544089999999</v>
      </c>
      <c r="AK105" s="1340">
        <f>무선!Y282</f>
        <v>1953.910034</v>
      </c>
      <c r="AL105" s="1340">
        <f>무선!Z282</f>
        <v>1580.562443</v>
      </c>
      <c r="AM105" s="1340">
        <f>무선!AA282</f>
        <v>2367.5597469999998</v>
      </c>
      <c r="AN105" s="1340">
        <f>무선!AB282</f>
        <v>2342.3307399999999</v>
      </c>
      <c r="AO105" s="1340">
        <f>무선!AC282</f>
        <v>2292.4248619999998</v>
      </c>
      <c r="AP105" s="1340">
        <f>무선!AD282</f>
        <v>4190.596313</v>
      </c>
      <c r="AQ105" s="64">
        <f t="shared" si="213"/>
        <v>39025.756007999997</v>
      </c>
      <c r="AR105" s="1340"/>
      <c r="AS105" s="1340"/>
      <c r="AT105" s="1340"/>
      <c r="AU105" s="1340"/>
      <c r="AV105" s="1340"/>
      <c r="AW105" s="1340"/>
      <c r="AX105" s="1340"/>
      <c r="AY105" s="1340"/>
      <c r="AZ105" s="1340"/>
      <c r="BA105" s="1340"/>
      <c r="BB105" s="1340"/>
      <c r="BC105" s="1340"/>
      <c r="BD105" s="64">
        <f t="shared" ref="BD105:BP105" si="306">BD29-BD153</f>
        <v>32305.885359999993</v>
      </c>
      <c r="BE105" s="1340">
        <f t="shared" si="306"/>
        <v>684.52378599999997</v>
      </c>
      <c r="BF105" s="1340">
        <f t="shared" si="306"/>
        <v>2521.592564</v>
      </c>
      <c r="BG105" s="1340">
        <f t="shared" si="306"/>
        <v>2332.9441510000001</v>
      </c>
      <c r="BH105" s="1340">
        <f t="shared" si="306"/>
        <v>1847.3232400000002</v>
      </c>
      <c r="BI105" s="1340">
        <f t="shared" si="306"/>
        <v>2126.1549580000001</v>
      </c>
      <c r="BJ105" s="1340">
        <f t="shared" si="306"/>
        <v>3651.0203889999998</v>
      </c>
      <c r="BK105" s="1340">
        <f t="shared" si="306"/>
        <v>3186.5210059999999</v>
      </c>
      <c r="BL105" s="1340">
        <f t="shared" si="306"/>
        <v>2814.6493569999998</v>
      </c>
      <c r="BM105" s="1340">
        <f t="shared" si="306"/>
        <v>4828.4568380000001</v>
      </c>
      <c r="BN105" s="1340">
        <f t="shared" si="306"/>
        <v>3655.4267909999999</v>
      </c>
      <c r="BO105" s="1340">
        <f t="shared" si="306"/>
        <v>2723.0965200000001</v>
      </c>
      <c r="BP105" s="1340">
        <f t="shared" si="306"/>
        <v>1934.1757600000001</v>
      </c>
      <c r="BQ105" s="1710">
        <f t="shared" ref="BQ105:CC105" si="307">BQ29-BQ153</f>
        <v>16745.850039000001</v>
      </c>
      <c r="BR105" s="1930">
        <f t="shared" si="307"/>
        <v>1536.675821</v>
      </c>
      <c r="BS105" s="1930">
        <f t="shared" si="307"/>
        <v>820.50924599999996</v>
      </c>
      <c r="BT105" s="1930">
        <f t="shared" si="307"/>
        <v>1104.247122</v>
      </c>
      <c r="BU105" s="1930">
        <f t="shared" si="307"/>
        <v>990.16138599999999</v>
      </c>
      <c r="BV105" s="1930">
        <f t="shared" si="307"/>
        <v>928.17296899999997</v>
      </c>
      <c r="BW105" s="1930">
        <f t="shared" si="307"/>
        <v>685.54461900000001</v>
      </c>
      <c r="BX105" s="1930">
        <f t="shared" si="307"/>
        <v>1789.258636</v>
      </c>
      <c r="BY105" s="1930">
        <f t="shared" si="307"/>
        <v>1087.81447</v>
      </c>
      <c r="BZ105" s="1930">
        <f t="shared" si="307"/>
        <v>1229.5307680000001</v>
      </c>
      <c r="CA105" s="1930">
        <f t="shared" si="307"/>
        <v>3529.5936369999999</v>
      </c>
      <c r="CB105" s="1930">
        <f t="shared" si="307"/>
        <v>1659.4001519999999</v>
      </c>
      <c r="CC105" s="1931">
        <f t="shared" si="307"/>
        <v>1384.9412130000001</v>
      </c>
      <c r="CD105" s="1710">
        <f t="shared" ref="CD105:CP105" si="308">CD29-CD153</f>
        <v>15427.885715</v>
      </c>
      <c r="CE105" s="1930">
        <f t="shared" si="308"/>
        <v>609.35523000000001</v>
      </c>
      <c r="CF105" s="1930">
        <f t="shared" si="308"/>
        <v>1030.406626</v>
      </c>
      <c r="CG105" s="1930">
        <f t="shared" si="308"/>
        <v>907.80226300000004</v>
      </c>
      <c r="CH105" s="1930">
        <f t="shared" si="308"/>
        <v>765.68158200000005</v>
      </c>
      <c r="CI105" s="1930">
        <f t="shared" si="308"/>
        <v>1584.603599</v>
      </c>
      <c r="CJ105" s="1930">
        <f t="shared" si="308"/>
        <v>1587.893341</v>
      </c>
      <c r="CK105" s="1930">
        <f t="shared" si="308"/>
        <v>746.60656100000006</v>
      </c>
      <c r="CL105" s="1930">
        <f t="shared" si="308"/>
        <v>535.27086899999995</v>
      </c>
      <c r="CM105" s="1930">
        <f t="shared" si="308"/>
        <v>1743.191703</v>
      </c>
      <c r="CN105" s="1930">
        <f t="shared" si="308"/>
        <v>394.16184299999998</v>
      </c>
      <c r="CO105" s="1930">
        <f t="shared" si="308"/>
        <v>3778.4167940000002</v>
      </c>
      <c r="CP105" s="1931">
        <f t="shared" si="308"/>
        <v>1744.495304</v>
      </c>
      <c r="CQ105" s="1710">
        <f t="shared" ref="CQ105:CQ113" si="309">SUM(CR105:DC105)</f>
        <v>16897.313890955484</v>
      </c>
      <c r="CR105" s="1711">
        <f>무선!CF282</f>
        <v>1224.3714230023452</v>
      </c>
      <c r="CS105" s="1711">
        <f>무선!CG282</f>
        <v>952.34434475624539</v>
      </c>
      <c r="CT105" s="1711">
        <f>무선!CH282</f>
        <v>1376.5923815343394</v>
      </c>
      <c r="CU105" s="1711">
        <f>무선!CI282</f>
        <v>1489.7275392768115</v>
      </c>
      <c r="CV105" s="1711">
        <f>무선!CJ282</f>
        <v>1509.5893966997394</v>
      </c>
      <c r="CW105" s="1711">
        <f>무선!CK282</f>
        <v>1516.2354346383624</v>
      </c>
      <c r="CX105" s="1711">
        <f>무선!CL282</f>
        <v>1546.2511240751971</v>
      </c>
      <c r="CY105" s="1711">
        <f>무선!CM282</f>
        <v>1416.2354346383624</v>
      </c>
      <c r="CZ105" s="1711">
        <f>무선!CN282</f>
        <v>1660.7090369413759</v>
      </c>
      <c r="DA105" s="1711">
        <f>무선!CO282</f>
        <v>1748.0108751060056</v>
      </c>
      <c r="DB105" s="1711">
        <f>무선!CP282</f>
        <v>1514.8760177872803</v>
      </c>
      <c r="DC105" s="2286">
        <f>무선!CQ282</f>
        <v>942.37088249941951</v>
      </c>
      <c r="DD105" s="25"/>
      <c r="DE105" s="25"/>
      <c r="DF105" s="25"/>
      <c r="DG105" s="2975">
        <f t="shared" si="217"/>
        <v>-0.48164707908813043</v>
      </c>
      <c r="DH105" s="2976">
        <f t="shared" si="218"/>
        <v>-7.8703936851849621E-2</v>
      </c>
      <c r="DI105" s="2976">
        <f t="shared" si="219"/>
        <v>9.5244948212625635E-2</v>
      </c>
      <c r="DJ105" s="2976"/>
      <c r="DK105" s="1884"/>
      <c r="DL105" s="2718"/>
      <c r="DM105" s="2718"/>
    </row>
    <row r="106" spans="2:118">
      <c r="B106" s="40" t="s">
        <v>74</v>
      </c>
      <c r="C106" s="41"/>
      <c r="D106" s="66"/>
      <c r="E106" s="1340"/>
      <c r="F106" s="1340"/>
      <c r="G106" s="1340"/>
      <c r="H106" s="1340"/>
      <c r="I106" s="1340"/>
      <c r="J106" s="1340"/>
      <c r="K106" s="1340"/>
      <c r="L106" s="1340"/>
      <c r="M106" s="1340"/>
      <c r="N106" s="1340"/>
      <c r="O106" s="1340"/>
      <c r="P106" s="1340"/>
      <c r="Q106" s="64">
        <f>SUM(R106:AC106)</f>
        <v>10894.413128</v>
      </c>
      <c r="R106" s="1340">
        <f>무선!F289+무선!F294+유선!F72+유선!F74+무선!F295</f>
        <v>583.32223599999998</v>
      </c>
      <c r="S106" s="1340">
        <f>무선!G289+무선!G294+유선!G72+유선!G74+무선!G295</f>
        <v>652.25815699999998</v>
      </c>
      <c r="T106" s="1340">
        <f>무선!H289+무선!H294+유선!H72+유선!H74+무선!H295</f>
        <v>783.46397200000013</v>
      </c>
      <c r="U106" s="1340">
        <f>무선!I289+무선!I294+유선!I72+유선!I74+무선!I295</f>
        <v>701.94219299999997</v>
      </c>
      <c r="V106" s="1340">
        <f>무선!J289+무선!J294+유선!J72+유선!J74+무선!J295</f>
        <v>891.4931630000001</v>
      </c>
      <c r="W106" s="1340">
        <f>무선!K289+무선!K294+유선!K72+유선!K74+무선!K295</f>
        <v>818.20070199999998</v>
      </c>
      <c r="X106" s="1340">
        <f>무선!L289+무선!L294+유선!L72+유선!L74+무선!L295</f>
        <v>644.93925200000001</v>
      </c>
      <c r="Y106" s="1340">
        <f>무선!M289+무선!M294+유선!M72+유선!M74+무선!M295</f>
        <v>935.25692399999991</v>
      </c>
      <c r="Z106" s="1340">
        <f>무선!N289+무선!N294+유선!N72+유선!N74+무선!N295</f>
        <v>822.76302799999996</v>
      </c>
      <c r="AA106" s="1340">
        <f>무선!O289+무선!O294+유선!O72+유선!O74+무선!O295</f>
        <v>1047.7548859999999</v>
      </c>
      <c r="AB106" s="1340">
        <f>무선!P289+무선!P294+유선!P72+유선!P74+무선!P295</f>
        <v>857.67325800000003</v>
      </c>
      <c r="AC106" s="1341">
        <f>무선!Q289+무선!Q294+유선!Q72+유선!Q74+무선!Q295</f>
        <v>2155.3453569999992</v>
      </c>
      <c r="AD106" s="64">
        <f t="shared" si="285"/>
        <v>7151.9372350000003</v>
      </c>
      <c r="AE106" s="1340">
        <f>무선!S289+무선!S294+유선!S72+유선!S74+무선!S295</f>
        <v>426.19736</v>
      </c>
      <c r="AF106" s="1340">
        <f>무선!T289+무선!T294+유선!T72+유선!T74+무선!T295</f>
        <v>378.20730199999997</v>
      </c>
      <c r="AG106" s="1340">
        <f>무선!U289+무선!U294+유선!U72+유선!U74+무선!U295</f>
        <v>578.27760999999998</v>
      </c>
      <c r="AH106" s="1340">
        <f>무선!V289+무선!V294+유선!V72+유선!V74+무선!V295</f>
        <v>522.95592699999986</v>
      </c>
      <c r="AI106" s="1340">
        <f>무선!W289+무선!W294+유선!W72+유선!W74+무선!W295</f>
        <v>593.16882899999996</v>
      </c>
      <c r="AJ106" s="1340">
        <f>무선!X289+무선!X294+유선!X72+유선!X74+무선!X295</f>
        <v>584.62416200000007</v>
      </c>
      <c r="AK106" s="1340">
        <f>무선!Y289+무선!Y294+유선!Y72+유선!Y74+무선!Y295</f>
        <v>487.12611499999997</v>
      </c>
      <c r="AL106" s="1340">
        <f>무선!Z289+무선!Z294+유선!Z72+유선!Z74+무선!Z295</f>
        <v>838.31738400000006</v>
      </c>
      <c r="AM106" s="1340">
        <f>무선!AA289+무선!AA294+유선!AA72+유선!AA74+무선!AA295</f>
        <v>618.89778500000011</v>
      </c>
      <c r="AN106" s="1340">
        <f>무선!AB289+무선!AB294+유선!AB72+유선!AB74+무선!AB295</f>
        <v>657.60668199999998</v>
      </c>
      <c r="AO106" s="1340">
        <f>무선!AC289+무선!AC294+유선!AC72+유선!AC74+무선!AC295</f>
        <v>233.47358799999998</v>
      </c>
      <c r="AP106" s="1340">
        <f>무선!AD289+무선!AD294+유선!AD72+유선!AD74+무선!AD295</f>
        <v>1233.5644910000001</v>
      </c>
      <c r="AQ106" s="64">
        <f t="shared" si="213"/>
        <v>13157.924122</v>
      </c>
      <c r="AR106" s="1340"/>
      <c r="AS106" s="1340"/>
      <c r="AT106" s="1340"/>
      <c r="AU106" s="1340"/>
      <c r="AV106" s="1340"/>
      <c r="AW106" s="1340"/>
      <c r="AX106" s="1340"/>
      <c r="AY106" s="1340"/>
      <c r="AZ106" s="1340"/>
      <c r="BA106" s="1340"/>
      <c r="BB106" s="1340"/>
      <c r="BC106" s="1340"/>
      <c r="BD106" s="64">
        <f t="shared" ref="BD106:BP106" si="310">BD30-BD154</f>
        <v>19765.910889999999</v>
      </c>
      <c r="BE106" s="1340">
        <f t="shared" si="310"/>
        <v>383.42282399999999</v>
      </c>
      <c r="BF106" s="1340">
        <f t="shared" si="310"/>
        <v>662.52907100000016</v>
      </c>
      <c r="BG106" s="1340">
        <f t="shared" si="310"/>
        <v>615.48807700000009</v>
      </c>
      <c r="BH106" s="1340">
        <f t="shared" si="310"/>
        <v>488.17268600000006</v>
      </c>
      <c r="BI106" s="1340">
        <f t="shared" si="310"/>
        <v>533.14390800000012</v>
      </c>
      <c r="BJ106" s="1340">
        <f t="shared" si="310"/>
        <v>2628.124022</v>
      </c>
      <c r="BK106" s="1340">
        <f t="shared" si="310"/>
        <v>745.41614500000003</v>
      </c>
      <c r="BL106" s="1340">
        <f t="shared" si="310"/>
        <v>902.24236800000006</v>
      </c>
      <c r="BM106" s="1340">
        <f t="shared" si="310"/>
        <v>2021.623765</v>
      </c>
      <c r="BN106" s="1340">
        <f t="shared" si="310"/>
        <v>5053.4639189999998</v>
      </c>
      <c r="BO106" s="1340">
        <f t="shared" si="310"/>
        <v>23.881802000000008</v>
      </c>
      <c r="BP106" s="1340">
        <f t="shared" si="310"/>
        <v>5708.4023029999998</v>
      </c>
      <c r="BQ106" s="1710">
        <f t="shared" ref="BQ106:CC106" si="311">BQ30-BQ154</f>
        <v>16875.980643999996</v>
      </c>
      <c r="BR106" s="1930">
        <f t="shared" si="311"/>
        <v>3073.5899840000002</v>
      </c>
      <c r="BS106" s="1930">
        <f t="shared" si="311"/>
        <v>768.14247399999999</v>
      </c>
      <c r="BT106" s="1930">
        <f t="shared" si="311"/>
        <v>559.09210600000006</v>
      </c>
      <c r="BU106" s="1930">
        <f t="shared" si="311"/>
        <v>686.6321180000001</v>
      </c>
      <c r="BV106" s="1930">
        <f t="shared" si="311"/>
        <v>641.47132700000009</v>
      </c>
      <c r="BW106" s="1930">
        <f t="shared" si="311"/>
        <v>833.46158800000001</v>
      </c>
      <c r="BX106" s="1930">
        <f t="shared" si="311"/>
        <v>1258.483385</v>
      </c>
      <c r="BY106" s="1930">
        <f t="shared" si="311"/>
        <v>1189.6321069999999</v>
      </c>
      <c r="BZ106" s="1930">
        <f t="shared" si="311"/>
        <v>3306.1541430000002</v>
      </c>
      <c r="CA106" s="1930">
        <f t="shared" si="311"/>
        <v>1830.1313620000003</v>
      </c>
      <c r="CB106" s="1930">
        <f t="shared" si="311"/>
        <v>1763.8097539999999</v>
      </c>
      <c r="CC106" s="1931">
        <f t="shared" si="311"/>
        <v>965.38029600000004</v>
      </c>
      <c r="CD106" s="1710">
        <f t="shared" ref="CD106:CP106" si="312">CD30-CD154</f>
        <v>28171.776204999987</v>
      </c>
      <c r="CE106" s="1930">
        <f t="shared" si="312"/>
        <v>2788.2444169999994</v>
      </c>
      <c r="CF106" s="1930">
        <f t="shared" si="312"/>
        <v>1158.5391530000002</v>
      </c>
      <c r="CG106" s="1930">
        <f t="shared" si="312"/>
        <v>646.78199499999994</v>
      </c>
      <c r="CH106" s="1930">
        <f t="shared" si="312"/>
        <v>1134.1866049999999</v>
      </c>
      <c r="CI106" s="1930">
        <f t="shared" si="312"/>
        <v>1230.617581</v>
      </c>
      <c r="CJ106" s="1930">
        <f t="shared" si="312"/>
        <v>1829.8932910000001</v>
      </c>
      <c r="CK106" s="1930">
        <f t="shared" si="312"/>
        <v>3912.7831110000002</v>
      </c>
      <c r="CL106" s="1930">
        <f t="shared" si="312"/>
        <v>1463.5218320000001</v>
      </c>
      <c r="CM106" s="1930">
        <f t="shared" si="312"/>
        <v>3461.2189809999995</v>
      </c>
      <c r="CN106" s="1930">
        <f t="shared" si="312"/>
        <v>2582.479468</v>
      </c>
      <c r="CO106" s="1930">
        <f t="shared" si="312"/>
        <v>2734.5227109999887</v>
      </c>
      <c r="CP106" s="1931">
        <f t="shared" si="312"/>
        <v>5228.9870599999995</v>
      </c>
      <c r="CQ106" s="1710">
        <f t="shared" si="309"/>
        <v>27131.831148526962</v>
      </c>
      <c r="CR106" s="1711">
        <f>무선!CF289+무선!CF294+유선!CF72+유선!CF74</f>
        <v>1936.5375597894888</v>
      </c>
      <c r="CS106" s="1711">
        <f>무선!CG289+무선!CG294+유선!CG72+유선!CG74</f>
        <v>1773.10994160735</v>
      </c>
      <c r="CT106" s="1711">
        <f>무선!CH289+무선!CH294+유선!CH72+유선!CH74</f>
        <v>1999.8596410036125</v>
      </c>
      <c r="CU106" s="1711">
        <f>무선!CI289+무선!CI294+유선!CI72+유선!CI74</f>
        <v>1781.4108729151587</v>
      </c>
      <c r="CV106" s="1711">
        <f>무선!CJ289+무선!CJ294+유선!CJ72+유선!CJ74</f>
        <v>1784.5964615736023</v>
      </c>
      <c r="CW106" s="1711">
        <f>무선!CK289+무선!CK294+유선!CK72+유선!CK74</f>
        <v>2468.6891199928687</v>
      </c>
      <c r="CX106" s="1711">
        <f>무선!CL289+무선!CL294+유선!CL72+유선!CL74</f>
        <v>2402.8156121246952</v>
      </c>
      <c r="CY106" s="1711">
        <f>무선!CM289+무선!CM294+유선!CM72+유선!CM74</f>
        <v>1827.2631335306155</v>
      </c>
      <c r="CZ106" s="1711">
        <f>무선!CN289+무선!CN294+유선!CN72+유선!CN74</f>
        <v>2807.1702320999202</v>
      </c>
      <c r="DA106" s="1711">
        <f>무선!CO289+무선!CO294+유선!CO72+유선!CO74</f>
        <v>2352.6785135458222</v>
      </c>
      <c r="DB106" s="1711">
        <f>무선!CP289+무선!CP294+유선!CP72+유선!CP74</f>
        <v>2744.6861059686535</v>
      </c>
      <c r="DC106" s="2286">
        <f>무선!CQ289+무선!CQ294+유선!CQ72+유선!CQ74</f>
        <v>3253.0139543751748</v>
      </c>
      <c r="DD106" s="25"/>
      <c r="DE106" s="25"/>
      <c r="DF106" s="25"/>
      <c r="DG106" s="2975">
        <f t="shared" si="217"/>
        <v>-0.14620779492950575</v>
      </c>
      <c r="DH106" s="2976">
        <f t="shared" si="218"/>
        <v>0.66934158075228911</v>
      </c>
      <c r="DI106" s="2976">
        <f t="shared" si="219"/>
        <v>-3.6914429850129715E-2</v>
      </c>
      <c r="DJ106" s="2976"/>
      <c r="DK106" s="1884"/>
      <c r="DL106" s="2718"/>
      <c r="DM106" s="2718"/>
    </row>
    <row r="107" spans="2:118">
      <c r="B107" s="43" t="s">
        <v>75</v>
      </c>
      <c r="C107" s="44"/>
      <c r="D107" s="45"/>
      <c r="E107" s="1346"/>
      <c r="F107" s="1346"/>
      <c r="G107" s="1346"/>
      <c r="H107" s="1346"/>
      <c r="I107" s="1346"/>
      <c r="J107" s="1346"/>
      <c r="K107" s="1346"/>
      <c r="L107" s="1346"/>
      <c r="M107" s="1346"/>
      <c r="N107" s="1346"/>
      <c r="O107" s="1346"/>
      <c r="P107" s="1346"/>
      <c r="Q107" s="1349">
        <f t="shared" ref="Q107:Q113" si="313">SUM(R107:AC107)</f>
        <v>309.43682200000001</v>
      </c>
      <c r="R107" s="1346">
        <f>무선!F298</f>
        <v>4.883</v>
      </c>
      <c r="S107" s="1346">
        <f>무선!G298</f>
        <v>5.99085</v>
      </c>
      <c r="T107" s="1346">
        <f>무선!H298</f>
        <v>37.911250000000003</v>
      </c>
      <c r="U107" s="1346">
        <f>무선!I298</f>
        <v>11.296749999999999</v>
      </c>
      <c r="V107" s="1346">
        <f>무선!J298</f>
        <v>9.0888600000000004</v>
      </c>
      <c r="W107" s="1346">
        <f>무선!K298</f>
        <v>47.15605</v>
      </c>
      <c r="X107" s="1346">
        <f>무선!L298</f>
        <v>10.39968</v>
      </c>
      <c r="Y107" s="1346">
        <f>무선!M298</f>
        <v>20.377780000000001</v>
      </c>
      <c r="Z107" s="1346">
        <f>무선!N298</f>
        <v>10.369187</v>
      </c>
      <c r="AA107" s="1346">
        <f>무선!O298</f>
        <v>39.018684999999998</v>
      </c>
      <c r="AB107" s="1346">
        <f>무선!P298</f>
        <v>25.460732</v>
      </c>
      <c r="AC107" s="1350">
        <f>무선!Q298</f>
        <v>87.483998</v>
      </c>
      <c r="AD107" s="1349">
        <f t="shared" si="285"/>
        <v>1055.3623969999999</v>
      </c>
      <c r="AE107" s="1346">
        <f>무선!S298</f>
        <v>28.441258000000001</v>
      </c>
      <c r="AF107" s="1346">
        <f>무선!T298</f>
        <v>12.942660999999999</v>
      </c>
      <c r="AG107" s="1346">
        <f>무선!U298</f>
        <v>42.869607999999999</v>
      </c>
      <c r="AH107" s="1346">
        <f>무선!V298</f>
        <v>7.2248200000000002</v>
      </c>
      <c r="AI107" s="1346">
        <f>무선!W298</f>
        <v>-23.89329</v>
      </c>
      <c r="AJ107" s="1346">
        <f>무선!X298</f>
        <v>34.989319999999999</v>
      </c>
      <c r="AK107" s="1346">
        <f>무선!Y298</f>
        <v>1.30402</v>
      </c>
      <c r="AL107" s="1346">
        <f>무선!Z298</f>
        <v>17</v>
      </c>
      <c r="AM107" s="1346">
        <f>무선!AA298</f>
        <v>0</v>
      </c>
      <c r="AN107" s="1346">
        <f>무선!AB298</f>
        <v>486.464</v>
      </c>
      <c r="AO107" s="1346">
        <f>무선!AC298</f>
        <v>1170</v>
      </c>
      <c r="AP107" s="1346">
        <f>무선!AD298</f>
        <v>278.5</v>
      </c>
      <c r="AQ107" s="1349">
        <f t="shared" si="213"/>
        <v>60.945455000000003</v>
      </c>
      <c r="AR107" s="1346"/>
      <c r="AS107" s="1346"/>
      <c r="AT107" s="1346"/>
      <c r="AU107" s="1346"/>
      <c r="AV107" s="1346"/>
      <c r="AW107" s="1346"/>
      <c r="AX107" s="1346"/>
      <c r="AY107" s="1346"/>
      <c r="AZ107" s="1346"/>
      <c r="BA107" s="1346"/>
      <c r="BB107" s="1346"/>
      <c r="BC107" s="1346"/>
      <c r="BD107" s="1349">
        <f t="shared" ref="BD107:BP107" si="314">BD31-BD155</f>
        <v>123.93436200000002</v>
      </c>
      <c r="BE107" s="1346">
        <f t="shared" si="314"/>
        <v>0</v>
      </c>
      <c r="BF107" s="1346">
        <f t="shared" si="314"/>
        <v>-0.33</v>
      </c>
      <c r="BG107" s="1346">
        <f t="shared" si="314"/>
        <v>2.809091</v>
      </c>
      <c r="BH107" s="1346">
        <f t="shared" si="314"/>
        <v>1</v>
      </c>
      <c r="BI107" s="1346">
        <f t="shared" si="314"/>
        <v>0.98181799999999997</v>
      </c>
      <c r="BJ107" s="1346">
        <f t="shared" si="314"/>
        <v>0.836364</v>
      </c>
      <c r="BK107" s="1346">
        <f t="shared" si="314"/>
        <v>32.145454000000001</v>
      </c>
      <c r="BL107" s="1346">
        <f t="shared" si="314"/>
        <v>29.818000000000001</v>
      </c>
      <c r="BM107" s="1346">
        <f t="shared" si="314"/>
        <v>0.47272700000000001</v>
      </c>
      <c r="BN107" s="1346">
        <f t="shared" si="314"/>
        <v>43.416908999999997</v>
      </c>
      <c r="BO107" s="1346">
        <f t="shared" si="314"/>
        <v>0.55454499999999995</v>
      </c>
      <c r="BP107" s="1346">
        <f t="shared" si="314"/>
        <v>12.229454</v>
      </c>
      <c r="BQ107" s="1349">
        <f t="shared" ref="BQ107:CC107" si="315">BQ31-BQ155</f>
        <v>219.31156200000001</v>
      </c>
      <c r="BR107" s="1934">
        <f t="shared" si="315"/>
        <v>20.399999999999999</v>
      </c>
      <c r="BS107" s="1934">
        <f t="shared" si="315"/>
        <v>27.135909000000002</v>
      </c>
      <c r="BT107" s="1934">
        <f t="shared" si="315"/>
        <v>0.38181799999999999</v>
      </c>
      <c r="BU107" s="1934">
        <f t="shared" si="315"/>
        <v>37.081817999999998</v>
      </c>
      <c r="BV107" s="1934">
        <f t="shared" si="315"/>
        <v>2.5090910000000002</v>
      </c>
      <c r="BW107" s="1934">
        <f t="shared" si="315"/>
        <v>2.9227270000000001</v>
      </c>
      <c r="BX107" s="1934">
        <f t="shared" si="315"/>
        <v>9.2716560000000001</v>
      </c>
      <c r="BY107" s="1934">
        <f t="shared" si="315"/>
        <v>12.990909</v>
      </c>
      <c r="BZ107" s="1934">
        <f t="shared" si="315"/>
        <v>32.010727000000003</v>
      </c>
      <c r="CA107" s="1934">
        <f t="shared" si="315"/>
        <v>18.132559999999998</v>
      </c>
      <c r="CB107" s="1934">
        <f t="shared" si="315"/>
        <v>27.811205999999999</v>
      </c>
      <c r="CC107" s="1921">
        <f t="shared" si="315"/>
        <v>28.663140999999996</v>
      </c>
      <c r="CD107" s="1349">
        <f t="shared" ref="CD107:CP107" si="316">CD31-CD155</f>
        <v>621.81873499999995</v>
      </c>
      <c r="CE107" s="2851">
        <f t="shared" si="316"/>
        <v>28.158999999999999</v>
      </c>
      <c r="CF107" s="2851">
        <f t="shared" si="316"/>
        <v>40.013727000000003</v>
      </c>
      <c r="CG107" s="2851">
        <f t="shared" si="316"/>
        <v>18.812999999999999</v>
      </c>
      <c r="CH107" s="2851">
        <f t="shared" si="316"/>
        <v>38.265999999999998</v>
      </c>
      <c r="CI107" s="2851">
        <f t="shared" si="316"/>
        <v>27.242000000000001</v>
      </c>
      <c r="CJ107" s="2851">
        <f t="shared" si="316"/>
        <v>39.036999999999999</v>
      </c>
      <c r="CK107" s="2851">
        <f t="shared" si="316"/>
        <v>116.03700000000001</v>
      </c>
      <c r="CL107" s="2851">
        <f t="shared" si="316"/>
        <v>72.41</v>
      </c>
      <c r="CM107" s="2851">
        <f t="shared" si="316"/>
        <v>84.063007999999996</v>
      </c>
      <c r="CN107" s="2851">
        <f t="shared" si="316"/>
        <v>34.326999999999998</v>
      </c>
      <c r="CO107" s="2851">
        <f t="shared" si="316"/>
        <v>24.561</v>
      </c>
      <c r="CP107" s="2878">
        <f t="shared" si="316"/>
        <v>98.89</v>
      </c>
      <c r="CQ107" s="1349">
        <f t="shared" si="309"/>
        <v>630.16472400000009</v>
      </c>
      <c r="CR107" s="2015">
        <f>무선!CF297</f>
        <v>52.513727000000003</v>
      </c>
      <c r="CS107" s="2015">
        <f>무선!CG297</f>
        <v>52.513727000000003</v>
      </c>
      <c r="CT107" s="2015">
        <f>무선!CH297</f>
        <v>52.513727000000003</v>
      </c>
      <c r="CU107" s="2015">
        <f>무선!CI297</f>
        <v>52.513727000000003</v>
      </c>
      <c r="CV107" s="2015">
        <f>무선!CJ297</f>
        <v>52.513727000000003</v>
      </c>
      <c r="CW107" s="2015">
        <f>무선!CK297</f>
        <v>52.513727000000003</v>
      </c>
      <c r="CX107" s="2015">
        <f>무선!CL297</f>
        <v>52.513727000000003</v>
      </c>
      <c r="CY107" s="2015">
        <f>무선!CM297</f>
        <v>52.513727000000003</v>
      </c>
      <c r="CZ107" s="2015">
        <f>무선!CN297</f>
        <v>52.513727000000003</v>
      </c>
      <c r="DA107" s="2015">
        <f>무선!CO297</f>
        <v>52.513727000000003</v>
      </c>
      <c r="DB107" s="2015">
        <f>무선!CP297</f>
        <v>52.513727000000003</v>
      </c>
      <c r="DC107" s="2288">
        <f>무선!CQ297</f>
        <v>52.513727000000003</v>
      </c>
      <c r="DD107" s="25"/>
      <c r="DE107" s="25"/>
      <c r="DF107" s="25"/>
      <c r="DG107" s="2975">
        <f t="shared" si="217"/>
        <v>0.76957833534496256</v>
      </c>
      <c r="DH107" s="2976">
        <f t="shared" si="218"/>
        <v>1.8353212631808256</v>
      </c>
      <c r="DI107" s="2976">
        <f t="shared" si="219"/>
        <v>1.3421900194113823E-2</v>
      </c>
      <c r="DJ107" s="2976"/>
      <c r="DK107" s="1884"/>
      <c r="DL107" s="2718"/>
      <c r="DM107" s="2718"/>
    </row>
    <row r="108" spans="2:118">
      <c r="B108" s="46" t="s">
        <v>76</v>
      </c>
      <c r="C108" s="34"/>
      <c r="D108" s="35"/>
      <c r="E108" s="1335"/>
      <c r="F108" s="1335"/>
      <c r="G108" s="1335"/>
      <c r="H108" s="1335"/>
      <c r="I108" s="1335"/>
      <c r="J108" s="1335"/>
      <c r="K108" s="1335"/>
      <c r="L108" s="1335"/>
      <c r="M108" s="1335"/>
      <c r="N108" s="1335"/>
      <c r="O108" s="1335"/>
      <c r="P108" s="1335"/>
      <c r="Q108" s="1345">
        <f t="shared" si="313"/>
        <v>5615.1740940000009</v>
      </c>
      <c r="R108" s="1335">
        <f>SUM(R109:R110)</f>
        <v>1159.740697</v>
      </c>
      <c r="S108" s="1335">
        <f t="shared" ref="S108:T108" si="317">SUM(S109:S110)</f>
        <v>1047.4318400000002</v>
      </c>
      <c r="T108" s="1335">
        <f t="shared" si="317"/>
        <v>-605.85149299999989</v>
      </c>
      <c r="U108" s="1335">
        <f t="shared" ref="U108" si="318">SUM(U109:U110)</f>
        <v>984.27787699999999</v>
      </c>
      <c r="V108" s="1335">
        <f t="shared" ref="V108:W108" si="319">SUM(V109:V110)</f>
        <v>987.625539</v>
      </c>
      <c r="W108" s="1335">
        <f t="shared" si="319"/>
        <v>-610.23281399999996</v>
      </c>
      <c r="X108" s="1335">
        <f t="shared" ref="X108:AC108" si="320">SUM(X109:X110)</f>
        <v>993.09551099999999</v>
      </c>
      <c r="Y108" s="1335">
        <f t="shared" si="320"/>
        <v>979.11896999999988</v>
      </c>
      <c r="Z108" s="1335">
        <f t="shared" si="320"/>
        <v>-556.02502000000015</v>
      </c>
      <c r="AA108" s="1335">
        <f t="shared" si="320"/>
        <v>944.67308900000012</v>
      </c>
      <c r="AB108" s="1335">
        <f t="shared" si="320"/>
        <v>917.36682900000005</v>
      </c>
      <c r="AC108" s="1074">
        <f t="shared" si="320"/>
        <v>-626.04693100000009</v>
      </c>
      <c r="AD108" s="1345">
        <f t="shared" si="285"/>
        <v>5130.8243620000003</v>
      </c>
      <c r="AE108" s="1335">
        <f t="shared" ref="AE108:AP108" si="321">SUM(AE109:AE110)</f>
        <v>959.96665099999996</v>
      </c>
      <c r="AF108" s="1335">
        <f t="shared" si="321"/>
        <v>942.77648599999998</v>
      </c>
      <c r="AG108" s="1335">
        <f t="shared" si="321"/>
        <v>-527.64108999999996</v>
      </c>
      <c r="AH108" s="1335">
        <f t="shared" si="321"/>
        <v>879.69587899999999</v>
      </c>
      <c r="AI108" s="1335">
        <f t="shared" si="321"/>
        <v>853.77280199999996</v>
      </c>
      <c r="AJ108" s="1335">
        <f t="shared" si="321"/>
        <v>-538.79821000000004</v>
      </c>
      <c r="AK108" s="1335">
        <f t="shared" si="321"/>
        <v>888.99097900000004</v>
      </c>
      <c r="AL108" s="1335">
        <f t="shared" si="321"/>
        <v>897.29632300000003</v>
      </c>
      <c r="AM108" s="1335">
        <f t="shared" si="321"/>
        <v>-463.91661399999987</v>
      </c>
      <c r="AN108" s="1335">
        <f t="shared" si="321"/>
        <v>854.45409799999993</v>
      </c>
      <c r="AO108" s="1335">
        <f t="shared" si="321"/>
        <v>834.68630699999994</v>
      </c>
      <c r="AP108" s="1335">
        <f t="shared" si="321"/>
        <v>-443.52124899999995</v>
      </c>
      <c r="AQ108" s="1345">
        <f t="shared" si="213"/>
        <v>5963.7425250000015</v>
      </c>
      <c r="AR108" s="1335"/>
      <c r="AS108" s="1335"/>
      <c r="AT108" s="1335"/>
      <c r="AU108" s="1335"/>
      <c r="AV108" s="1335"/>
      <c r="AW108" s="1335"/>
      <c r="AX108" s="1335"/>
      <c r="AY108" s="1335"/>
      <c r="AZ108" s="1335"/>
      <c r="BA108" s="1335"/>
      <c r="BB108" s="1335"/>
      <c r="BC108" s="1335"/>
      <c r="BD108" s="1345">
        <f t="shared" ref="BD108:BP108" si="322">BD32-BD156</f>
        <v>6400.9098470000008</v>
      </c>
      <c r="BE108" s="1335">
        <f t="shared" si="322"/>
        <v>1080.4167259999999</v>
      </c>
      <c r="BF108" s="1335">
        <f t="shared" si="322"/>
        <v>1099.1375750000002</v>
      </c>
      <c r="BG108" s="1335">
        <f t="shared" si="322"/>
        <v>-580.94399899999996</v>
      </c>
      <c r="BH108" s="1335">
        <f t="shared" si="322"/>
        <v>1021.495055</v>
      </c>
      <c r="BI108" s="1335">
        <f t="shared" si="322"/>
        <v>1016.4256760000001</v>
      </c>
      <c r="BJ108" s="1335">
        <f t="shared" si="322"/>
        <v>-405.30471899999998</v>
      </c>
      <c r="BK108" s="1335">
        <f t="shared" si="322"/>
        <v>1028.773205</v>
      </c>
      <c r="BL108" s="1335">
        <f t="shared" si="322"/>
        <v>1110.683794</v>
      </c>
      <c r="BM108" s="1335">
        <f t="shared" si="322"/>
        <v>-530.10238700000002</v>
      </c>
      <c r="BN108" s="1335">
        <f t="shared" si="322"/>
        <v>1029.0109829999999</v>
      </c>
      <c r="BO108" s="1335">
        <f t="shared" si="322"/>
        <v>1058.5814500000001</v>
      </c>
      <c r="BP108" s="1335">
        <f t="shared" si="322"/>
        <v>-527.26351199999999</v>
      </c>
      <c r="BQ108" s="1345">
        <f t="shared" ref="BQ108:CC108" si="323">BQ32-BQ156</f>
        <v>6022.8969930000094</v>
      </c>
      <c r="BR108" s="1777">
        <f t="shared" si="323"/>
        <v>1057.670257</v>
      </c>
      <c r="BS108" s="1777">
        <f t="shared" si="323"/>
        <v>1084.7341610000001</v>
      </c>
      <c r="BT108" s="1777">
        <f t="shared" si="323"/>
        <v>-416.09654699999999</v>
      </c>
      <c r="BU108" s="1777">
        <f t="shared" si="323"/>
        <v>1024.3162689999999</v>
      </c>
      <c r="BV108" s="1777">
        <f t="shared" si="323"/>
        <v>1019.2017200000001</v>
      </c>
      <c r="BW108" s="1777">
        <f t="shared" si="323"/>
        <v>-482.94591000000003</v>
      </c>
      <c r="BX108" s="1777">
        <f t="shared" si="323"/>
        <v>1109.1137120000001</v>
      </c>
      <c r="BY108" s="1777">
        <f t="shared" si="323"/>
        <v>1078.9677159999999</v>
      </c>
      <c r="BZ108" s="1777">
        <f t="shared" si="323"/>
        <v>-565.4422209999999</v>
      </c>
      <c r="CA108" s="1777">
        <f t="shared" si="323"/>
        <v>922.95523800000012</v>
      </c>
      <c r="CB108" s="1777">
        <f t="shared" si="323"/>
        <v>864.40705999999989</v>
      </c>
      <c r="CC108" s="1778">
        <f t="shared" si="323"/>
        <v>-673.98446199999114</v>
      </c>
      <c r="CD108" s="1345">
        <f t="shared" ref="CD108:CP108" si="324">CD32-CD156</f>
        <v>5148.9569360000005</v>
      </c>
      <c r="CE108" s="1777">
        <f t="shared" si="324"/>
        <v>963.14878900000008</v>
      </c>
      <c r="CF108" s="1777">
        <f t="shared" si="324"/>
        <v>955.31232200000011</v>
      </c>
      <c r="CG108" s="1777">
        <f t="shared" si="324"/>
        <v>-600.95945399999994</v>
      </c>
      <c r="CH108" s="1777">
        <f t="shared" si="324"/>
        <v>913.86091500000009</v>
      </c>
      <c r="CI108" s="1777">
        <f t="shared" si="324"/>
        <v>901.98321700000008</v>
      </c>
      <c r="CJ108" s="1777">
        <f t="shared" si="324"/>
        <v>-667.03784400000018</v>
      </c>
      <c r="CK108" s="1777">
        <f t="shared" si="324"/>
        <v>935.59738199999993</v>
      </c>
      <c r="CL108" s="1777">
        <f t="shared" si="324"/>
        <v>981.88929200000007</v>
      </c>
      <c r="CM108" s="1777">
        <f t="shared" si="324"/>
        <v>-612.17688300000009</v>
      </c>
      <c r="CN108" s="1777">
        <f t="shared" si="324"/>
        <v>956.371985</v>
      </c>
      <c r="CO108" s="1777">
        <f t="shared" si="324"/>
        <v>1031.366943</v>
      </c>
      <c r="CP108" s="1778">
        <f t="shared" si="324"/>
        <v>-610.39972799999998</v>
      </c>
      <c r="CQ108" s="1345">
        <f t="shared" si="309"/>
        <v>5298.7032542798643</v>
      </c>
      <c r="CR108" s="1336">
        <f t="shared" ref="CR108:DC108" si="325">SUM(CR109:CR110)</f>
        <v>976.27494788373781</v>
      </c>
      <c r="CS108" s="1336">
        <f t="shared" si="325"/>
        <v>981.94455622373766</v>
      </c>
      <c r="CT108" s="1336">
        <f t="shared" si="325"/>
        <v>-642.99025721045268</v>
      </c>
      <c r="CU108" s="1336">
        <f t="shared" si="325"/>
        <v>982.26795829507773</v>
      </c>
      <c r="CV108" s="1336">
        <f t="shared" si="325"/>
        <v>982.91476243775787</v>
      </c>
      <c r="CW108" s="1336">
        <f t="shared" si="325"/>
        <v>-647.07090780847795</v>
      </c>
      <c r="CX108" s="1336">
        <f t="shared" si="325"/>
        <v>984.20837072311804</v>
      </c>
      <c r="CY108" s="1336">
        <f t="shared" si="325"/>
        <v>984.85517486579806</v>
      </c>
      <c r="CZ108" s="1336">
        <f t="shared" si="325"/>
        <v>-639.43283442571214</v>
      </c>
      <c r="DA108" s="1336">
        <f t="shared" si="325"/>
        <v>989.14878315115834</v>
      </c>
      <c r="DB108" s="1336">
        <f t="shared" si="325"/>
        <v>989.79558729383837</v>
      </c>
      <c r="DC108" s="2284">
        <f t="shared" si="325"/>
        <v>-643.21288714971718</v>
      </c>
      <c r="DD108" s="2587"/>
      <c r="DE108" s="2587"/>
      <c r="DF108" s="2587"/>
      <c r="DG108" s="2975">
        <f t="shared" si="217"/>
        <v>-5.9056112808268946E-2</v>
      </c>
      <c r="DH108" s="2976">
        <f t="shared" si="218"/>
        <v>-0.14510293933562668</v>
      </c>
      <c r="DI108" s="2976">
        <f t="shared" si="219"/>
        <v>2.9082845349294173E-2</v>
      </c>
      <c r="DJ108" s="2976"/>
      <c r="DK108" s="1884"/>
      <c r="DL108" s="2718"/>
      <c r="DM108" s="2718"/>
    </row>
    <row r="109" spans="2:118">
      <c r="B109" s="40" t="s">
        <v>77</v>
      </c>
      <c r="C109" s="41"/>
      <c r="D109" s="66"/>
      <c r="E109" s="1340"/>
      <c r="F109" s="1340"/>
      <c r="G109" s="1340"/>
      <c r="H109" s="1340"/>
      <c r="I109" s="1340"/>
      <c r="J109" s="1340"/>
      <c r="K109" s="1340"/>
      <c r="L109" s="1340"/>
      <c r="M109" s="1340"/>
      <c r="N109" s="1340"/>
      <c r="O109" s="1340"/>
      <c r="P109" s="1340"/>
      <c r="Q109" s="64">
        <f t="shared" si="313"/>
        <v>4785.5892850000009</v>
      </c>
      <c r="R109" s="1340">
        <f>인프라!F25</f>
        <v>1077.1939359999999</v>
      </c>
      <c r="S109" s="1340">
        <f>인프라!G25</f>
        <v>968.5099110000001</v>
      </c>
      <c r="T109" s="1340">
        <f>인프라!H25</f>
        <v>-681.58330199999989</v>
      </c>
      <c r="U109" s="1340">
        <f>인프라!I25</f>
        <v>922.98003400000005</v>
      </c>
      <c r="V109" s="1340">
        <f>인프라!J25</f>
        <v>930.22236399999997</v>
      </c>
      <c r="W109" s="1340">
        <f>인프라!K25</f>
        <v>-666.88315699999998</v>
      </c>
      <c r="X109" s="1340">
        <f>인프라!L25</f>
        <v>922.60432600000001</v>
      </c>
      <c r="Y109" s="1340">
        <f>인프라!M25</f>
        <v>904.47265499999992</v>
      </c>
      <c r="Z109" s="1340">
        <f>인프라!N25</f>
        <v>-631.32712700000013</v>
      </c>
      <c r="AA109" s="1340">
        <f>인프라!O25</f>
        <v>876.87155600000006</v>
      </c>
      <c r="AB109" s="1340">
        <f>인프라!P25</f>
        <v>859.38941199999999</v>
      </c>
      <c r="AC109" s="1341">
        <f>인프라!Q25</f>
        <v>-696.86132300000008</v>
      </c>
      <c r="AD109" s="64">
        <f t="shared" si="285"/>
        <v>4394.491293</v>
      </c>
      <c r="AE109" s="1340">
        <f>인프라!S25</f>
        <v>883.57935699999996</v>
      </c>
      <c r="AF109" s="1340">
        <f>인프라!T25</f>
        <v>859.01869899999997</v>
      </c>
      <c r="AG109" s="1340">
        <f>인프라!U25</f>
        <v>-593.34228099999996</v>
      </c>
      <c r="AH109" s="1340">
        <f>인프라!V25</f>
        <v>830.42420800000002</v>
      </c>
      <c r="AI109" s="1340">
        <f>인프라!W25</f>
        <v>810.32143599999995</v>
      </c>
      <c r="AJ109" s="1340">
        <f>인프라!X25</f>
        <v>-587.47840900000006</v>
      </c>
      <c r="AK109" s="1340">
        <f>인프라!Y25</f>
        <v>821.27809000000002</v>
      </c>
      <c r="AL109" s="1340">
        <f>인프라!Z25</f>
        <v>819.52794100000006</v>
      </c>
      <c r="AM109" s="1340">
        <f>인프라!AA25</f>
        <v>-527.45777899999985</v>
      </c>
      <c r="AN109" s="1340">
        <f>인프라!AB25</f>
        <v>803.38386999999989</v>
      </c>
      <c r="AO109" s="1340">
        <f>인프라!AC25</f>
        <v>784.78751199999999</v>
      </c>
      <c r="AP109" s="1340">
        <f>인프라!AD25</f>
        <v>-502.61335099999997</v>
      </c>
      <c r="AQ109" s="64">
        <f t="shared" si="213"/>
        <v>5225.7472760000001</v>
      </c>
      <c r="AR109" s="1340"/>
      <c r="AS109" s="1340"/>
      <c r="AT109" s="1340"/>
      <c r="AU109" s="1340"/>
      <c r="AV109" s="1340"/>
      <c r="AW109" s="1340"/>
      <c r="AX109" s="1340"/>
      <c r="AY109" s="1340"/>
      <c r="AZ109" s="1340"/>
      <c r="BA109" s="1340"/>
      <c r="BB109" s="1340"/>
      <c r="BC109" s="1340"/>
      <c r="BD109" s="64">
        <f t="shared" ref="BD109:BP109" si="326">BD33-BD157</f>
        <v>5520.3552240000008</v>
      </c>
      <c r="BE109" s="1340">
        <f t="shared" si="326"/>
        <v>994.71081400000003</v>
      </c>
      <c r="BF109" s="1340">
        <f t="shared" si="326"/>
        <v>1005.038278</v>
      </c>
      <c r="BG109" s="1340">
        <f t="shared" si="326"/>
        <v>-660.23039899999992</v>
      </c>
      <c r="BH109" s="1340">
        <f t="shared" si="326"/>
        <v>961.15084000000002</v>
      </c>
      <c r="BI109" s="1340">
        <f t="shared" si="326"/>
        <v>962.48869300000001</v>
      </c>
      <c r="BJ109" s="1340">
        <f t="shared" si="326"/>
        <v>-467.68410699999998</v>
      </c>
      <c r="BK109" s="1340">
        <f t="shared" si="326"/>
        <v>955.31005400000004</v>
      </c>
      <c r="BL109" s="1340">
        <f t="shared" si="326"/>
        <v>1014.5815</v>
      </c>
      <c r="BM109" s="1340">
        <f t="shared" si="326"/>
        <v>-615.77043800000001</v>
      </c>
      <c r="BN109" s="1340">
        <f t="shared" si="326"/>
        <v>966.7202860000001</v>
      </c>
      <c r="BO109" s="1340">
        <f t="shared" si="326"/>
        <v>1001.241342</v>
      </c>
      <c r="BP109" s="1340">
        <f t="shared" si="326"/>
        <v>-597.201639</v>
      </c>
      <c r="BQ109" s="1710">
        <f t="shared" ref="BQ109:CC109" si="327">BQ33-BQ157</f>
        <v>5123.4679570000089</v>
      </c>
      <c r="BR109" s="1930">
        <f t="shared" si="327"/>
        <v>976.30713999999989</v>
      </c>
      <c r="BS109" s="1930">
        <f t="shared" si="327"/>
        <v>991.63291399999991</v>
      </c>
      <c r="BT109" s="1930">
        <f t="shared" si="327"/>
        <v>-490.745248</v>
      </c>
      <c r="BU109" s="1930">
        <f t="shared" si="327"/>
        <v>963.06588499999998</v>
      </c>
      <c r="BV109" s="1930">
        <f t="shared" si="327"/>
        <v>961.75482600000009</v>
      </c>
      <c r="BW109" s="1930">
        <f t="shared" si="327"/>
        <v>-543.75529800000004</v>
      </c>
      <c r="BX109" s="1930">
        <f t="shared" si="327"/>
        <v>1030.6010470000001</v>
      </c>
      <c r="BY109" s="1930">
        <f t="shared" si="327"/>
        <v>980.53040599999997</v>
      </c>
      <c r="BZ109" s="1930">
        <f t="shared" si="327"/>
        <v>-657.77746899999988</v>
      </c>
      <c r="CA109" s="1930">
        <f t="shared" si="327"/>
        <v>849.78612100000009</v>
      </c>
      <c r="CB109" s="1930">
        <f t="shared" si="327"/>
        <v>808.37335799999994</v>
      </c>
      <c r="CC109" s="1931">
        <f t="shared" si="327"/>
        <v>-746.30572499999118</v>
      </c>
      <c r="CD109" s="1710">
        <f t="shared" ref="CD109:CP109" si="328">CD33-CD157</f>
        <v>4322.3453610000006</v>
      </c>
      <c r="CE109" s="1930">
        <f t="shared" si="328"/>
        <v>881.09574100000009</v>
      </c>
      <c r="CF109" s="1930">
        <f t="shared" si="328"/>
        <v>867.30171600000006</v>
      </c>
      <c r="CG109" s="1930">
        <f t="shared" si="328"/>
        <v>-683.23636799999997</v>
      </c>
      <c r="CH109" s="1930">
        <f t="shared" si="328"/>
        <v>855.74212200000011</v>
      </c>
      <c r="CI109" s="1930">
        <f t="shared" si="328"/>
        <v>848.95716200000004</v>
      </c>
      <c r="CJ109" s="1930">
        <f t="shared" si="328"/>
        <v>-724.05316300000015</v>
      </c>
      <c r="CK109" s="1930">
        <f t="shared" si="328"/>
        <v>863.42526299999997</v>
      </c>
      <c r="CL109" s="1930">
        <f t="shared" si="328"/>
        <v>898.60813100000007</v>
      </c>
      <c r="CM109" s="1930">
        <f t="shared" si="328"/>
        <v>-690.6252750000001</v>
      </c>
      <c r="CN109" s="1930">
        <f t="shared" si="328"/>
        <v>894.01287000000002</v>
      </c>
      <c r="CO109" s="1930">
        <f t="shared" si="328"/>
        <v>979.0143599999999</v>
      </c>
      <c r="CP109" s="1931">
        <f t="shared" si="328"/>
        <v>-667.897198</v>
      </c>
      <c r="CQ109" s="1710">
        <f t="shared" si="309"/>
        <v>4402.6844431512254</v>
      </c>
      <c r="CR109" s="1711">
        <f>인프라!CF25</f>
        <v>907.24805390635117</v>
      </c>
      <c r="CS109" s="1711">
        <f>인프라!CG25</f>
        <v>907.24805390635117</v>
      </c>
      <c r="CT109" s="1711">
        <f>인프라!CH25</f>
        <v>-717.68675952783917</v>
      </c>
      <c r="CU109" s="1711">
        <f>인프라!CI25</f>
        <v>907.57145597769124</v>
      </c>
      <c r="CV109" s="1711">
        <f>인프라!CJ25</f>
        <v>908.21826012037138</v>
      </c>
      <c r="CW109" s="1711">
        <f>인프라!CK25</f>
        <v>-721.76741012586444</v>
      </c>
      <c r="CX109" s="1711">
        <f>인프라!CL25</f>
        <v>909.51186840573155</v>
      </c>
      <c r="CY109" s="1711">
        <f>인프라!CM25</f>
        <v>910.15867254841157</v>
      </c>
      <c r="CZ109" s="1711">
        <f>인프라!CN25</f>
        <v>-714.12933674309863</v>
      </c>
      <c r="DA109" s="1711">
        <f>인프라!CO25</f>
        <v>911.45228083377185</v>
      </c>
      <c r="DB109" s="1711">
        <f>인프라!CP25</f>
        <v>912.09908497645188</v>
      </c>
      <c r="DC109" s="2286">
        <f>인프라!CQ25</f>
        <v>-717.23978112710381</v>
      </c>
      <c r="DD109" s="25"/>
      <c r="DE109" s="25"/>
      <c r="DF109" s="25"/>
      <c r="DG109" s="2975">
        <f t="shared" si="217"/>
        <v>-7.1895240595117094E-2</v>
      </c>
      <c r="DH109" s="2976">
        <f t="shared" si="218"/>
        <v>-0.1563633466089045</v>
      </c>
      <c r="DI109" s="2976">
        <f t="shared" si="219"/>
        <v>1.858691877704044E-2</v>
      </c>
      <c r="DJ109" s="2976"/>
      <c r="DK109" s="1884"/>
      <c r="DL109" s="2718"/>
      <c r="DM109" s="2718"/>
    </row>
    <row r="110" spans="2:118">
      <c r="B110" s="40" t="s">
        <v>78</v>
      </c>
      <c r="C110" s="41"/>
      <c r="D110" s="66"/>
      <c r="E110" s="1340"/>
      <c r="F110" s="1340"/>
      <c r="G110" s="1340"/>
      <c r="H110" s="1340"/>
      <c r="I110" s="1340"/>
      <c r="J110" s="1340"/>
      <c r="K110" s="1340"/>
      <c r="L110" s="1340"/>
      <c r="M110" s="1340"/>
      <c r="N110" s="1340"/>
      <c r="O110" s="1340"/>
      <c r="P110" s="1340"/>
      <c r="Q110" s="64">
        <f t="shared" si="313"/>
        <v>829.58480899999995</v>
      </c>
      <c r="R110" s="1340">
        <f>인프라!F32</f>
        <v>82.546761000000004</v>
      </c>
      <c r="S110" s="1340">
        <f>인프라!G32</f>
        <v>78.921929000000006</v>
      </c>
      <c r="T110" s="1340">
        <f>인프라!H32</f>
        <v>75.731808999999998</v>
      </c>
      <c r="U110" s="1340">
        <f>인프라!I32</f>
        <v>61.297843</v>
      </c>
      <c r="V110" s="1340">
        <f>인프라!J32</f>
        <v>57.403174999999997</v>
      </c>
      <c r="W110" s="1340">
        <f>인프라!K32</f>
        <v>56.650342999999999</v>
      </c>
      <c r="X110" s="1340">
        <f>인프라!L32</f>
        <v>70.491185000000002</v>
      </c>
      <c r="Y110" s="1340">
        <f>인프라!M32</f>
        <v>74.646315000000001</v>
      </c>
      <c r="Z110" s="1340">
        <f>인프라!N32</f>
        <v>75.302107000000007</v>
      </c>
      <c r="AA110" s="1340">
        <f>인프라!O32</f>
        <v>67.801533000000006</v>
      </c>
      <c r="AB110" s="1340">
        <f>인프라!P32</f>
        <v>57.977417000000003</v>
      </c>
      <c r="AC110" s="1341">
        <f>인프라!Q32</f>
        <v>70.814391999999998</v>
      </c>
      <c r="AD110" s="64">
        <f t="shared" si="285"/>
        <v>736.33306899999991</v>
      </c>
      <c r="AE110" s="1340">
        <f>인프라!S32</f>
        <v>76.387293999999997</v>
      </c>
      <c r="AF110" s="1340">
        <f>인프라!T32</f>
        <v>83.757786999999993</v>
      </c>
      <c r="AG110" s="1340">
        <f>인프라!U32</f>
        <v>65.701190999999994</v>
      </c>
      <c r="AH110" s="1340">
        <f>인프라!V32</f>
        <v>49.271670999999998</v>
      </c>
      <c r="AI110" s="1340">
        <f>인프라!W32</f>
        <v>43.451366</v>
      </c>
      <c r="AJ110" s="1340">
        <f>인프라!X32</f>
        <v>48.680199000000002</v>
      </c>
      <c r="AK110" s="1340">
        <f>인프라!Y32</f>
        <v>67.712889000000004</v>
      </c>
      <c r="AL110" s="1340">
        <f>인프라!Z32</f>
        <v>77.768382000000003</v>
      </c>
      <c r="AM110" s="1340">
        <f>인프라!AA32</f>
        <v>63.541164999999999</v>
      </c>
      <c r="AN110" s="1340">
        <f>인프라!AB32</f>
        <v>51.070228</v>
      </c>
      <c r="AO110" s="1340">
        <f>인프라!AC32</f>
        <v>49.898795</v>
      </c>
      <c r="AP110" s="1340">
        <f>인프라!AD32</f>
        <v>59.092101999999997</v>
      </c>
      <c r="AQ110" s="64">
        <f t="shared" si="213"/>
        <v>737.99524900000006</v>
      </c>
      <c r="AR110" s="1340"/>
      <c r="AS110" s="1340"/>
      <c r="AT110" s="1340"/>
      <c r="AU110" s="1340"/>
      <c r="AV110" s="1340"/>
      <c r="AW110" s="1340"/>
      <c r="AX110" s="1340"/>
      <c r="AY110" s="1340"/>
      <c r="AZ110" s="1340"/>
      <c r="BA110" s="1340"/>
      <c r="BB110" s="1340"/>
      <c r="BC110" s="1340"/>
      <c r="BD110" s="64">
        <f t="shared" ref="BD110:BP110" si="329">BD34-BD158</f>
        <v>880.55462299999999</v>
      </c>
      <c r="BE110" s="1340">
        <f t="shared" si="329"/>
        <v>85.705911999999998</v>
      </c>
      <c r="BF110" s="1340">
        <f t="shared" si="329"/>
        <v>94.099297000000007</v>
      </c>
      <c r="BG110" s="1340">
        <f t="shared" si="329"/>
        <v>79.2864</v>
      </c>
      <c r="BH110" s="1340">
        <f t="shared" si="329"/>
        <v>60.344214999999998</v>
      </c>
      <c r="BI110" s="1340">
        <f t="shared" si="329"/>
        <v>53.936982999999998</v>
      </c>
      <c r="BJ110" s="1340">
        <f t="shared" si="329"/>
        <v>62.379387999999999</v>
      </c>
      <c r="BK110" s="1340">
        <f t="shared" si="329"/>
        <v>73.463150999999996</v>
      </c>
      <c r="BL110" s="1340">
        <f t="shared" si="329"/>
        <v>96.102294000000001</v>
      </c>
      <c r="BM110" s="1340">
        <f t="shared" si="329"/>
        <v>85.668051000000006</v>
      </c>
      <c r="BN110" s="1340">
        <f t="shared" si="329"/>
        <v>62.290697000000002</v>
      </c>
      <c r="BO110" s="1340">
        <f t="shared" si="329"/>
        <v>57.340108000000001</v>
      </c>
      <c r="BP110" s="1340">
        <f t="shared" si="329"/>
        <v>69.938126999999994</v>
      </c>
      <c r="BQ110" s="1710">
        <f t="shared" ref="BQ110:CC110" si="330">BQ34-BQ158</f>
        <v>899.429036</v>
      </c>
      <c r="BR110" s="1930">
        <f t="shared" si="330"/>
        <v>81.363117000000003</v>
      </c>
      <c r="BS110" s="1930">
        <f t="shared" si="330"/>
        <v>93.101247000000001</v>
      </c>
      <c r="BT110" s="1930">
        <f t="shared" si="330"/>
        <v>74.648701000000003</v>
      </c>
      <c r="BU110" s="1930">
        <f t="shared" si="330"/>
        <v>61.250383999999997</v>
      </c>
      <c r="BV110" s="1930">
        <f t="shared" si="330"/>
        <v>57.446894</v>
      </c>
      <c r="BW110" s="1930">
        <f t="shared" si="330"/>
        <v>60.809387999999998</v>
      </c>
      <c r="BX110" s="1930">
        <f t="shared" si="330"/>
        <v>78.512664999999998</v>
      </c>
      <c r="BY110" s="1930">
        <f t="shared" si="330"/>
        <v>98.437309999999997</v>
      </c>
      <c r="BZ110" s="1930">
        <f t="shared" si="330"/>
        <v>92.335248000000007</v>
      </c>
      <c r="CA110" s="1930">
        <f t="shared" si="330"/>
        <v>73.169117</v>
      </c>
      <c r="CB110" s="1930">
        <f t="shared" si="330"/>
        <v>56.033701999999998</v>
      </c>
      <c r="CC110" s="1931">
        <f t="shared" si="330"/>
        <v>72.321263000000002</v>
      </c>
      <c r="CD110" s="1710">
        <f t="shared" ref="CD110:CP110" si="331">CD34-CD158</f>
        <v>826.61157500000002</v>
      </c>
      <c r="CE110" s="1930">
        <f t="shared" si="331"/>
        <v>82.053048000000004</v>
      </c>
      <c r="CF110" s="1930">
        <f t="shared" si="331"/>
        <v>88.010605999999996</v>
      </c>
      <c r="CG110" s="1930">
        <f t="shared" si="331"/>
        <v>82.276914000000005</v>
      </c>
      <c r="CH110" s="1930">
        <f t="shared" si="331"/>
        <v>58.118792999999997</v>
      </c>
      <c r="CI110" s="1930">
        <f t="shared" si="331"/>
        <v>53.026054999999999</v>
      </c>
      <c r="CJ110" s="1930">
        <f t="shared" si="331"/>
        <v>57.015318999999998</v>
      </c>
      <c r="CK110" s="1930">
        <f t="shared" si="331"/>
        <v>72.172118999999995</v>
      </c>
      <c r="CL110" s="1930">
        <f t="shared" si="331"/>
        <v>83.281160999999997</v>
      </c>
      <c r="CM110" s="1930">
        <f t="shared" si="331"/>
        <v>78.448391999999998</v>
      </c>
      <c r="CN110" s="1930">
        <f t="shared" si="331"/>
        <v>62.359115000000003</v>
      </c>
      <c r="CO110" s="1930">
        <f t="shared" si="331"/>
        <v>52.352583000000003</v>
      </c>
      <c r="CP110" s="1931">
        <f t="shared" si="331"/>
        <v>57.49747</v>
      </c>
      <c r="CQ110" s="1710">
        <f t="shared" si="309"/>
        <v>896.0188111286385</v>
      </c>
      <c r="CR110" s="1711">
        <f>인프라!CF32</f>
        <v>69.026893977386635</v>
      </c>
      <c r="CS110" s="1711">
        <f>인프라!CG32</f>
        <v>74.696502317386532</v>
      </c>
      <c r="CT110" s="1711">
        <f>인프라!CH32</f>
        <v>74.696502317386532</v>
      </c>
      <c r="CU110" s="1711">
        <f>인프라!CI32</f>
        <v>74.696502317386532</v>
      </c>
      <c r="CV110" s="1711">
        <f>인프라!CJ32</f>
        <v>74.696502317386532</v>
      </c>
      <c r="CW110" s="1711">
        <f>인프라!CK32</f>
        <v>74.696502317386532</v>
      </c>
      <c r="CX110" s="1711">
        <f>인프라!CL32</f>
        <v>74.696502317386532</v>
      </c>
      <c r="CY110" s="1711">
        <f>인프라!CM32</f>
        <v>74.696502317386532</v>
      </c>
      <c r="CZ110" s="1711">
        <f>인프라!CN32</f>
        <v>74.696502317386532</v>
      </c>
      <c r="DA110" s="1711">
        <f>인프라!CO32</f>
        <v>77.696502317386532</v>
      </c>
      <c r="DB110" s="1711">
        <f>인프라!CP32</f>
        <v>77.696502317386532</v>
      </c>
      <c r="DC110" s="2286">
        <f>인프라!CQ32</f>
        <v>74.026893977386635</v>
      </c>
      <c r="DD110" s="25"/>
      <c r="DE110" s="25"/>
      <c r="DF110" s="25"/>
      <c r="DG110" s="2975">
        <f t="shared" si="217"/>
        <v>2.1434687306161493E-2</v>
      </c>
      <c r="DH110" s="2976">
        <f t="shared" si="218"/>
        <v>-8.0959651162518131E-2</v>
      </c>
      <c r="DI110" s="2976">
        <f t="shared" si="219"/>
        <v>8.3965962040440267E-2</v>
      </c>
      <c r="DJ110" s="2976"/>
      <c r="DK110" s="1884"/>
      <c r="DL110" s="2718"/>
      <c r="DM110" s="2718"/>
    </row>
    <row r="111" spans="2:118">
      <c r="B111" s="46" t="s">
        <v>384</v>
      </c>
      <c r="C111" s="34"/>
      <c r="D111" s="35"/>
      <c r="E111" s="1335"/>
      <c r="F111" s="1335"/>
      <c r="G111" s="1335"/>
      <c r="H111" s="1335"/>
      <c r="I111" s="1335"/>
      <c r="J111" s="1335"/>
      <c r="K111" s="1335"/>
      <c r="L111" s="1335"/>
      <c r="M111" s="1335"/>
      <c r="N111" s="1335"/>
      <c r="O111" s="1335"/>
      <c r="P111" s="1335"/>
      <c r="Q111" s="1345">
        <f t="shared" si="313"/>
        <v>7701.4169409999995</v>
      </c>
      <c r="R111" s="1335">
        <f>SUM(R112:R113)</f>
        <v>184.41950199999999</v>
      </c>
      <c r="S111" s="1335">
        <f t="shared" ref="S111:T111" si="332">SUM(S112:S113)</f>
        <v>179.08790400000001</v>
      </c>
      <c r="T111" s="1335">
        <f t="shared" si="332"/>
        <v>1757.263461</v>
      </c>
      <c r="U111" s="1335">
        <f t="shared" ref="U111" si="333">SUM(U112:U113)</f>
        <v>169.22991400000001</v>
      </c>
      <c r="V111" s="1335">
        <f t="shared" ref="V111:W111" si="334">SUM(V112:V113)</f>
        <v>163.72880699999999</v>
      </c>
      <c r="W111" s="1335">
        <f t="shared" si="334"/>
        <v>1647.3229210000002</v>
      </c>
      <c r="X111" s="1335">
        <f t="shared" ref="X111:AC111" si="335">SUM(X112:X113)</f>
        <v>156.14584200000002</v>
      </c>
      <c r="Y111" s="1335">
        <f t="shared" si="335"/>
        <v>149.91224099999999</v>
      </c>
      <c r="Z111" s="1335">
        <f t="shared" si="335"/>
        <v>1557.000849</v>
      </c>
      <c r="AA111" s="1335">
        <f t="shared" si="335"/>
        <v>128.82388700000001</v>
      </c>
      <c r="AB111" s="1335">
        <f t="shared" si="335"/>
        <v>126.43026900000001</v>
      </c>
      <c r="AC111" s="1074">
        <f t="shared" si="335"/>
        <v>1482.051344</v>
      </c>
      <c r="AD111" s="1345">
        <f t="shared" si="285"/>
        <v>6387.0497149999992</v>
      </c>
      <c r="AE111" s="1335">
        <f t="shared" ref="AE111:AP111" si="336">SUM(AE112:AE113)</f>
        <v>122.067702</v>
      </c>
      <c r="AF111" s="1335">
        <f t="shared" si="336"/>
        <v>121.334701</v>
      </c>
      <c r="AG111" s="1335">
        <f t="shared" si="336"/>
        <v>1454.0482910000001</v>
      </c>
      <c r="AH111" s="1335">
        <f t="shared" si="336"/>
        <v>119.728639</v>
      </c>
      <c r="AI111" s="1335">
        <f t="shared" si="336"/>
        <v>117.019749</v>
      </c>
      <c r="AJ111" s="1335">
        <f t="shared" si="336"/>
        <v>1409.0148510000001</v>
      </c>
      <c r="AK111" s="1335">
        <f t="shared" si="336"/>
        <v>113.79748699999999</v>
      </c>
      <c r="AL111" s="1335">
        <f t="shared" si="336"/>
        <v>113.43645500000001</v>
      </c>
      <c r="AM111" s="1335">
        <f t="shared" si="336"/>
        <v>1359.937905</v>
      </c>
      <c r="AN111" s="1335">
        <f t="shared" si="336"/>
        <v>111.064257</v>
      </c>
      <c r="AO111" s="1335">
        <f t="shared" si="336"/>
        <v>109.759356</v>
      </c>
      <c r="AP111" s="1335">
        <f t="shared" si="336"/>
        <v>1257.0870420000001</v>
      </c>
      <c r="AQ111" s="1345">
        <f t="shared" si="213"/>
        <v>6129.8074689999994</v>
      </c>
      <c r="AR111" s="1335"/>
      <c r="AS111" s="1335"/>
      <c r="AT111" s="1335"/>
      <c r="AU111" s="1335"/>
      <c r="AV111" s="1335"/>
      <c r="AW111" s="1335"/>
      <c r="AX111" s="1335"/>
      <c r="AY111" s="1335"/>
      <c r="AZ111" s="1335"/>
      <c r="BA111" s="1335"/>
      <c r="BB111" s="1335"/>
      <c r="BC111" s="1335"/>
      <c r="BD111" s="1345">
        <f t="shared" ref="BD111:BP111" si="337">BD35-BD159</f>
        <v>6229.8046869999998</v>
      </c>
      <c r="BE111" s="1335">
        <f t="shared" si="337"/>
        <v>74.262206999999989</v>
      </c>
      <c r="BF111" s="1335">
        <f t="shared" si="337"/>
        <v>64.483829999999998</v>
      </c>
      <c r="BG111" s="1335">
        <f t="shared" si="337"/>
        <v>1431.0481490000002</v>
      </c>
      <c r="BH111" s="1335">
        <f t="shared" si="337"/>
        <v>69.413242999999994</v>
      </c>
      <c r="BI111" s="1335">
        <f t="shared" si="337"/>
        <v>68.639973999999995</v>
      </c>
      <c r="BJ111" s="1335">
        <f t="shared" si="337"/>
        <v>1429.6835609999998</v>
      </c>
      <c r="BK111" s="1335">
        <f t="shared" si="337"/>
        <v>61.727420999999993</v>
      </c>
      <c r="BL111" s="1335">
        <f t="shared" si="337"/>
        <v>65.568546000000012</v>
      </c>
      <c r="BM111" s="1335">
        <f t="shared" si="337"/>
        <v>1442.201865</v>
      </c>
      <c r="BN111" s="1335">
        <f t="shared" si="337"/>
        <v>66.421354000000008</v>
      </c>
      <c r="BO111" s="1335">
        <f t="shared" si="337"/>
        <v>63.559989000000002</v>
      </c>
      <c r="BP111" s="1335">
        <f t="shared" si="337"/>
        <v>1392.7945480000003</v>
      </c>
      <c r="BQ111" s="1345">
        <f t="shared" ref="BQ111:CC111" si="338">BQ35-BQ159</f>
        <v>6018.284001</v>
      </c>
      <c r="BR111" s="1777">
        <f t="shared" si="338"/>
        <v>56.561595000000004</v>
      </c>
      <c r="BS111" s="1777">
        <f t="shared" si="338"/>
        <v>36.933821000000002</v>
      </c>
      <c r="BT111" s="1777">
        <f t="shared" si="338"/>
        <v>1386.328988</v>
      </c>
      <c r="BU111" s="1777">
        <f t="shared" si="338"/>
        <v>35.885379999999998</v>
      </c>
      <c r="BV111" s="1777">
        <f t="shared" si="338"/>
        <v>37.002803</v>
      </c>
      <c r="BW111" s="1777">
        <f t="shared" si="338"/>
        <v>1399.8231520000002</v>
      </c>
      <c r="BX111" s="1777">
        <f t="shared" si="338"/>
        <v>35.297169999999994</v>
      </c>
      <c r="BY111" s="1777">
        <f t="shared" si="338"/>
        <v>35.297169999999994</v>
      </c>
      <c r="BZ111" s="1777">
        <f t="shared" si="338"/>
        <v>1466.7724270000001</v>
      </c>
      <c r="CA111" s="1777">
        <f t="shared" si="338"/>
        <v>66.797173000000001</v>
      </c>
      <c r="CB111" s="1777">
        <f t="shared" si="338"/>
        <v>34.798950999999988</v>
      </c>
      <c r="CC111" s="1778">
        <f t="shared" si="338"/>
        <v>1426.7853709999997</v>
      </c>
      <c r="CD111" s="1345">
        <f t="shared" ref="CD111:CP111" si="339">CD35-CD159</f>
        <v>5979.4363579999999</v>
      </c>
      <c r="CE111" s="1777">
        <f t="shared" si="339"/>
        <v>33.926591000000002</v>
      </c>
      <c r="CF111" s="1777">
        <f t="shared" si="339"/>
        <v>33.926591000000002</v>
      </c>
      <c r="CG111" s="1777">
        <f t="shared" si="339"/>
        <v>1429.117686</v>
      </c>
      <c r="CH111" s="1777">
        <f t="shared" si="339"/>
        <v>33.324418999999992</v>
      </c>
      <c r="CI111" s="1777">
        <f t="shared" si="339"/>
        <v>33.033783999999997</v>
      </c>
      <c r="CJ111" s="1777">
        <f t="shared" si="339"/>
        <v>1418.5262130000001</v>
      </c>
      <c r="CK111" s="1777">
        <f t="shared" si="339"/>
        <v>-26.220331999999999</v>
      </c>
      <c r="CL111" s="1777">
        <f t="shared" si="339"/>
        <v>32.704667999999998</v>
      </c>
      <c r="CM111" s="1777">
        <f t="shared" si="339"/>
        <v>1445.610993</v>
      </c>
      <c r="CN111" s="1777">
        <f t="shared" si="339"/>
        <v>32.122780000000006</v>
      </c>
      <c r="CO111" s="1777">
        <f t="shared" si="339"/>
        <v>32.122780000000006</v>
      </c>
      <c r="CP111" s="1778">
        <f t="shared" si="339"/>
        <v>1481.2401850000001</v>
      </c>
      <c r="CQ111" s="1345">
        <f t="shared" si="309"/>
        <v>5998.9764853333327</v>
      </c>
      <c r="CR111" s="1336">
        <f t="shared" ref="CR111:DC111" si="340">SUM(CR112:CR113)</f>
        <v>35.422899999999998</v>
      </c>
      <c r="CS111" s="1336">
        <f t="shared" si="340"/>
        <v>35.422899999999998</v>
      </c>
      <c r="CT111" s="1336">
        <f t="shared" si="340"/>
        <v>1379.4443240000001</v>
      </c>
      <c r="CU111" s="1336">
        <f t="shared" si="340"/>
        <v>40.422899999999998</v>
      </c>
      <c r="CV111" s="1336">
        <f t="shared" si="340"/>
        <v>40.422899999999998</v>
      </c>
      <c r="CW111" s="1336">
        <f t="shared" si="340"/>
        <v>1384.4443240000001</v>
      </c>
      <c r="CX111" s="1336">
        <f t="shared" si="340"/>
        <v>40.422899999999998</v>
      </c>
      <c r="CY111" s="1336">
        <f t="shared" si="340"/>
        <v>40.422899999999998</v>
      </c>
      <c r="CZ111" s="1336">
        <f t="shared" si="340"/>
        <v>1401.1109906666666</v>
      </c>
      <c r="DA111" s="1336">
        <f t="shared" si="340"/>
        <v>86.917118666666639</v>
      </c>
      <c r="DB111" s="1336">
        <f t="shared" si="340"/>
        <v>86.917118666666639</v>
      </c>
      <c r="DC111" s="2284">
        <f t="shared" si="340"/>
        <v>1427.6052093333333</v>
      </c>
      <c r="DD111" s="2587"/>
      <c r="DE111" s="2587"/>
      <c r="DF111" s="2587"/>
      <c r="DG111" s="2975">
        <f t="shared" si="217"/>
        <v>-3.3953020460077865E-2</v>
      </c>
      <c r="DH111" s="2976">
        <f t="shared" si="218"/>
        <v>-6.4549368214502634E-3</v>
      </c>
      <c r="DI111" s="2976">
        <f t="shared" si="219"/>
        <v>3.2678878348106899E-3</v>
      </c>
      <c r="DJ111" s="2976"/>
      <c r="DK111" s="1884"/>
      <c r="DL111" s="2718"/>
      <c r="DM111" s="2718"/>
    </row>
    <row r="112" spans="2:118">
      <c r="B112" s="40" t="s">
        <v>79</v>
      </c>
      <c r="C112" s="41"/>
      <c r="D112" s="66"/>
      <c r="E112" s="1340"/>
      <c r="F112" s="1340"/>
      <c r="G112" s="1340"/>
      <c r="H112" s="1340"/>
      <c r="I112" s="1340"/>
      <c r="J112" s="1340"/>
      <c r="K112" s="1340"/>
      <c r="L112" s="1340"/>
      <c r="M112" s="1340"/>
      <c r="N112" s="1340"/>
      <c r="O112" s="1340"/>
      <c r="P112" s="1340"/>
      <c r="Q112" s="64">
        <f t="shared" si="313"/>
        <v>6502.198671000001</v>
      </c>
      <c r="R112" s="1340">
        <f>(감가상각비!F11+감가상각비!F18)/1000000-감가상각비!F50</f>
        <v>71.165347999999994</v>
      </c>
      <c r="S112" s="1340">
        <f>(감가상각비!G11+감가상각비!G18)/1000000-감가상각비!G50</f>
        <v>67.416583000000003</v>
      </c>
      <c r="T112" s="1340">
        <f>(감가상각비!H11+감가상각비!H18)/1000000-감가상각비!H50</f>
        <v>1654.491636</v>
      </c>
      <c r="U112" s="1340">
        <f>(감가상각비!I11+감가상각비!I18)/1000000-감가상각비!I50</f>
        <v>58.074333000000003</v>
      </c>
      <c r="V112" s="1340">
        <f>(감가상각비!J11+감가상각비!J18)/1000000-감가상각비!J50</f>
        <v>55.906359000000002</v>
      </c>
      <c r="W112" s="1340">
        <f>(감가상각비!K11+감가상각비!K18)/1000000-감가상각비!K50</f>
        <v>1547.6254650000001</v>
      </c>
      <c r="X112" s="1340">
        <f>(감가상각비!L11+감가상각비!L18)/1000000-감가상각비!L50</f>
        <v>49.673056000000003</v>
      </c>
      <c r="Y112" s="1340">
        <f>(감가상각비!M11+감가상각비!M18)/1000000-감가상각비!M50</f>
        <v>48.605857</v>
      </c>
      <c r="Z112" s="1340">
        <f>(감가상각비!N11+감가상각비!N18)/1000000-감가상각비!N50</f>
        <v>1475.4027940000001</v>
      </c>
      <c r="AA112" s="1340">
        <f>(감가상각비!O11+감가상각비!O18)/1000000-감가상각비!O50</f>
        <v>33.985501999999997</v>
      </c>
      <c r="AB112" s="1340">
        <f>(감가상각비!P11+감가상각비!P18)/1000000-감가상각비!P50</f>
        <v>33.725197999999999</v>
      </c>
      <c r="AC112" s="1341">
        <f>(감가상각비!Q11+감가상각비!Q18)/1000000-감가상각비!Q50</f>
        <v>1406.12654</v>
      </c>
      <c r="AD112" s="64">
        <f t="shared" si="285"/>
        <v>5412.4315080000006</v>
      </c>
      <c r="AE112" s="1340">
        <f>(감가상각비!S11+감가상각비!S18)/1000000-감가상각비!S50</f>
        <v>33.018979000000002</v>
      </c>
      <c r="AF112" s="1340">
        <f>(감가상각비!T11+감가상각비!T18)/1000000-감가상각비!T50</f>
        <v>32.285978</v>
      </c>
      <c r="AG112" s="1340">
        <f>(감가상각비!U11+감가상각비!U18)/1000000-감가상각비!U50</f>
        <v>1376.039802</v>
      </c>
      <c r="AH112" s="1340">
        <f>(감가상각비!V11+감가상각비!V18)/1000000-감가상각비!V50</f>
        <v>29.937819999999999</v>
      </c>
      <c r="AI112" s="1340">
        <f>(감가상각비!W11+감가상각비!W18)/1000000-감가상각비!W50</f>
        <v>27.812014999999999</v>
      </c>
      <c r="AJ112" s="1340">
        <f>(감가상각비!X11+감가상각비!X18)/1000000-감가상각비!X50</f>
        <v>1333.9321090000001</v>
      </c>
      <c r="AK112" s="1340">
        <f>(감가상각비!Y11+감가상각비!Y18)/1000000-감가상각비!Y50</f>
        <v>27.422917999999999</v>
      </c>
      <c r="AL112" s="1340">
        <f>(감가상각비!Z11+감가상각비!Z18)/1000000-감가상각비!Z50</f>
        <v>27.561744000000001</v>
      </c>
      <c r="AM112" s="1340">
        <f>(감가상각비!AA11+감가상각비!AA18)/1000000-감가상각비!AA50</f>
        <v>1285.1881900000001</v>
      </c>
      <c r="AN112" s="1340">
        <f>(감가상각비!AB11+감가상각비!AB18)/1000000-감가상각비!AB50</f>
        <v>27.189546</v>
      </c>
      <c r="AO112" s="1340">
        <f>(감가상각비!AC11+감가상각비!AC18)/1000000-감가상각비!AC50</f>
        <v>26.717973000000001</v>
      </c>
      <c r="AP112" s="1340">
        <f>(감가상각비!AD11+감가상각비!AD18)/1000000-감가상각비!AD50</f>
        <v>1185.3244340000001</v>
      </c>
      <c r="AQ112" s="64">
        <f t="shared" si="213"/>
        <v>5274.9550589999999</v>
      </c>
      <c r="AR112" s="1340"/>
      <c r="AS112" s="1340"/>
      <c r="AT112" s="1340"/>
      <c r="AU112" s="1340"/>
      <c r="AV112" s="1340"/>
      <c r="AW112" s="1340"/>
      <c r="AX112" s="1340"/>
      <c r="AY112" s="1340"/>
      <c r="AZ112" s="1340"/>
      <c r="BA112" s="1340"/>
      <c r="BB112" s="1340"/>
      <c r="BC112" s="1340"/>
      <c r="BD112" s="64">
        <f t="shared" ref="BD112:BP112" si="341">BD36-BD160</f>
        <v>5650.9058280000008</v>
      </c>
      <c r="BE112" s="1340">
        <f t="shared" si="341"/>
        <v>23.160226999999999</v>
      </c>
      <c r="BF112" s="1340">
        <f t="shared" si="341"/>
        <v>10.88185</v>
      </c>
      <c r="BG112" s="1340">
        <f t="shared" si="341"/>
        <v>1375.8374170000002</v>
      </c>
      <c r="BH112" s="1340">
        <f t="shared" si="341"/>
        <v>13.965479</v>
      </c>
      <c r="BI112" s="1340">
        <f t="shared" si="341"/>
        <v>13.192207</v>
      </c>
      <c r="BJ112" s="1340">
        <f t="shared" si="341"/>
        <v>1383.1295359999999</v>
      </c>
      <c r="BK112" s="1340">
        <f t="shared" si="341"/>
        <v>15.173389999999998</v>
      </c>
      <c r="BL112" s="1340">
        <f t="shared" si="341"/>
        <v>20.527041000000001</v>
      </c>
      <c r="BM112" s="1340">
        <f t="shared" si="341"/>
        <v>1398.4085709999999</v>
      </c>
      <c r="BN112" s="1340">
        <f t="shared" si="341"/>
        <v>22.628053000000005</v>
      </c>
      <c r="BO112" s="1340">
        <f t="shared" si="341"/>
        <v>22.383261000000001</v>
      </c>
      <c r="BP112" s="1340">
        <f t="shared" si="341"/>
        <v>1351.6187960000002</v>
      </c>
      <c r="BQ112" s="1710">
        <f t="shared" ref="BQ112:CC112" si="342">BQ36-BQ160</f>
        <v>5735.6329389999992</v>
      </c>
      <c r="BR112" s="1930">
        <f t="shared" si="342"/>
        <v>15.386591000000003</v>
      </c>
      <c r="BS112" s="1930">
        <f t="shared" si="342"/>
        <v>14.591151000000004</v>
      </c>
      <c r="BT112" s="1930">
        <f t="shared" si="342"/>
        <v>1363.986316</v>
      </c>
      <c r="BU112" s="1930">
        <f t="shared" si="342"/>
        <v>13.305675999999998</v>
      </c>
      <c r="BV112" s="1930">
        <f t="shared" si="342"/>
        <v>14.423099000000004</v>
      </c>
      <c r="BW112" s="1930">
        <f t="shared" si="342"/>
        <v>1377.9382480000002</v>
      </c>
      <c r="BX112" s="1930">
        <f t="shared" si="342"/>
        <v>13.412265999999999</v>
      </c>
      <c r="BY112" s="1930">
        <f t="shared" si="342"/>
        <v>13.412265999999999</v>
      </c>
      <c r="BZ112" s="1930">
        <f t="shared" si="342"/>
        <v>1444.8875230000001</v>
      </c>
      <c r="CA112" s="1930">
        <f t="shared" si="342"/>
        <v>44.912264999999998</v>
      </c>
      <c r="CB112" s="1930">
        <f t="shared" si="342"/>
        <v>13.412271</v>
      </c>
      <c r="CC112" s="1931">
        <f t="shared" si="342"/>
        <v>1405.9652669999998</v>
      </c>
      <c r="CD112" s="1710">
        <f t="shared" ref="CD112:CP112" si="343">CD36-CD160</f>
        <v>5731.4317380000002</v>
      </c>
      <c r="CE112" s="1930">
        <f t="shared" si="343"/>
        <v>13.107274</v>
      </c>
      <c r="CF112" s="1930">
        <f t="shared" si="343"/>
        <v>13.107274</v>
      </c>
      <c r="CG112" s="1930">
        <f t="shared" si="343"/>
        <v>1408.298366</v>
      </c>
      <c r="CH112" s="1930">
        <f t="shared" si="343"/>
        <v>12.514160999999998</v>
      </c>
      <c r="CI112" s="1930">
        <f t="shared" si="343"/>
        <v>12.223526000000003</v>
      </c>
      <c r="CJ112" s="1930">
        <f t="shared" si="343"/>
        <v>1397.7159550000001</v>
      </c>
      <c r="CK112" s="1930">
        <f t="shared" si="343"/>
        <v>-47.030589999999997</v>
      </c>
      <c r="CL112" s="1930">
        <f t="shared" si="343"/>
        <v>11.894410000000004</v>
      </c>
      <c r="CM112" s="1930">
        <f t="shared" si="343"/>
        <v>1424.8007270000001</v>
      </c>
      <c r="CN112" s="1930">
        <f t="shared" si="343"/>
        <v>11.894410000000004</v>
      </c>
      <c r="CO112" s="1930">
        <f t="shared" si="343"/>
        <v>11.894410000000004</v>
      </c>
      <c r="CP112" s="1931">
        <f t="shared" si="343"/>
        <v>1461.0118150000001</v>
      </c>
      <c r="CQ112" s="1710">
        <f t="shared" si="309"/>
        <v>5565.0867226666678</v>
      </c>
      <c r="CR112" s="1711">
        <f>(감가상각비!CF11+감가상각비!CF18)/1000000-감가상각비!CF50</f>
        <v>15.19453</v>
      </c>
      <c r="CS112" s="1711">
        <f>(감가상각비!CG11+감가상각비!CG18)/1000000-감가상각비!CG50</f>
        <v>15.19453</v>
      </c>
      <c r="CT112" s="1711">
        <f>(감가상각비!CH11+감가상각비!CH18)/1000000-감가상각비!CH50</f>
        <v>1359.215954</v>
      </c>
      <c r="CU112" s="1711">
        <f>(감가상각비!CI11+감가상각비!CI18)/1000000-감가상각비!CI50</f>
        <v>15.19453</v>
      </c>
      <c r="CV112" s="1711">
        <f>(감가상각비!CJ11+감가상각비!CJ18)/1000000-감가상각비!CJ50</f>
        <v>15.19453</v>
      </c>
      <c r="CW112" s="1711">
        <f>(감가상각비!CK11+감가상각비!CK18)/1000000-감가상각비!CK50</f>
        <v>1359.215954</v>
      </c>
      <c r="CX112" s="1711">
        <f>(감가상각비!CL11+감가상각비!CL18)/1000000-감가상각비!CL50</f>
        <v>15.19453</v>
      </c>
      <c r="CY112" s="1711">
        <f>(감가상각비!CM11+감가상각비!CM18)/1000000-감가상각비!CM50</f>
        <v>15.19453</v>
      </c>
      <c r="CZ112" s="1711">
        <f>(감가상각비!CN11+감가상각비!CN18)/1000000-감가상각비!CN50</f>
        <v>1359.215954</v>
      </c>
      <c r="DA112" s="1711">
        <f>(감가상각비!CO11+감가상각비!CO18)/1000000-감가상각비!CO50</f>
        <v>18.527863333333332</v>
      </c>
      <c r="DB112" s="1711">
        <f>(감가상각비!CP11+감가상각비!CP18)/1000000-감가상각비!CP50</f>
        <v>18.527863333333332</v>
      </c>
      <c r="DC112" s="2286">
        <f>(감가상각비!CQ11+감가상각비!CQ18)/1000000-감가상각비!CQ50</f>
        <v>1359.215954</v>
      </c>
      <c r="DD112" s="25"/>
      <c r="DE112" s="25"/>
      <c r="DF112" s="25"/>
      <c r="DG112" s="2975">
        <f t="shared" si="217"/>
        <v>1.4993545031343203E-2</v>
      </c>
      <c r="DH112" s="2976">
        <f t="shared" si="218"/>
        <v>-7.3247382541385964E-4</v>
      </c>
      <c r="DI112" s="2976">
        <f t="shared" si="219"/>
        <v>-2.9023291724901368E-2</v>
      </c>
      <c r="DJ112" s="2976"/>
      <c r="DK112" s="1884"/>
      <c r="DL112" s="2718"/>
      <c r="DM112" s="2718"/>
    </row>
    <row r="113" spans="2:117">
      <c r="B113" s="43" t="s">
        <v>80</v>
      </c>
      <c r="C113" s="44"/>
      <c r="D113" s="45"/>
      <c r="E113" s="1346"/>
      <c r="F113" s="1346"/>
      <c r="G113" s="1346"/>
      <c r="H113" s="1346"/>
      <c r="I113" s="1346"/>
      <c r="J113" s="1346"/>
      <c r="K113" s="1346"/>
      <c r="L113" s="1346"/>
      <c r="M113" s="1346"/>
      <c r="N113" s="1346"/>
      <c r="O113" s="1346"/>
      <c r="P113" s="1346"/>
      <c r="Q113" s="1349">
        <f t="shared" si="313"/>
        <v>1199.2182700000001</v>
      </c>
      <c r="R113" s="1346">
        <f>(감가상각비!F25+감가상각비!F32)/1000000</f>
        <v>113.254154</v>
      </c>
      <c r="S113" s="1346">
        <f>(감가상각비!G25+감가상각비!G32)/1000000</f>
        <v>111.67132100000001</v>
      </c>
      <c r="T113" s="1346">
        <f>(감가상각비!H25+감가상각비!H32)/1000000-감가상각비!H51</f>
        <v>102.77182500000001</v>
      </c>
      <c r="U113" s="1346">
        <f>(감가상각비!I25+감가상각비!I32)/1000000-감가상각비!I51</f>
        <v>111.155581</v>
      </c>
      <c r="V113" s="1346">
        <f>(감가상각비!J25+감가상각비!J32)/1000000-감가상각비!J51</f>
        <v>107.82244799999999</v>
      </c>
      <c r="W113" s="1346">
        <f>(감가상각비!K25+감가상각비!K32)/1000000-감가상각비!K51</f>
        <v>99.697456000000003</v>
      </c>
      <c r="X113" s="1346">
        <f>(감가상각비!L25+감가상각비!L32)/1000000-감가상각비!L51</f>
        <v>106.472786</v>
      </c>
      <c r="Y113" s="1346">
        <f>(감가상각비!M25+감가상각비!M32)/1000000-감가상각비!M51</f>
        <v>101.30638399999999</v>
      </c>
      <c r="Z113" s="1346">
        <f>(감가상각비!N25+감가상각비!N32)/1000000-감가상각비!N51</f>
        <v>81.598055000000002</v>
      </c>
      <c r="AA113" s="1346">
        <f>(감가상각비!O25+감가상각비!O32)/1000000-감가상각비!O51</f>
        <v>94.838385000000002</v>
      </c>
      <c r="AB113" s="1346">
        <f>(감가상각비!P25+감가상각비!P32)/1000000-감가상각비!P51</f>
        <v>92.705071000000004</v>
      </c>
      <c r="AC113" s="1350">
        <f>(감가상각비!Q25+감가상각비!Q32)/1000000-감가상각비!Q51</f>
        <v>75.924804000000009</v>
      </c>
      <c r="AD113" s="1349">
        <f t="shared" si="285"/>
        <v>974.6182070000001</v>
      </c>
      <c r="AE113" s="1346">
        <f>(감가상각비!S25+감가상각비!S32)/1000000-감가상각비!S51</f>
        <v>89.048722999999995</v>
      </c>
      <c r="AF113" s="1346">
        <f>(감가상각비!T25+감가상각비!T32)/1000000-감가상각비!T51</f>
        <v>89.048722999999995</v>
      </c>
      <c r="AG113" s="1346">
        <f>(감가상각비!U25+감가상각비!U32)/1000000-감가상각비!U51</f>
        <v>78.008488999999997</v>
      </c>
      <c r="AH113" s="1346">
        <f>(감가상각비!V25+감가상각비!V32)/1000000-감가상각비!V51</f>
        <v>89.790818999999999</v>
      </c>
      <c r="AI113" s="1346">
        <f>(감가상각비!W25+감가상각비!W32)/1000000-감가상각비!W51</f>
        <v>89.207734000000002</v>
      </c>
      <c r="AJ113" s="1346">
        <f>(감가상각비!X25+감가상각비!X32)/1000000-감가상각비!X51</f>
        <v>75.08274200000001</v>
      </c>
      <c r="AK113" s="1346">
        <f>(감가상각비!Y25+감가상각비!Y32)/1000000-감가상각비!Y51</f>
        <v>86.374568999999994</v>
      </c>
      <c r="AL113" s="1346">
        <f>(감가상각비!Z25+감가상각비!Z32)/1000000-감가상각비!Z51</f>
        <v>85.874711000000005</v>
      </c>
      <c r="AM113" s="1346">
        <f>(감가상각비!AA25+감가상각비!AA32)/1000000-감가상각비!AA51</f>
        <v>74.749715000000009</v>
      </c>
      <c r="AN113" s="1346">
        <f>(감가상각비!AB25+감가상각비!AB32)/1000000-감가상각비!AB51</f>
        <v>83.874711000000005</v>
      </c>
      <c r="AO113" s="1346">
        <f>(감가상각비!AC25+감가상각비!AC32)/1000000-감가상각비!AC51</f>
        <v>83.041382999999996</v>
      </c>
      <c r="AP113" s="1346">
        <f>(감가상각비!AD25+감가상각비!AD32)/1000000-감가상각비!AD51</f>
        <v>71.762608</v>
      </c>
      <c r="AQ113" s="1349">
        <f t="shared" si="213"/>
        <v>854.85241000000008</v>
      </c>
      <c r="AR113" s="1346"/>
      <c r="AS113" s="1346"/>
      <c r="AT113" s="1346"/>
      <c r="AU113" s="1346"/>
      <c r="AV113" s="1346"/>
      <c r="AW113" s="1346"/>
      <c r="AX113" s="1346"/>
      <c r="AY113" s="1346"/>
      <c r="AZ113" s="1346"/>
      <c r="BA113" s="1346"/>
      <c r="BB113" s="1346"/>
      <c r="BC113" s="1346"/>
      <c r="BD113" s="1349">
        <f t="shared" ref="BD113:BP113" si="344">BD37-BD161</f>
        <v>578.89885900000002</v>
      </c>
      <c r="BE113" s="1346">
        <f t="shared" si="344"/>
        <v>51.101979999999998</v>
      </c>
      <c r="BF113" s="1346">
        <f t="shared" si="344"/>
        <v>53.601979999999998</v>
      </c>
      <c r="BG113" s="1346">
        <f t="shared" si="344"/>
        <v>55.210732</v>
      </c>
      <c r="BH113" s="1346">
        <f t="shared" si="344"/>
        <v>55.447763999999999</v>
      </c>
      <c r="BI113" s="1346">
        <f t="shared" si="344"/>
        <v>55.447766999999999</v>
      </c>
      <c r="BJ113" s="1346">
        <f t="shared" si="344"/>
        <v>46.554025000000003</v>
      </c>
      <c r="BK113" s="1346">
        <f t="shared" si="344"/>
        <v>46.554031000000002</v>
      </c>
      <c r="BL113" s="1346">
        <f t="shared" si="344"/>
        <v>45.041505000000001</v>
      </c>
      <c r="BM113" s="1346">
        <f t="shared" si="344"/>
        <v>43.793294000000003</v>
      </c>
      <c r="BN113" s="1346">
        <f t="shared" si="344"/>
        <v>43.793301</v>
      </c>
      <c r="BO113" s="1346">
        <f t="shared" si="344"/>
        <v>41.176727999999997</v>
      </c>
      <c r="BP113" s="1346">
        <f t="shared" si="344"/>
        <v>41.175752000000003</v>
      </c>
      <c r="BQ113" s="1349">
        <f t="shared" ref="BQ113:CC113" si="345">BQ37-BQ161</f>
        <v>282.65106200000002</v>
      </c>
      <c r="BR113" s="1934">
        <f t="shared" si="345"/>
        <v>41.175004000000001</v>
      </c>
      <c r="BS113" s="1934">
        <f t="shared" si="345"/>
        <v>22.342669999999998</v>
      </c>
      <c r="BT113" s="1934">
        <f t="shared" si="345"/>
        <v>22.342672</v>
      </c>
      <c r="BU113" s="1934">
        <f t="shared" si="345"/>
        <v>22.579704</v>
      </c>
      <c r="BV113" s="1934">
        <f t="shared" si="345"/>
        <v>22.579704</v>
      </c>
      <c r="BW113" s="1934">
        <f t="shared" si="345"/>
        <v>21.884903999999999</v>
      </c>
      <c r="BX113" s="1934">
        <f t="shared" si="345"/>
        <v>21.884903999999999</v>
      </c>
      <c r="BY113" s="1934">
        <f t="shared" si="345"/>
        <v>21.884903999999999</v>
      </c>
      <c r="BZ113" s="1934">
        <f t="shared" si="345"/>
        <v>21.884903999999999</v>
      </c>
      <c r="CA113" s="1934">
        <f t="shared" si="345"/>
        <v>21.884907999999999</v>
      </c>
      <c r="CB113" s="1934">
        <f t="shared" si="345"/>
        <v>21.386679999999998</v>
      </c>
      <c r="CC113" s="1921">
        <f t="shared" si="345"/>
        <v>20.820104000000001</v>
      </c>
      <c r="CD113" s="1349">
        <f t="shared" ref="CD113:CP113" si="346">CD37-CD161</f>
        <v>248.00462000000007</v>
      </c>
      <c r="CE113" s="2851">
        <f t="shared" si="346"/>
        <v>20.819317000000002</v>
      </c>
      <c r="CF113" s="2851">
        <f t="shared" si="346"/>
        <v>20.819317000000002</v>
      </c>
      <c r="CG113" s="2851">
        <f t="shared" si="346"/>
        <v>20.819320000000001</v>
      </c>
      <c r="CH113" s="2851">
        <f t="shared" si="346"/>
        <v>20.810258000000001</v>
      </c>
      <c r="CI113" s="2851">
        <f t="shared" si="346"/>
        <v>20.810258000000001</v>
      </c>
      <c r="CJ113" s="2851">
        <f t="shared" si="346"/>
        <v>20.810258000000001</v>
      </c>
      <c r="CK113" s="2851">
        <f t="shared" si="346"/>
        <v>20.810258000000001</v>
      </c>
      <c r="CL113" s="2851">
        <f t="shared" si="346"/>
        <v>20.810258000000001</v>
      </c>
      <c r="CM113" s="2851">
        <f t="shared" si="346"/>
        <v>20.810265999999999</v>
      </c>
      <c r="CN113" s="2851">
        <f t="shared" si="346"/>
        <v>20.228370000000002</v>
      </c>
      <c r="CO113" s="2851">
        <f t="shared" si="346"/>
        <v>20.228370000000002</v>
      </c>
      <c r="CP113" s="2878">
        <f t="shared" si="346"/>
        <v>20.228370000000002</v>
      </c>
      <c r="CQ113" s="1349">
        <f t="shared" si="309"/>
        <v>433.88976266666668</v>
      </c>
      <c r="CR113" s="2015">
        <f>(감가상각비!CF25+감가상각비!CF32)/1000000-감가상각비!CF51</f>
        <v>20.228370000000002</v>
      </c>
      <c r="CS113" s="2015">
        <f>(감가상각비!CG25+감가상각비!CG32)/1000000-감가상각비!CG51</f>
        <v>20.228370000000002</v>
      </c>
      <c r="CT113" s="2015">
        <f>(감가상각비!CH25+감가상각비!CH32)/1000000-감가상각비!CH51</f>
        <v>20.228370000000002</v>
      </c>
      <c r="CU113" s="2015">
        <f>(감가상각비!CI25+감가상각비!CI32)/1000000-감가상각비!CI51</f>
        <v>25.228370000000002</v>
      </c>
      <c r="CV113" s="2015">
        <f>(감가상각비!CJ25+감가상각비!CJ32)/1000000-감가상각비!CJ51</f>
        <v>25.228370000000002</v>
      </c>
      <c r="CW113" s="2015">
        <f>(감가상각비!CK25+감가상각비!CK32)/1000000-감가상각비!CK51</f>
        <v>25.228370000000002</v>
      </c>
      <c r="CX113" s="2015">
        <f>(감가상각비!CL25+감가상각비!CL32)/1000000-감가상각비!CL51</f>
        <v>25.228370000000002</v>
      </c>
      <c r="CY113" s="2015">
        <f>(감가상각비!CM25+감가상각비!CM32)/1000000-감가상각비!CM51</f>
        <v>25.228370000000002</v>
      </c>
      <c r="CZ113" s="2015">
        <f>(감가상각비!CN25+감가상각비!CN32)/1000000-감가상각비!CN51</f>
        <v>41.895036666666662</v>
      </c>
      <c r="DA113" s="2015">
        <f>(감가상각비!CO25+감가상각비!CO32)/1000000-감가상각비!CO51</f>
        <v>68.38925533333331</v>
      </c>
      <c r="DB113" s="2015">
        <f>(감가상각비!CP25+감가상각비!CP32)/1000000-감가상각비!CP51</f>
        <v>68.38925533333331</v>
      </c>
      <c r="DC113" s="2288">
        <f>(감가상각비!CQ25+감가상각비!CQ32)/1000000-감가상각비!CQ51</f>
        <v>68.38925533333331</v>
      </c>
      <c r="DD113" s="25"/>
      <c r="DE113" s="25"/>
      <c r="DF113" s="25"/>
      <c r="DG113" s="2975">
        <f t="shared" si="217"/>
        <v>-0.51174361875879937</v>
      </c>
      <c r="DH113" s="2976">
        <f t="shared" si="218"/>
        <v>-0.12257672677698961</v>
      </c>
      <c r="DI113" s="2976">
        <f t="shared" si="219"/>
        <v>0.74952290270506472</v>
      </c>
      <c r="DJ113" s="2976"/>
      <c r="DK113" s="1884"/>
      <c r="DL113" s="2718"/>
      <c r="DM113" s="2718"/>
    </row>
    <row r="114" spans="2:117">
      <c r="B114" s="46" t="s">
        <v>81</v>
      </c>
      <c r="C114" s="34"/>
      <c r="D114" s="35"/>
      <c r="E114" s="1335"/>
      <c r="F114" s="1335"/>
      <c r="G114" s="1335"/>
      <c r="H114" s="1335"/>
      <c r="I114" s="1335"/>
      <c r="J114" s="1335"/>
      <c r="K114" s="1335"/>
      <c r="L114" s="1335"/>
      <c r="M114" s="1335"/>
      <c r="N114" s="1335"/>
      <c r="O114" s="1335"/>
      <c r="P114" s="1335"/>
      <c r="Q114" s="1345">
        <f t="shared" ref="Q114" si="347">SUM(Q115:Q127)</f>
        <v>22768.397455000002</v>
      </c>
      <c r="R114" s="1335">
        <f>SUM(R115:R127)</f>
        <v>2765.6053999999995</v>
      </c>
      <c r="S114" s="1335">
        <f t="shared" ref="S114:T114" si="348">SUM(S115:S127)</f>
        <v>1848.7483530000004</v>
      </c>
      <c r="T114" s="1335">
        <f t="shared" si="348"/>
        <v>1747.1827049999997</v>
      </c>
      <c r="U114" s="1335">
        <f t="shared" ref="U114" si="349">SUM(U115:U127)</f>
        <v>1686.0529660000002</v>
      </c>
      <c r="V114" s="1335">
        <f t="shared" ref="V114:W114" si="350">SUM(V115:V127)</f>
        <v>1702.8907089999998</v>
      </c>
      <c r="W114" s="1335">
        <f t="shared" si="350"/>
        <v>1808.4047310000001</v>
      </c>
      <c r="X114" s="1335">
        <f t="shared" ref="X114:AC114" si="351">SUM(X115:X127)</f>
        <v>1778.7092969999999</v>
      </c>
      <c r="Y114" s="1335">
        <f t="shared" si="351"/>
        <v>1824.3676670000002</v>
      </c>
      <c r="Z114" s="1335">
        <f t="shared" si="351"/>
        <v>1681.266046</v>
      </c>
      <c r="AA114" s="1335">
        <f t="shared" si="351"/>
        <v>1645.3717199999996</v>
      </c>
      <c r="AB114" s="1335">
        <f t="shared" si="351"/>
        <v>1902.111856</v>
      </c>
      <c r="AC114" s="1074">
        <f t="shared" si="351"/>
        <v>2377.686005</v>
      </c>
      <c r="AD114" s="1345">
        <f t="shared" si="285"/>
        <v>27457.586551</v>
      </c>
      <c r="AE114" s="1335">
        <f t="shared" ref="AE114:AP114" si="352">SUM(AE115:AE127)</f>
        <v>2508.0501999999997</v>
      </c>
      <c r="AF114" s="1335">
        <f t="shared" si="352"/>
        <v>1658.9971630000005</v>
      </c>
      <c r="AG114" s="1335">
        <f t="shared" si="352"/>
        <v>1630.9990200000002</v>
      </c>
      <c r="AH114" s="1335">
        <f t="shared" si="352"/>
        <v>1757.2574260000004</v>
      </c>
      <c r="AI114" s="1335">
        <f t="shared" si="352"/>
        <v>1641.4671150000004</v>
      </c>
      <c r="AJ114" s="1335">
        <f t="shared" si="352"/>
        <v>2200.7546520000005</v>
      </c>
      <c r="AK114" s="1335">
        <f t="shared" si="352"/>
        <v>2661.6913360000003</v>
      </c>
      <c r="AL114" s="1335">
        <f t="shared" si="352"/>
        <v>1986.5705930000001</v>
      </c>
      <c r="AM114" s="1335">
        <f t="shared" si="352"/>
        <v>2090.5572099999999</v>
      </c>
      <c r="AN114" s="1335">
        <f t="shared" si="352"/>
        <v>2572.6456719999992</v>
      </c>
      <c r="AO114" s="1335">
        <f t="shared" si="352"/>
        <v>2232.7589180000004</v>
      </c>
      <c r="AP114" s="1335">
        <f t="shared" si="352"/>
        <v>4516.4397459999991</v>
      </c>
      <c r="AQ114" s="1345">
        <f t="shared" si="213"/>
        <v>27752.988780000007</v>
      </c>
      <c r="AR114" s="1335"/>
      <c r="AS114" s="1335"/>
      <c r="AT114" s="1335"/>
      <c r="AU114" s="1335"/>
      <c r="AV114" s="1335"/>
      <c r="AW114" s="1335"/>
      <c r="AX114" s="1335"/>
      <c r="AY114" s="1335"/>
      <c r="AZ114" s="1335"/>
      <c r="BA114" s="1335"/>
      <c r="BB114" s="1335"/>
      <c r="BC114" s="1335"/>
      <c r="BD114" s="1345">
        <f t="shared" ref="BD114:BP114" si="353">BD38-BD162</f>
        <v>28743.448241999999</v>
      </c>
      <c r="BE114" s="1335">
        <f t="shared" si="353"/>
        <v>2061.5651590000002</v>
      </c>
      <c r="BF114" s="1335">
        <f t="shared" si="353"/>
        <v>2131.9269709999999</v>
      </c>
      <c r="BG114" s="1335">
        <f t="shared" si="353"/>
        <v>2302.0925139999999</v>
      </c>
      <c r="BH114" s="1335">
        <f t="shared" si="353"/>
        <v>2228.9979169999997</v>
      </c>
      <c r="BI114" s="1335">
        <f t="shared" si="353"/>
        <v>1994.8019710000001</v>
      </c>
      <c r="BJ114" s="1335">
        <f t="shared" si="353"/>
        <v>2079.1029609999996</v>
      </c>
      <c r="BK114" s="1335">
        <f t="shared" si="353"/>
        <v>2317.9940930000002</v>
      </c>
      <c r="BL114" s="1335">
        <f t="shared" si="353"/>
        <v>2739.1550619999998</v>
      </c>
      <c r="BM114" s="1335">
        <f t="shared" si="353"/>
        <v>2047.3956969999999</v>
      </c>
      <c r="BN114" s="1335">
        <f t="shared" si="353"/>
        <v>2940.7940109999995</v>
      </c>
      <c r="BO114" s="1335">
        <f t="shared" si="353"/>
        <v>2670.0140970000002</v>
      </c>
      <c r="BP114" s="1335">
        <f t="shared" si="353"/>
        <v>3229.6077889999983</v>
      </c>
      <c r="BQ114" s="1345">
        <f t="shared" ref="BQ114:CC114" si="354">BQ38-BQ162</f>
        <v>31265.513282</v>
      </c>
      <c r="BR114" s="1777">
        <f t="shared" si="354"/>
        <v>2376.5068999999999</v>
      </c>
      <c r="BS114" s="1777">
        <f t="shared" si="354"/>
        <v>2180.5421630000001</v>
      </c>
      <c r="BT114" s="1777">
        <f t="shared" si="354"/>
        <v>2127.9633359999998</v>
      </c>
      <c r="BU114" s="1777">
        <f t="shared" si="354"/>
        <v>2220.2922519999997</v>
      </c>
      <c r="BV114" s="1777">
        <f t="shared" si="354"/>
        <v>2176.8160520000001</v>
      </c>
      <c r="BW114" s="1777">
        <f t="shared" si="354"/>
        <v>2271.3822999999993</v>
      </c>
      <c r="BX114" s="1777">
        <f t="shared" si="354"/>
        <v>2447.317016</v>
      </c>
      <c r="BY114" s="1777">
        <f t="shared" si="354"/>
        <v>3068.0104330000004</v>
      </c>
      <c r="BZ114" s="1777">
        <f t="shared" si="354"/>
        <v>2995.133304</v>
      </c>
      <c r="CA114" s="1777">
        <f t="shared" si="354"/>
        <v>3351.1697069999991</v>
      </c>
      <c r="CB114" s="1777">
        <f t="shared" si="354"/>
        <v>2604.1201719999995</v>
      </c>
      <c r="CC114" s="1778">
        <f t="shared" si="354"/>
        <v>3446.2596470000003</v>
      </c>
      <c r="CD114" s="1345">
        <f t="shared" ref="CD114:CP114" si="355">CD38-CD162</f>
        <v>33487.999546000006</v>
      </c>
      <c r="CE114" s="1777">
        <f t="shared" si="355"/>
        <v>2269.0667669999993</v>
      </c>
      <c r="CF114" s="1777">
        <f t="shared" si="355"/>
        <v>2463.358193</v>
      </c>
      <c r="CG114" s="1777">
        <f t="shared" si="355"/>
        <v>2076.0511310000006</v>
      </c>
      <c r="CH114" s="1777">
        <f t="shared" si="355"/>
        <v>2390.8272219999999</v>
      </c>
      <c r="CI114" s="1777">
        <f t="shared" si="355"/>
        <v>2446.6140760000003</v>
      </c>
      <c r="CJ114" s="1777">
        <f t="shared" si="355"/>
        <v>2548.4181769999996</v>
      </c>
      <c r="CK114" s="1777">
        <f t="shared" si="355"/>
        <v>3088.1469500000003</v>
      </c>
      <c r="CL114" s="1777">
        <f t="shared" si="355"/>
        <v>2463.7350319999996</v>
      </c>
      <c r="CM114" s="1777">
        <f t="shared" si="355"/>
        <v>3475.9826030000004</v>
      </c>
      <c r="CN114" s="1777">
        <f t="shared" si="355"/>
        <v>2342.2942819999994</v>
      </c>
      <c r="CO114" s="1777">
        <f t="shared" si="355"/>
        <v>3227.0855180000003</v>
      </c>
      <c r="CP114" s="1778">
        <f t="shared" si="355"/>
        <v>4696.4195950000012</v>
      </c>
      <c r="CQ114" s="1345">
        <f>SUM(CR114:DC114)</f>
        <v>34717.801635532902</v>
      </c>
      <c r="CR114" s="1336">
        <f t="shared" ref="CR114:DC114" si="356">SUM(CR115:CR127)</f>
        <v>2775.6965376513863</v>
      </c>
      <c r="CS114" s="1336">
        <f t="shared" si="356"/>
        <v>2690.3804308245453</v>
      </c>
      <c r="CT114" s="1336">
        <f t="shared" si="356"/>
        <v>2802.1427298821573</v>
      </c>
      <c r="CU114" s="1336">
        <f t="shared" si="356"/>
        <v>2663.7831868305907</v>
      </c>
      <c r="CV114" s="1336">
        <f t="shared" si="356"/>
        <v>2700.3456480874456</v>
      </c>
      <c r="CW114" s="1336">
        <f t="shared" si="356"/>
        <v>2679.8857426709524</v>
      </c>
      <c r="CX114" s="1336">
        <f t="shared" si="356"/>
        <v>2852.1166323154507</v>
      </c>
      <c r="CY114" s="1336">
        <f t="shared" si="356"/>
        <v>2812.8970968497497</v>
      </c>
      <c r="CZ114" s="1336">
        <f t="shared" si="356"/>
        <v>2905.2253132733381</v>
      </c>
      <c r="DA114" s="1336">
        <f t="shared" si="356"/>
        <v>2755.3003088238147</v>
      </c>
      <c r="DB114" s="1336">
        <f t="shared" si="356"/>
        <v>3136.9153093502673</v>
      </c>
      <c r="DC114" s="2284">
        <f t="shared" si="356"/>
        <v>3943.1126989732029</v>
      </c>
      <c r="DD114" s="2587"/>
      <c r="DE114" s="2587"/>
      <c r="DF114" s="2587"/>
      <c r="DG114" s="2975">
        <f t="shared" si="217"/>
        <v>8.7743997128178819E-2</v>
      </c>
      <c r="DH114" s="2976">
        <f t="shared" si="218"/>
        <v>7.1084272436350071E-2</v>
      </c>
      <c r="DI114" s="2976">
        <f t="shared" si="219"/>
        <v>3.6723665378805448E-2</v>
      </c>
      <c r="DJ114" s="2976"/>
      <c r="DK114" s="1884"/>
      <c r="DL114" s="2718"/>
      <c r="DM114" s="2718"/>
    </row>
    <row r="115" spans="2:117" ht="20.25" customHeight="1">
      <c r="B115" s="40" t="s">
        <v>82</v>
      </c>
      <c r="C115" s="36"/>
      <c r="D115" s="1351"/>
      <c r="E115" s="1340"/>
      <c r="F115" s="1340"/>
      <c r="G115" s="1340"/>
      <c r="H115" s="1340"/>
      <c r="I115" s="1340"/>
      <c r="J115" s="1340"/>
      <c r="K115" s="1340"/>
      <c r="L115" s="1340"/>
      <c r="M115" s="1340"/>
      <c r="N115" s="1340"/>
      <c r="O115" s="1340"/>
      <c r="P115" s="1340"/>
      <c r="Q115" s="64">
        <f>SUM(R115:AC115)</f>
        <v>9745.7533010000006</v>
      </c>
      <c r="R115" s="1340">
        <f>기타운영비!F6</f>
        <v>893.43964300000005</v>
      </c>
      <c r="S115" s="1340">
        <f>기타운영비!G6</f>
        <v>852.07308100000012</v>
      </c>
      <c r="T115" s="1340">
        <f>기타운영비!H6</f>
        <v>793.05403699999999</v>
      </c>
      <c r="U115" s="1340">
        <f>기타운영비!I6</f>
        <v>783.99078400000008</v>
      </c>
      <c r="V115" s="1340">
        <f>기타운영비!J6</f>
        <v>763.37866899999995</v>
      </c>
      <c r="W115" s="1340">
        <f>기타운영비!K6</f>
        <v>724.4295679999999</v>
      </c>
      <c r="X115" s="1340">
        <f>기타운영비!L6</f>
        <v>766.86047400000007</v>
      </c>
      <c r="Y115" s="1340">
        <f>기타운영비!M6</f>
        <v>749.871037</v>
      </c>
      <c r="Z115" s="1340">
        <f>기타운영비!N6</f>
        <v>730.54882199999997</v>
      </c>
      <c r="AA115" s="1340">
        <f>기타운영비!O6</f>
        <v>721.34749899999997</v>
      </c>
      <c r="AB115" s="1340">
        <f>기타운영비!P6</f>
        <v>716.93104900000003</v>
      </c>
      <c r="AC115" s="1341">
        <f>기타운영비!Q6</f>
        <v>1249.828638</v>
      </c>
      <c r="AD115" s="64">
        <f t="shared" si="285"/>
        <v>11493.493699000001</v>
      </c>
      <c r="AE115" s="1340">
        <f>기타운영비!S6</f>
        <v>690.32166900000004</v>
      </c>
      <c r="AF115" s="1340">
        <f>기타운영비!T6</f>
        <v>676.95900600000004</v>
      </c>
      <c r="AG115" s="1340">
        <f>기타운영비!U6</f>
        <v>664.19764000000009</v>
      </c>
      <c r="AH115" s="1340">
        <f>기타운영비!V6</f>
        <v>744.92326100000002</v>
      </c>
      <c r="AI115" s="1340">
        <f>기타운영비!W6</f>
        <v>686.56929400000001</v>
      </c>
      <c r="AJ115" s="1340">
        <f>기타운영비!X6</f>
        <v>1086.3175270000002</v>
      </c>
      <c r="AK115" s="1340">
        <f>기타운영비!Y6</f>
        <v>1425.0370289999998</v>
      </c>
      <c r="AL115" s="1340">
        <f>기타운영비!Z6</f>
        <v>759.03317799999991</v>
      </c>
      <c r="AM115" s="1340">
        <f>기타운영비!AA6</f>
        <v>824.88507099999993</v>
      </c>
      <c r="AN115" s="1340">
        <f>기타운영비!AB6</f>
        <v>1250.3495029999997</v>
      </c>
      <c r="AO115" s="1340">
        <f>기타운영비!AC6</f>
        <v>867.83266199999991</v>
      </c>
      <c r="AP115" s="1340">
        <f>기타운영비!AD6</f>
        <v>1817.3898589999999</v>
      </c>
      <c r="AQ115" s="64">
        <f t="shared" si="213"/>
        <v>10690.858663999998</v>
      </c>
      <c r="AR115" s="1340"/>
      <c r="AS115" s="1340"/>
      <c r="AT115" s="1340"/>
      <c r="AU115" s="1340"/>
      <c r="AV115" s="1340"/>
      <c r="AW115" s="1340"/>
      <c r="AX115" s="1340"/>
      <c r="AY115" s="1340"/>
      <c r="AZ115" s="1340"/>
      <c r="BA115" s="1340"/>
      <c r="BB115" s="1340"/>
      <c r="BC115" s="1340"/>
      <c r="BD115" s="64">
        <f t="shared" ref="BD115:BP115" si="357">BD39-BD163</f>
        <v>12091.293784999998</v>
      </c>
      <c r="BE115" s="1340">
        <f t="shared" si="357"/>
        <v>775.81269700000018</v>
      </c>
      <c r="BF115" s="1340">
        <f t="shared" si="357"/>
        <v>838.70538899999997</v>
      </c>
      <c r="BG115" s="1340">
        <f t="shared" si="357"/>
        <v>996.9454760000001</v>
      </c>
      <c r="BH115" s="1340">
        <f t="shared" si="357"/>
        <v>958.5529489999999</v>
      </c>
      <c r="BI115" s="1340">
        <f t="shared" si="357"/>
        <v>858.26479100000006</v>
      </c>
      <c r="BJ115" s="1340">
        <f t="shared" si="357"/>
        <v>908.32393899999988</v>
      </c>
      <c r="BK115" s="1340">
        <f t="shared" si="357"/>
        <v>895.1685030000001</v>
      </c>
      <c r="BL115" s="1340">
        <f t="shared" si="357"/>
        <v>847.53142199999991</v>
      </c>
      <c r="BM115" s="1340">
        <f t="shared" si="357"/>
        <v>917.62682800000005</v>
      </c>
      <c r="BN115" s="1340">
        <f t="shared" si="357"/>
        <v>1510.8319939999997</v>
      </c>
      <c r="BO115" s="1340">
        <f t="shared" si="357"/>
        <v>1356.782121</v>
      </c>
      <c r="BP115" s="1340">
        <f t="shared" si="357"/>
        <v>1226.7476759999997</v>
      </c>
      <c r="BQ115" s="1710">
        <f t="shared" ref="BQ115:CC115" si="358">BQ39-BQ163</f>
        <v>14642.471686000003</v>
      </c>
      <c r="BR115" s="1930">
        <f t="shared" si="358"/>
        <v>973.37658999999985</v>
      </c>
      <c r="BS115" s="1930">
        <f t="shared" si="358"/>
        <v>939.35047399999985</v>
      </c>
      <c r="BT115" s="1930">
        <f t="shared" si="358"/>
        <v>913.74272199999996</v>
      </c>
      <c r="BU115" s="1930">
        <f t="shared" si="358"/>
        <v>1004.4387500000001</v>
      </c>
      <c r="BV115" s="1930">
        <f t="shared" si="358"/>
        <v>1056.0710179999999</v>
      </c>
      <c r="BW115" s="1930">
        <f t="shared" si="358"/>
        <v>878.68324299999995</v>
      </c>
      <c r="BX115" s="1930">
        <f t="shared" si="358"/>
        <v>913.89491500000031</v>
      </c>
      <c r="BY115" s="1930">
        <f t="shared" si="358"/>
        <v>1941.2814650000005</v>
      </c>
      <c r="BZ115" s="1930">
        <f t="shared" si="358"/>
        <v>1713.3881590000001</v>
      </c>
      <c r="CA115" s="1930">
        <f t="shared" si="358"/>
        <v>1610.2186049999998</v>
      </c>
      <c r="CB115" s="1930">
        <f t="shared" si="358"/>
        <v>1182.7205089999998</v>
      </c>
      <c r="CC115" s="1931">
        <f t="shared" si="358"/>
        <v>1515.3052360000001</v>
      </c>
      <c r="CD115" s="1710">
        <f t="shared" ref="CD115:CP115" si="359">CD39-CD163</f>
        <v>15945.350540999998</v>
      </c>
      <c r="CE115" s="1930">
        <f t="shared" si="359"/>
        <v>982.44192099999987</v>
      </c>
      <c r="CF115" s="1930">
        <f t="shared" si="359"/>
        <v>1044.4271630000001</v>
      </c>
      <c r="CG115" s="1930">
        <f t="shared" si="359"/>
        <v>933.91160500000024</v>
      </c>
      <c r="CH115" s="1930">
        <f t="shared" si="359"/>
        <v>1127.7284649999999</v>
      </c>
      <c r="CI115" s="1930">
        <f t="shared" si="359"/>
        <v>1083.3364939999999</v>
      </c>
      <c r="CJ115" s="1930">
        <f t="shared" si="359"/>
        <v>1245.8720229999999</v>
      </c>
      <c r="CK115" s="1930">
        <f t="shared" si="359"/>
        <v>1279.3825419999998</v>
      </c>
      <c r="CL115" s="1930">
        <f t="shared" si="359"/>
        <v>1178.2110079999998</v>
      </c>
      <c r="CM115" s="1930">
        <f t="shared" si="359"/>
        <v>1772.3761270000002</v>
      </c>
      <c r="CN115" s="1930">
        <f t="shared" si="359"/>
        <v>969.46575500000017</v>
      </c>
      <c r="CO115" s="1930">
        <f t="shared" si="359"/>
        <v>1768.9186689999997</v>
      </c>
      <c r="CP115" s="1931">
        <f t="shared" si="359"/>
        <v>2559.278769</v>
      </c>
      <c r="CQ115" s="1710">
        <f t="shared" ref="CQ115:CQ127" si="360">SUM(CR115:DC115)</f>
        <v>16529.16208113587</v>
      </c>
      <c r="CR115" s="1711">
        <f>기타운영비!CF7</f>
        <v>1288.8317913930923</v>
      </c>
      <c r="CS115" s="1711">
        <f>기타운영비!CG7</f>
        <v>1319.202259868533</v>
      </c>
      <c r="CT115" s="1711">
        <f>기타운영비!CH7</f>
        <v>1264.4593497573837</v>
      </c>
      <c r="CU115" s="1711">
        <f>기타운영비!CI7</f>
        <v>1260.8641558794545</v>
      </c>
      <c r="CV115" s="1711">
        <f>기타운영비!CJ7</f>
        <v>1287.9517890751551</v>
      </c>
      <c r="CW115" s="1711">
        <f>기타운영비!CK7</f>
        <v>1279.812559746126</v>
      </c>
      <c r="CX115" s="1711">
        <f>기타운영비!CL7</f>
        <v>1277.1014365971323</v>
      </c>
      <c r="CY115" s="1711">
        <f>기타운영비!CM7</f>
        <v>1285.3514365971323</v>
      </c>
      <c r="CZ115" s="1711">
        <f>기타운영비!CN7</f>
        <v>1286.3514365971323</v>
      </c>
      <c r="DA115" s="1711">
        <f>기타운영비!CO7</f>
        <v>1278.1014365971323</v>
      </c>
      <c r="DB115" s="1711">
        <f>기타운영비!CP7</f>
        <v>1654.7829924304654</v>
      </c>
      <c r="DC115" s="2286">
        <f>기타운영비!CQ7</f>
        <v>2046.3514365971321</v>
      </c>
      <c r="DD115" s="25"/>
      <c r="DE115" s="25"/>
      <c r="DF115" s="25"/>
      <c r="DG115" s="2975"/>
      <c r="DH115" s="2976">
        <f t="shared" si="218"/>
        <v>8.8979434820810166E-2</v>
      </c>
      <c r="DI115" s="2977">
        <f t="shared" si="219"/>
        <v>3.6613277245597597E-2</v>
      </c>
      <c r="DJ115" s="2977"/>
      <c r="DK115" s="1884"/>
      <c r="DL115" s="2718"/>
      <c r="DM115" s="2718"/>
    </row>
    <row r="116" spans="2:117" ht="20.25" customHeight="1">
      <c r="B116" s="40" t="s">
        <v>83</v>
      </c>
      <c r="C116" s="41"/>
      <c r="D116" s="66"/>
      <c r="E116" s="1340"/>
      <c r="F116" s="1340"/>
      <c r="G116" s="1340"/>
      <c r="H116" s="1340"/>
      <c r="I116" s="1340"/>
      <c r="J116" s="1340"/>
      <c r="K116" s="1340"/>
      <c r="L116" s="1340"/>
      <c r="M116" s="1340"/>
      <c r="N116" s="1340"/>
      <c r="O116" s="1340"/>
      <c r="P116" s="1340"/>
      <c r="Q116" s="64">
        <f t="shared" ref="Q116:Q127" si="361">SUM(R116:AC116)</f>
        <v>3703.023584</v>
      </c>
      <c r="R116" s="1340">
        <f>기타운영비!F20</f>
        <v>311.69916699999999</v>
      </c>
      <c r="S116" s="1340">
        <f>기타운영비!G20</f>
        <v>291.721363</v>
      </c>
      <c r="T116" s="1340">
        <f>기타운영비!H20</f>
        <v>285.14561600000002</v>
      </c>
      <c r="U116" s="1340">
        <f>기타운영비!I20</f>
        <v>309.33114599999999</v>
      </c>
      <c r="V116" s="1340">
        <f>기타운영비!J20</f>
        <v>294.19730599999997</v>
      </c>
      <c r="W116" s="1340">
        <f>기타운영비!K20</f>
        <v>340.09307000000001</v>
      </c>
      <c r="X116" s="1340">
        <f>기타운영비!L20</f>
        <v>312.39981799999998</v>
      </c>
      <c r="Y116" s="1340">
        <f>기타운영비!M20</f>
        <v>310.93338700000004</v>
      </c>
      <c r="Z116" s="1340">
        <f>기타운영비!N20</f>
        <v>284.29793899999999</v>
      </c>
      <c r="AA116" s="1340">
        <f>기타운영비!O20</f>
        <v>274.14137999999997</v>
      </c>
      <c r="AB116" s="1340">
        <f>기타운영비!P20</f>
        <v>339.628197</v>
      </c>
      <c r="AC116" s="1341">
        <f>기타운영비!Q20</f>
        <v>349.43519500000002</v>
      </c>
      <c r="AD116" s="64">
        <f t="shared" si="285"/>
        <v>4333.4974869999996</v>
      </c>
      <c r="AE116" s="1340">
        <f>기타운영비!S20</f>
        <v>256.32951600000001</v>
      </c>
      <c r="AF116" s="1340">
        <f>기타운영비!T20</f>
        <v>253.03621300000003</v>
      </c>
      <c r="AG116" s="1340">
        <f>기타운영비!U20</f>
        <v>309.98887499999995</v>
      </c>
      <c r="AH116" s="1340">
        <f>기타운영비!V20</f>
        <v>323.53885400000001</v>
      </c>
      <c r="AI116" s="1340">
        <f>기타운영비!W20</f>
        <v>301.02144699999997</v>
      </c>
      <c r="AJ116" s="1340">
        <f>기타운영비!X20</f>
        <v>417.04779000000008</v>
      </c>
      <c r="AK116" s="1340">
        <f>기타운영비!Y20</f>
        <v>354.057526</v>
      </c>
      <c r="AL116" s="1340">
        <f>기타운영비!Z20</f>
        <v>342.19849300000004</v>
      </c>
      <c r="AM116" s="1340">
        <f>기타운영비!AA20</f>
        <v>346.80098799999996</v>
      </c>
      <c r="AN116" s="1340">
        <f>기타운영비!AB20</f>
        <v>307.02500200000003</v>
      </c>
      <c r="AO116" s="1340">
        <f>기타운영비!AC20</f>
        <v>452.71628900000002</v>
      </c>
      <c r="AP116" s="1340">
        <f>기타운영비!AD20</f>
        <v>669.73649399999999</v>
      </c>
      <c r="AQ116" s="64">
        <f t="shared" si="213"/>
        <v>6473.8644940000004</v>
      </c>
      <c r="AR116" s="1340"/>
      <c r="AS116" s="1340"/>
      <c r="AT116" s="1340"/>
      <c r="AU116" s="1340"/>
      <c r="AV116" s="1340"/>
      <c r="AW116" s="1340"/>
      <c r="AX116" s="1340"/>
      <c r="AY116" s="1340"/>
      <c r="AZ116" s="1340"/>
      <c r="BA116" s="1340"/>
      <c r="BB116" s="1340"/>
      <c r="BC116" s="1340"/>
      <c r="BD116" s="64">
        <f t="shared" ref="BD116:BP116" si="362">BD40-BD164</f>
        <v>6992.1641540000001</v>
      </c>
      <c r="BE116" s="1340">
        <f t="shared" si="362"/>
        <v>478.74433999999997</v>
      </c>
      <c r="BF116" s="1340">
        <f t="shared" si="362"/>
        <v>471.90378499999997</v>
      </c>
      <c r="BG116" s="1340">
        <f t="shared" si="362"/>
        <v>514.92114000000004</v>
      </c>
      <c r="BH116" s="1340">
        <f t="shared" si="362"/>
        <v>552.42318799999998</v>
      </c>
      <c r="BI116" s="1340">
        <f t="shared" si="362"/>
        <v>463.97591999999997</v>
      </c>
      <c r="BJ116" s="1340">
        <f t="shared" si="362"/>
        <v>489.33604000000003</v>
      </c>
      <c r="BK116" s="1340">
        <f t="shared" si="362"/>
        <v>545.54200399999991</v>
      </c>
      <c r="BL116" s="1340">
        <f t="shared" si="362"/>
        <v>980.74200200000007</v>
      </c>
      <c r="BM116" s="1340">
        <f t="shared" si="362"/>
        <v>432.97332400000005</v>
      </c>
      <c r="BN116" s="1340">
        <f t="shared" si="362"/>
        <v>510.07288100000005</v>
      </c>
      <c r="BO116" s="1340">
        <f t="shared" si="362"/>
        <v>512.94129399999997</v>
      </c>
      <c r="BP116" s="1340">
        <f t="shared" si="362"/>
        <v>1038.5882359999998</v>
      </c>
      <c r="BQ116" s="1710">
        <f t="shared" ref="BQ116:CC116" si="363">BQ40-BQ164</f>
        <v>5929.8489210000007</v>
      </c>
      <c r="BR116" s="1930">
        <f t="shared" si="363"/>
        <v>488.33468800000003</v>
      </c>
      <c r="BS116" s="1930">
        <f t="shared" si="363"/>
        <v>413.16232500000001</v>
      </c>
      <c r="BT116" s="1930">
        <f t="shared" si="363"/>
        <v>438.62072799999993</v>
      </c>
      <c r="BU116" s="1930">
        <f t="shared" si="363"/>
        <v>457.11065300000001</v>
      </c>
      <c r="BV116" s="1930">
        <f t="shared" si="363"/>
        <v>398.97305899999998</v>
      </c>
      <c r="BW116" s="1930">
        <f t="shared" si="363"/>
        <v>491.88131000000004</v>
      </c>
      <c r="BX116" s="1930">
        <f t="shared" si="363"/>
        <v>538.33424200000002</v>
      </c>
      <c r="BY116" s="1930">
        <f t="shared" si="363"/>
        <v>380.04313200000007</v>
      </c>
      <c r="BZ116" s="1930">
        <f t="shared" si="363"/>
        <v>411.48899599999999</v>
      </c>
      <c r="CA116" s="1930">
        <f t="shared" si="363"/>
        <v>485.416203</v>
      </c>
      <c r="CB116" s="1930">
        <f t="shared" si="363"/>
        <v>428.83191699999998</v>
      </c>
      <c r="CC116" s="1931">
        <f t="shared" si="363"/>
        <v>997.65166800000009</v>
      </c>
      <c r="CD116" s="1710">
        <f t="shared" ref="CD116:CP116" si="364">CD40-CD164</f>
        <v>6253.1447559999997</v>
      </c>
      <c r="CE116" s="1930">
        <f t="shared" si="364"/>
        <v>436.23994099999999</v>
      </c>
      <c r="CF116" s="1930">
        <f t="shared" si="364"/>
        <v>430.79148600000002</v>
      </c>
      <c r="CG116" s="1930">
        <f t="shared" si="364"/>
        <v>427.81093999999996</v>
      </c>
      <c r="CH116" s="1930">
        <f t="shared" si="364"/>
        <v>492.14913000000001</v>
      </c>
      <c r="CI116" s="1930">
        <f t="shared" si="364"/>
        <v>427.29929899999996</v>
      </c>
      <c r="CJ116" s="1930">
        <f t="shared" si="364"/>
        <v>475.69622700000002</v>
      </c>
      <c r="CK116" s="1930">
        <f t="shared" si="364"/>
        <v>606.12594300000012</v>
      </c>
      <c r="CL116" s="1930">
        <f t="shared" si="364"/>
        <v>421.44966099999999</v>
      </c>
      <c r="CM116" s="1930">
        <f t="shared" si="364"/>
        <v>567.89280700000006</v>
      </c>
      <c r="CN116" s="1930">
        <f t="shared" si="364"/>
        <v>439.27412800000002</v>
      </c>
      <c r="CO116" s="1930">
        <f t="shared" si="364"/>
        <v>480.66261600000007</v>
      </c>
      <c r="CP116" s="1931">
        <f t="shared" si="364"/>
        <v>1047.7525779999999</v>
      </c>
      <c r="CQ116" s="1710">
        <f t="shared" si="360"/>
        <v>6414.9786007124985</v>
      </c>
      <c r="CR116" s="1711">
        <f>기타운영비!CF20</f>
        <v>496.51544183088197</v>
      </c>
      <c r="CS116" s="1711">
        <f>기타운영비!CG20</f>
        <v>459.17598215612111</v>
      </c>
      <c r="CT116" s="1711">
        <f>기타운영비!CH20</f>
        <v>512.05809636869776</v>
      </c>
      <c r="CU116" s="1711">
        <f>기타운영비!CI20</f>
        <v>469.47057906506393</v>
      </c>
      <c r="CV116" s="1711">
        <f>기타운영비!CJ20</f>
        <v>469.63351786003136</v>
      </c>
      <c r="CW116" s="1711">
        <f>기타운영비!CK20</f>
        <v>467.60361348799279</v>
      </c>
      <c r="CX116" s="1711">
        <f>기타운영비!CL20</f>
        <v>522.45649023282169</v>
      </c>
      <c r="CY116" s="1711">
        <f>기타운영비!CM20</f>
        <v>475.68984755117208</v>
      </c>
      <c r="CZ116" s="1711">
        <f>기타운영비!CN20</f>
        <v>536.02628962329618</v>
      </c>
      <c r="DA116" s="1711">
        <f>기타운영비!CO20</f>
        <v>491.37412761320388</v>
      </c>
      <c r="DB116" s="1711">
        <f>기타운영비!CP20</f>
        <v>527.65869201618239</v>
      </c>
      <c r="DC116" s="2286">
        <f>기타운영비!CQ20</f>
        <v>987.31592290703361</v>
      </c>
      <c r="DD116" s="25"/>
      <c r="DE116" s="25"/>
      <c r="DF116" s="25"/>
      <c r="DG116" s="2975"/>
      <c r="DH116" s="2976">
        <f t="shared" si="218"/>
        <v>5.4520079568145086E-2</v>
      </c>
      <c r="DI116" s="2976">
        <f t="shared" si="219"/>
        <v>2.5880393150536918E-2</v>
      </c>
      <c r="DJ116" s="2976"/>
      <c r="DK116" s="1884"/>
      <c r="DL116" s="2718"/>
      <c r="DM116" s="2718"/>
    </row>
    <row r="117" spans="2:117" ht="20.25" customHeight="1">
      <c r="B117" s="40" t="s">
        <v>84</v>
      </c>
      <c r="C117" s="41"/>
      <c r="D117" s="66"/>
      <c r="E117" s="1340"/>
      <c r="F117" s="1340"/>
      <c r="G117" s="1340"/>
      <c r="H117" s="1340"/>
      <c r="I117" s="1340"/>
      <c r="J117" s="1340"/>
      <c r="K117" s="1340"/>
      <c r="L117" s="1340"/>
      <c r="M117" s="1340"/>
      <c r="N117" s="1340"/>
      <c r="O117" s="1340"/>
      <c r="P117" s="1340"/>
      <c r="Q117" s="64">
        <f t="shared" si="361"/>
        <v>4241.7283950000001</v>
      </c>
      <c r="R117" s="1340">
        <f>기타운영비!F28</f>
        <v>313.23659099999998</v>
      </c>
      <c r="S117" s="1340">
        <f>기타운영비!G28</f>
        <v>345.45678900000001</v>
      </c>
      <c r="T117" s="1340">
        <f>기타운영비!H28</f>
        <v>355.99176499999999</v>
      </c>
      <c r="U117" s="1340">
        <f>기타운영비!I28</f>
        <v>305.494935</v>
      </c>
      <c r="V117" s="1340">
        <f>기타운영비!J28</f>
        <v>354.84050000000002</v>
      </c>
      <c r="W117" s="1340">
        <f>기타운영비!K28</f>
        <v>321.54570799999999</v>
      </c>
      <c r="X117" s="1340">
        <f>기타운영비!L28</f>
        <v>318.50304</v>
      </c>
      <c r="Y117" s="1340">
        <f>기타운영비!M28</f>
        <v>400.34410700000001</v>
      </c>
      <c r="Z117" s="1340">
        <f>기타운영비!N28</f>
        <v>316.47444200000001</v>
      </c>
      <c r="AA117" s="1340">
        <f>기타운영비!O28</f>
        <v>344.94173899999998</v>
      </c>
      <c r="AB117" s="1340">
        <f>기타운영비!P28</f>
        <v>484.13782900000001</v>
      </c>
      <c r="AC117" s="1341">
        <f>기타운영비!Q28</f>
        <v>380.76094999999998</v>
      </c>
      <c r="AD117" s="64">
        <f t="shared" si="285"/>
        <v>5009.3833869999999</v>
      </c>
      <c r="AE117" s="1340">
        <f>기타운영비!S28</f>
        <v>421.38668799999999</v>
      </c>
      <c r="AF117" s="1340">
        <f>기타운영비!T28</f>
        <v>319.815314</v>
      </c>
      <c r="AG117" s="1340">
        <f>기타운영비!U28</f>
        <v>331.34862700000002</v>
      </c>
      <c r="AH117" s="1340">
        <f>기타운영비!V28</f>
        <v>323.23251499999998</v>
      </c>
      <c r="AI117" s="1340">
        <f>기타운영비!W28</f>
        <v>329.56617999999997</v>
      </c>
      <c r="AJ117" s="1340">
        <f>기타운영비!X28</f>
        <v>355.23067200000003</v>
      </c>
      <c r="AK117" s="1340">
        <f>기타운영비!Y28</f>
        <v>361.72110400000003</v>
      </c>
      <c r="AL117" s="1340">
        <f>기타운영비!Z28</f>
        <v>461.27678300000002</v>
      </c>
      <c r="AM117" s="1340">
        <f>기타운영비!AA28</f>
        <v>486.68433099999999</v>
      </c>
      <c r="AN117" s="1340">
        <f>기타운영비!AB28</f>
        <v>650.11604499999999</v>
      </c>
      <c r="AO117" s="1340">
        <f>기타운영비!AC28</f>
        <v>530.65975000000003</v>
      </c>
      <c r="AP117" s="1340">
        <f>기타운영비!AD28</f>
        <v>438.625878</v>
      </c>
      <c r="AQ117" s="64">
        <f t="shared" si="213"/>
        <v>5246.2340470000008</v>
      </c>
      <c r="AR117" s="1340"/>
      <c r="AS117" s="1340"/>
      <c r="AT117" s="1340"/>
      <c r="AU117" s="1340"/>
      <c r="AV117" s="1340"/>
      <c r="AW117" s="1340"/>
      <c r="AX117" s="1340"/>
      <c r="AY117" s="1340"/>
      <c r="AZ117" s="1340"/>
      <c r="BA117" s="1340"/>
      <c r="BB117" s="1340"/>
      <c r="BC117" s="1340"/>
      <c r="BD117" s="64">
        <f t="shared" ref="BD117:BP117" si="365">BD41-BD165</f>
        <v>4347.9426939999994</v>
      </c>
      <c r="BE117" s="1340">
        <f t="shared" si="365"/>
        <v>377.44305700000001</v>
      </c>
      <c r="BF117" s="1340">
        <f t="shared" si="365"/>
        <v>453.56723499999998</v>
      </c>
      <c r="BG117" s="1340">
        <f t="shared" si="365"/>
        <v>367.66426200000001</v>
      </c>
      <c r="BH117" s="1340">
        <f t="shared" si="365"/>
        <v>351.404943</v>
      </c>
      <c r="BI117" s="1340">
        <f t="shared" si="365"/>
        <v>329.22386699999998</v>
      </c>
      <c r="BJ117" s="1340">
        <f t="shared" si="365"/>
        <v>322.12681600000002</v>
      </c>
      <c r="BK117" s="1340">
        <f t="shared" si="365"/>
        <v>325.27263499999998</v>
      </c>
      <c r="BL117" s="1340">
        <f t="shared" si="365"/>
        <v>441.97614700000003</v>
      </c>
      <c r="BM117" s="1340">
        <f t="shared" si="365"/>
        <v>170.97494399999999</v>
      </c>
      <c r="BN117" s="1340">
        <f t="shared" si="365"/>
        <v>519.77551700000004</v>
      </c>
      <c r="BO117" s="1340">
        <f t="shared" si="365"/>
        <v>334.94185199999998</v>
      </c>
      <c r="BP117" s="1340">
        <f t="shared" si="365"/>
        <v>353.57141899999999</v>
      </c>
      <c r="BQ117" s="1710">
        <f t="shared" ref="BQ117:CC117" si="366">BQ41-BQ165</f>
        <v>4452.6043090000003</v>
      </c>
      <c r="BR117" s="1930">
        <f t="shared" si="366"/>
        <v>478.51869900000003</v>
      </c>
      <c r="BS117" s="1930">
        <f t="shared" si="366"/>
        <v>391.408389</v>
      </c>
      <c r="BT117" s="1930">
        <f t="shared" si="366"/>
        <v>354.42021099999999</v>
      </c>
      <c r="BU117" s="1930">
        <f t="shared" si="366"/>
        <v>329.90308199999998</v>
      </c>
      <c r="BV117" s="1930">
        <f t="shared" si="366"/>
        <v>329.25166400000001</v>
      </c>
      <c r="BW117" s="1930">
        <f t="shared" si="366"/>
        <v>299.56427500000001</v>
      </c>
      <c r="BX117" s="1930">
        <f t="shared" si="366"/>
        <v>454.71395799999999</v>
      </c>
      <c r="BY117" s="1930">
        <f t="shared" si="366"/>
        <v>298.64040999999997</v>
      </c>
      <c r="BZ117" s="1930">
        <f t="shared" si="366"/>
        <v>458.55045200000001</v>
      </c>
      <c r="CA117" s="1930">
        <f t="shared" si="366"/>
        <v>426.195716</v>
      </c>
      <c r="CB117" s="1930">
        <f t="shared" si="366"/>
        <v>306.47291899999999</v>
      </c>
      <c r="CC117" s="1931">
        <f t="shared" si="366"/>
        <v>324.96453400000001</v>
      </c>
      <c r="CD117" s="1710">
        <f t="shared" ref="CD117:CP117" si="367">CD41-CD165</f>
        <v>4731.2440649999999</v>
      </c>
      <c r="CE117" s="1930">
        <f t="shared" si="367"/>
        <v>294.36073299999998</v>
      </c>
      <c r="CF117" s="1930">
        <f t="shared" si="367"/>
        <v>577.17226700000003</v>
      </c>
      <c r="CG117" s="1930">
        <f t="shared" si="367"/>
        <v>242.864204</v>
      </c>
      <c r="CH117" s="1930">
        <f t="shared" si="367"/>
        <v>324.58544000000001</v>
      </c>
      <c r="CI117" s="1930">
        <f t="shared" si="367"/>
        <v>392.61589700000002</v>
      </c>
      <c r="CJ117" s="1930">
        <f t="shared" si="367"/>
        <v>323.19973900000002</v>
      </c>
      <c r="CK117" s="1930">
        <f t="shared" si="367"/>
        <v>496.44607100000002</v>
      </c>
      <c r="CL117" s="1930">
        <f t="shared" si="367"/>
        <v>396.32875200000001</v>
      </c>
      <c r="CM117" s="1930">
        <f t="shared" si="367"/>
        <v>524.55371500000001</v>
      </c>
      <c r="CN117" s="1930">
        <f t="shared" si="367"/>
        <v>390.47527100000002</v>
      </c>
      <c r="CO117" s="1930">
        <f t="shared" si="367"/>
        <v>363.54603600000002</v>
      </c>
      <c r="CP117" s="1931">
        <f t="shared" si="367"/>
        <v>405.09593999999998</v>
      </c>
      <c r="CQ117" s="1710">
        <f t="shared" si="360"/>
        <v>4873.0933142162203</v>
      </c>
      <c r="CR117" s="1711">
        <f>기타운영비!CF28</f>
        <v>428.88542993637884</v>
      </c>
      <c r="CS117" s="1711">
        <f>기타운영비!CG28</f>
        <v>349.11837946491892</v>
      </c>
      <c r="CT117" s="1711">
        <f>기타운영비!CH28</f>
        <v>463.35976078651925</v>
      </c>
      <c r="CU117" s="1711">
        <f>기타운영비!CI28</f>
        <v>371.89739316099519</v>
      </c>
      <c r="CV117" s="1711">
        <f>기타운영비!CJ28</f>
        <v>371.47808060401991</v>
      </c>
      <c r="CW117" s="1711">
        <f>기타운영비!CK28</f>
        <v>367.03617222149177</v>
      </c>
      <c r="CX117" s="1711">
        <f>기타운영비!CL28</f>
        <v>483.74534280588466</v>
      </c>
      <c r="CY117" s="1711">
        <f>기타운영비!CM28</f>
        <v>382.89131335473263</v>
      </c>
      <c r="CZ117" s="1711">
        <f>기타운영비!CN28</f>
        <v>512.15188588303408</v>
      </c>
      <c r="DA117" s="1711">
        <f>기타운영비!CO28</f>
        <v>416.55797193256251</v>
      </c>
      <c r="DB117" s="1711">
        <f>기타운영비!CP28</f>
        <v>387.63578071166393</v>
      </c>
      <c r="DC117" s="2286">
        <f>기타운영비!CQ28</f>
        <v>338.33580335401871</v>
      </c>
      <c r="DD117" s="25"/>
      <c r="DE117" s="25"/>
      <c r="DF117" s="25"/>
      <c r="DG117" s="2975"/>
      <c r="DH117" s="2976">
        <f t="shared" si="218"/>
        <v>6.2579051867867053E-2</v>
      </c>
      <c r="DI117" s="2976">
        <f t="shared" si="219"/>
        <v>2.9981384867791672E-2</v>
      </c>
      <c r="DJ117" s="2976"/>
      <c r="DK117" s="1884"/>
      <c r="DL117" s="2718"/>
      <c r="DM117" s="2718"/>
    </row>
    <row r="118" spans="2:117" ht="20.25" customHeight="1">
      <c r="B118" s="40" t="s">
        <v>85</v>
      </c>
      <c r="C118" s="41"/>
      <c r="D118" s="66"/>
      <c r="E118" s="1340"/>
      <c r="F118" s="1340"/>
      <c r="G118" s="1340"/>
      <c r="H118" s="1340"/>
      <c r="I118" s="1340"/>
      <c r="J118" s="1340"/>
      <c r="K118" s="1340"/>
      <c r="L118" s="1340"/>
      <c r="M118" s="1340"/>
      <c r="N118" s="1340"/>
      <c r="O118" s="1340"/>
      <c r="P118" s="1340"/>
      <c r="Q118" s="64">
        <f t="shared" si="361"/>
        <v>323.39981900000004</v>
      </c>
      <c r="R118" s="1340">
        <f>기타운영비!F30</f>
        <v>92.327652999999998</v>
      </c>
      <c r="S118" s="1340">
        <f>기타운영비!G30</f>
        <v>18.033156999999999</v>
      </c>
      <c r="T118" s="1340">
        <f>기타운영비!H30</f>
        <v>-2.0875509999999999</v>
      </c>
      <c r="U118" s="1340">
        <f>기타운영비!I30</f>
        <v>2.1573899999999999</v>
      </c>
      <c r="V118" s="1340">
        <f>기타운영비!J30</f>
        <v>5.4749809999999997</v>
      </c>
      <c r="W118" s="1340">
        <f>기타운영비!K30</f>
        <v>18.775095</v>
      </c>
      <c r="X118" s="1340">
        <f>기타운영비!L30</f>
        <v>63.029646</v>
      </c>
      <c r="Y118" s="1340">
        <f>기타운영비!M30</f>
        <v>6.9826079999999999</v>
      </c>
      <c r="Z118" s="1340">
        <f>기타운영비!N30</f>
        <v>17.306066000000001</v>
      </c>
      <c r="AA118" s="1340">
        <f>기타운영비!O30</f>
        <v>9.7915030000000005</v>
      </c>
      <c r="AB118" s="1340">
        <f>기타운영비!P30</f>
        <v>61.785699000000001</v>
      </c>
      <c r="AC118" s="1341">
        <f>기타운영비!Q30</f>
        <v>29.823571999999999</v>
      </c>
      <c r="AD118" s="64">
        <f t="shared" si="285"/>
        <v>521.45880799999998</v>
      </c>
      <c r="AE118" s="1340">
        <f>기타운영비!S30</f>
        <v>13.022167</v>
      </c>
      <c r="AF118" s="1340">
        <f>기타운영비!T30</f>
        <v>14.420661000000001</v>
      </c>
      <c r="AG118" s="1340">
        <f>기타운영비!U30</f>
        <v>7.6454719999999998</v>
      </c>
      <c r="AH118" s="1340">
        <f>기타운영비!V30</f>
        <v>20.036014000000002</v>
      </c>
      <c r="AI118" s="1340">
        <f>기타운영비!W30</f>
        <v>8.4133650000000006</v>
      </c>
      <c r="AJ118" s="1340">
        <f>기타운영비!X30</f>
        <v>23.641030000000001</v>
      </c>
      <c r="AK118" s="1340">
        <f>기타운영비!Y30</f>
        <v>165.59588099999999</v>
      </c>
      <c r="AL118" s="1340">
        <f>기타운영비!Z30</f>
        <v>5.2586110000000001</v>
      </c>
      <c r="AM118" s="1340">
        <f>기타운영비!AA30</f>
        <v>75.991376000000002</v>
      </c>
      <c r="AN118" s="1340">
        <f>기타운영비!AB30</f>
        <v>15.55034</v>
      </c>
      <c r="AO118" s="1340">
        <f>기타운영비!AC30</f>
        <v>41.205311000000002</v>
      </c>
      <c r="AP118" s="1340">
        <f>기타운영비!AD30</f>
        <v>130.67858000000001</v>
      </c>
      <c r="AQ118" s="64">
        <f t="shared" si="213"/>
        <v>885.59376700000007</v>
      </c>
      <c r="AR118" s="1340"/>
      <c r="AS118" s="1340"/>
      <c r="AT118" s="1340"/>
      <c r="AU118" s="1340"/>
      <c r="AV118" s="1340"/>
      <c r="AW118" s="1340"/>
      <c r="AX118" s="1340"/>
      <c r="AY118" s="1340"/>
      <c r="AZ118" s="1340"/>
      <c r="BA118" s="1340"/>
      <c r="BB118" s="1340"/>
      <c r="BC118" s="1340"/>
      <c r="BD118" s="64">
        <f t="shared" ref="BD118:BP118" si="368">BD42-BD166</f>
        <v>839.96375500000011</v>
      </c>
      <c r="BE118" s="1340">
        <f t="shared" si="368"/>
        <v>37.074312999999997</v>
      </c>
      <c r="BF118" s="1340">
        <f t="shared" si="368"/>
        <v>19.139544000000001</v>
      </c>
      <c r="BG118" s="1340">
        <f t="shared" si="368"/>
        <v>72.206608000000003</v>
      </c>
      <c r="BH118" s="1340">
        <f t="shared" si="368"/>
        <v>23.643315000000001</v>
      </c>
      <c r="BI118" s="1340">
        <f t="shared" si="368"/>
        <v>16.831766999999999</v>
      </c>
      <c r="BJ118" s="1340">
        <f t="shared" si="368"/>
        <v>50.467615000000002</v>
      </c>
      <c r="BK118" s="1340">
        <f t="shared" si="368"/>
        <v>158.78094999999999</v>
      </c>
      <c r="BL118" s="1340">
        <f t="shared" si="368"/>
        <v>29.247973999999999</v>
      </c>
      <c r="BM118" s="1340">
        <f t="shared" si="368"/>
        <v>145.25455099999999</v>
      </c>
      <c r="BN118" s="1340">
        <f t="shared" si="368"/>
        <v>46.368648999999998</v>
      </c>
      <c r="BO118" s="1340">
        <f t="shared" si="368"/>
        <v>130.380841</v>
      </c>
      <c r="BP118" s="1340">
        <f t="shared" si="368"/>
        <v>110.567628</v>
      </c>
      <c r="BQ118" s="1710">
        <f t="shared" ref="BQ118:CC118" si="369">BQ42-BQ166</f>
        <v>942.93550200000004</v>
      </c>
      <c r="BR118" s="1930">
        <f t="shared" si="369"/>
        <v>37.373182999999997</v>
      </c>
      <c r="BS118" s="1930">
        <f t="shared" si="369"/>
        <v>32.404677999999997</v>
      </c>
      <c r="BT118" s="1930">
        <f t="shared" si="369"/>
        <v>27.160269</v>
      </c>
      <c r="BU118" s="1930">
        <f t="shared" si="369"/>
        <v>62.228341999999998</v>
      </c>
      <c r="BV118" s="1930">
        <f t="shared" si="369"/>
        <v>25.575593999999999</v>
      </c>
      <c r="BW118" s="1930">
        <f t="shared" si="369"/>
        <v>171.32511700000001</v>
      </c>
      <c r="BX118" s="1930">
        <f t="shared" si="369"/>
        <v>66.974866000000006</v>
      </c>
      <c r="BY118" s="1930">
        <f t="shared" si="369"/>
        <v>-25.690020000000001</v>
      </c>
      <c r="BZ118" s="1930">
        <f t="shared" si="369"/>
        <v>8.823874</v>
      </c>
      <c r="CA118" s="1930">
        <f t="shared" si="369"/>
        <v>293.67880300000002</v>
      </c>
      <c r="CB118" s="1930">
        <f t="shared" si="369"/>
        <v>166.98197999999999</v>
      </c>
      <c r="CC118" s="1931">
        <f t="shared" si="369"/>
        <v>76.098815999999999</v>
      </c>
      <c r="CD118" s="1710">
        <f t="shared" ref="CD118:CP118" si="370">CD42-CD166</f>
        <v>863.30343300000004</v>
      </c>
      <c r="CE118" s="1930">
        <f t="shared" si="370"/>
        <v>30.978331000000001</v>
      </c>
      <c r="CF118" s="1930">
        <f t="shared" si="370"/>
        <v>14.051783</v>
      </c>
      <c r="CG118" s="1930">
        <f t="shared" si="370"/>
        <v>23.843495000000001</v>
      </c>
      <c r="CH118" s="1930">
        <f t="shared" si="370"/>
        <v>27.213749</v>
      </c>
      <c r="CI118" s="1930">
        <f t="shared" si="370"/>
        <v>83.954356000000004</v>
      </c>
      <c r="CJ118" s="1930">
        <f t="shared" si="370"/>
        <v>28.030895999999998</v>
      </c>
      <c r="CK118" s="1930">
        <f t="shared" si="370"/>
        <v>187.00326799999999</v>
      </c>
      <c r="CL118" s="1930">
        <f t="shared" si="370"/>
        <v>32.552112000000001</v>
      </c>
      <c r="CM118" s="1930">
        <f t="shared" si="370"/>
        <v>28.345769000000001</v>
      </c>
      <c r="CN118" s="1930">
        <f t="shared" si="370"/>
        <v>91.638863000000001</v>
      </c>
      <c r="CO118" s="1930">
        <f t="shared" si="370"/>
        <v>143.358295</v>
      </c>
      <c r="CP118" s="1931">
        <f t="shared" si="370"/>
        <v>172.332516</v>
      </c>
      <c r="CQ118" s="1710">
        <f t="shared" si="360"/>
        <v>929.91039487920705</v>
      </c>
      <c r="CR118" s="1711">
        <f>기타운영비!CF30</f>
        <v>76.85849695798295</v>
      </c>
      <c r="CS118" s="1711">
        <f>기타운영비!CG30</f>
        <v>76.58201024783007</v>
      </c>
      <c r="CT118" s="1711">
        <f>기타운영비!CH30</f>
        <v>76.473819796031108</v>
      </c>
      <c r="CU118" s="1711">
        <f>기타운영비!CI30</f>
        <v>76.348799718396734</v>
      </c>
      <c r="CV118" s="1711">
        <f>기타운영비!CJ30</f>
        <v>82.651732983433845</v>
      </c>
      <c r="CW118" s="1711">
        <f>기타운영비!CK30</f>
        <v>76.67817953831802</v>
      </c>
      <c r="CX118" s="1711">
        <f>기타운영비!CL30</f>
        <v>77.269620674819038</v>
      </c>
      <c r="CY118" s="1711">
        <f>기타운영비!CM30</f>
        <v>77.296067229703212</v>
      </c>
      <c r="CZ118" s="1711">
        <f>기타운영비!CN30</f>
        <v>77.599000494740324</v>
      </c>
      <c r="DA118" s="1711">
        <f>기타운영비!CO30</f>
        <v>77.348960339471603</v>
      </c>
      <c r="DB118" s="1711">
        <f>기타운영비!CP30</f>
        <v>77.098920184202896</v>
      </c>
      <c r="DC118" s="2286">
        <f>기타운영비!CQ30</f>
        <v>77.704786714277091</v>
      </c>
      <c r="DD118" s="25"/>
      <c r="DE118" s="25"/>
      <c r="DF118" s="25"/>
      <c r="DG118" s="2975"/>
      <c r="DH118" s="2976">
        <f t="shared" si="218"/>
        <v>-8.4451236411289599E-2</v>
      </c>
      <c r="DI118" s="2976">
        <f t="shared" si="219"/>
        <v>7.715359320157722E-2</v>
      </c>
      <c r="DJ118" s="2976"/>
      <c r="DK118" s="1884"/>
      <c r="DL118" s="2718"/>
      <c r="DM118" s="2718"/>
    </row>
    <row r="119" spans="2:117" ht="20.25" customHeight="1">
      <c r="B119" s="40" t="s">
        <v>86</v>
      </c>
      <c r="C119" s="41"/>
      <c r="D119" s="66"/>
      <c r="E119" s="1340"/>
      <c r="F119" s="1340"/>
      <c r="G119" s="1340"/>
      <c r="H119" s="1340"/>
      <c r="I119" s="1340"/>
      <c r="J119" s="1340"/>
      <c r="K119" s="1340"/>
      <c r="L119" s="1340"/>
      <c r="M119" s="1340"/>
      <c r="N119" s="1340"/>
      <c r="O119" s="1340"/>
      <c r="P119" s="1340"/>
      <c r="Q119" s="64">
        <f t="shared" si="361"/>
        <v>875.42642000000012</v>
      </c>
      <c r="R119" s="1340">
        <f>기타운영비!F32</f>
        <v>64.366017999999997</v>
      </c>
      <c r="S119" s="1340">
        <f>기타운영비!G32</f>
        <v>61.252482000000001</v>
      </c>
      <c r="T119" s="1340">
        <f>기타운영비!H32</f>
        <v>64.661236000000002</v>
      </c>
      <c r="U119" s="1340">
        <f>기타운영비!I32</f>
        <v>61.989928999999997</v>
      </c>
      <c r="V119" s="1340">
        <f>기타운영비!J32</f>
        <v>62.676468</v>
      </c>
      <c r="W119" s="1340">
        <f>기타운영비!K32</f>
        <v>164.74719999999999</v>
      </c>
      <c r="X119" s="1340">
        <f>기타운영비!L32</f>
        <v>61.65484</v>
      </c>
      <c r="Y119" s="1340">
        <f>기타운영비!M32</f>
        <v>62.583139000000003</v>
      </c>
      <c r="Z119" s="1340">
        <f>기타운영비!N32</f>
        <v>64.550195000000002</v>
      </c>
      <c r="AA119" s="1340">
        <f>기타운영비!O32</f>
        <v>61.954684999999998</v>
      </c>
      <c r="AB119" s="1340">
        <f>기타운영비!P32</f>
        <v>72.992206999999993</v>
      </c>
      <c r="AC119" s="1341">
        <f>기타운영비!Q32</f>
        <v>71.998020999999994</v>
      </c>
      <c r="AD119" s="64">
        <f t="shared" si="285"/>
        <v>856.63505099999998</v>
      </c>
      <c r="AE119" s="1340">
        <f>기타운영비!S32</f>
        <v>73.348996999999997</v>
      </c>
      <c r="AF119" s="1340">
        <f>기타운영비!T32</f>
        <v>73.907360999999995</v>
      </c>
      <c r="AG119" s="1340">
        <f>기타운영비!U32</f>
        <v>72.103870999999998</v>
      </c>
      <c r="AH119" s="1340">
        <f>기타운영비!V32</f>
        <v>72.859599000000003</v>
      </c>
      <c r="AI119" s="1340">
        <f>기타운영비!W32</f>
        <v>72.045862</v>
      </c>
      <c r="AJ119" s="1340">
        <f>기타운영비!X32</f>
        <v>67.728333000000006</v>
      </c>
      <c r="AK119" s="1340">
        <f>기타운영비!Y32</f>
        <v>71.461899000000003</v>
      </c>
      <c r="AL119" s="1340">
        <f>기타운영비!Z32</f>
        <v>72.173114999999996</v>
      </c>
      <c r="AM119" s="1340">
        <f>기타운영비!AA32</f>
        <v>72.437236999999996</v>
      </c>
      <c r="AN119" s="1340">
        <f>기타운영비!AB32</f>
        <v>71.427152000000007</v>
      </c>
      <c r="AO119" s="1340">
        <f>기타운영비!AC32</f>
        <v>68.198778000000004</v>
      </c>
      <c r="AP119" s="1340">
        <f>기타운영비!AD32</f>
        <v>68.942847</v>
      </c>
      <c r="AQ119" s="64">
        <f t="shared" si="213"/>
        <v>854.76341500000001</v>
      </c>
      <c r="AR119" s="1340"/>
      <c r="AS119" s="1340"/>
      <c r="AT119" s="1340"/>
      <c r="AU119" s="1340"/>
      <c r="AV119" s="1340"/>
      <c r="AW119" s="1340"/>
      <c r="AX119" s="1340"/>
      <c r="AY119" s="1340"/>
      <c r="AZ119" s="1340"/>
      <c r="BA119" s="1340"/>
      <c r="BB119" s="1340"/>
      <c r="BC119" s="1340"/>
      <c r="BD119" s="64">
        <f t="shared" ref="BD119:BP119" si="371">BD43-BD167</f>
        <v>824.72214200000008</v>
      </c>
      <c r="BE119" s="1340">
        <f t="shared" si="371"/>
        <v>72.808867000000006</v>
      </c>
      <c r="BF119" s="1340">
        <f t="shared" si="371"/>
        <v>69.870351999999997</v>
      </c>
      <c r="BG119" s="1340">
        <f t="shared" si="371"/>
        <v>70.535837999999998</v>
      </c>
      <c r="BH119" s="1340">
        <f t="shared" si="371"/>
        <v>67.027694999999994</v>
      </c>
      <c r="BI119" s="1340">
        <f t="shared" si="371"/>
        <v>68.592184000000003</v>
      </c>
      <c r="BJ119" s="1340">
        <f t="shared" si="371"/>
        <v>66.882166999999995</v>
      </c>
      <c r="BK119" s="1340">
        <f t="shared" si="371"/>
        <v>67.242610999999997</v>
      </c>
      <c r="BL119" s="1340">
        <f t="shared" si="371"/>
        <v>72.176147</v>
      </c>
      <c r="BM119" s="1340">
        <f t="shared" si="371"/>
        <v>69.012283999999994</v>
      </c>
      <c r="BN119" s="1340">
        <f t="shared" si="371"/>
        <v>67.524860000000004</v>
      </c>
      <c r="BO119" s="1340">
        <f t="shared" si="371"/>
        <v>67.115392</v>
      </c>
      <c r="BP119" s="1340">
        <f t="shared" si="371"/>
        <v>65.933745000000002</v>
      </c>
      <c r="BQ119" s="1710">
        <f t="shared" ref="BQ119:CC119" si="372">BQ43-BQ167</f>
        <v>894.15289100000007</v>
      </c>
      <c r="BR119" s="1930">
        <f t="shared" si="372"/>
        <v>67.628157000000002</v>
      </c>
      <c r="BS119" s="1930">
        <f t="shared" si="372"/>
        <v>70.566115999999994</v>
      </c>
      <c r="BT119" s="1930">
        <f t="shared" si="372"/>
        <v>64.666602999999995</v>
      </c>
      <c r="BU119" s="1930">
        <f t="shared" si="372"/>
        <v>63.118426999999997</v>
      </c>
      <c r="BV119" s="1930">
        <f t="shared" si="372"/>
        <v>65.920035999999996</v>
      </c>
      <c r="BW119" s="1930">
        <f t="shared" si="372"/>
        <v>64.901308999999998</v>
      </c>
      <c r="BX119" s="1930">
        <f t="shared" si="372"/>
        <v>69.91453700000001</v>
      </c>
      <c r="BY119" s="1930">
        <f t="shared" si="372"/>
        <v>69.359395000000006</v>
      </c>
      <c r="BZ119" s="1930">
        <f t="shared" si="372"/>
        <v>65.433113000000006</v>
      </c>
      <c r="CA119" s="1930">
        <f t="shared" si="372"/>
        <v>116.749088</v>
      </c>
      <c r="CB119" s="1930">
        <f t="shared" si="372"/>
        <v>103.954846</v>
      </c>
      <c r="CC119" s="1931">
        <f t="shared" si="372"/>
        <v>71.941264000000004</v>
      </c>
      <c r="CD119" s="1710">
        <f t="shared" ref="CD119:CP119" si="373">CD43-CD167</f>
        <v>945.07067800000004</v>
      </c>
      <c r="CE119" s="1930">
        <f t="shared" si="373"/>
        <v>74.973583000000005</v>
      </c>
      <c r="CF119" s="1930">
        <f t="shared" si="373"/>
        <v>76.536135000000002</v>
      </c>
      <c r="CG119" s="1930">
        <f t="shared" si="373"/>
        <v>73.643845999999996</v>
      </c>
      <c r="CH119" s="1930">
        <f t="shared" si="373"/>
        <v>73.597348999999994</v>
      </c>
      <c r="CI119" s="1930">
        <f t="shared" si="373"/>
        <v>74.715328999999997</v>
      </c>
      <c r="CJ119" s="1930">
        <f t="shared" si="373"/>
        <v>78.955467999999996</v>
      </c>
      <c r="CK119" s="1930">
        <f t="shared" si="373"/>
        <v>84.122896999999995</v>
      </c>
      <c r="CL119" s="1930">
        <f t="shared" si="373"/>
        <v>82.841228999999998</v>
      </c>
      <c r="CM119" s="1930">
        <f t="shared" si="373"/>
        <v>79.126619000000005</v>
      </c>
      <c r="CN119" s="1930">
        <f t="shared" si="373"/>
        <v>80.618352000000002</v>
      </c>
      <c r="CO119" s="1930">
        <f t="shared" si="373"/>
        <v>79.492795999999998</v>
      </c>
      <c r="CP119" s="1931">
        <f t="shared" si="373"/>
        <v>86.447074999999998</v>
      </c>
      <c r="CQ119" s="1710">
        <f t="shared" si="360"/>
        <v>1010.5877658655576</v>
      </c>
      <c r="CR119" s="1711">
        <f>기타운영비!CF32</f>
        <v>80.907882689124321</v>
      </c>
      <c r="CS119" s="1711">
        <f>기타운영비!CG32</f>
        <v>82.616828931953123</v>
      </c>
      <c r="CT119" s="1711">
        <f>기타운영비!CH32</f>
        <v>82.502938331320891</v>
      </c>
      <c r="CU119" s="1711">
        <f>기타운영비!CI32</f>
        <v>82.371331415034788</v>
      </c>
      <c r="CV119" s="1711">
        <f>기타운영비!CJ32</f>
        <v>84.690225096804994</v>
      </c>
      <c r="CW119" s="1711">
        <f>기타운영비!CK32</f>
        <v>84.718065021403973</v>
      </c>
      <c r="CX119" s="1711">
        <f>기타운영비!CL32</f>
        <v>85.340666971526758</v>
      </c>
      <c r="CY119" s="1711">
        <f>기타운영비!CM32</f>
        <v>85.368506896125737</v>
      </c>
      <c r="CZ119" s="1711">
        <f>기타운영비!CN32</f>
        <v>85.687400577895929</v>
      </c>
      <c r="DA119" s="1711">
        <f>기타운영비!CO32</f>
        <v>85.424186745323709</v>
      </c>
      <c r="DB119" s="1711">
        <f>기타운영비!CP32</f>
        <v>85.160972912751461</v>
      </c>
      <c r="DC119" s="2286">
        <f>기타운영비!CQ32</f>
        <v>85.798760276291873</v>
      </c>
      <c r="DD119" s="25"/>
      <c r="DE119" s="25"/>
      <c r="DF119" s="25"/>
      <c r="DG119" s="2975"/>
      <c r="DH119" s="2976">
        <f t="shared" si="218"/>
        <v>5.694528028987822E-2</v>
      </c>
      <c r="DI119" s="2976">
        <f t="shared" si="219"/>
        <v>6.9325066781468214E-2</v>
      </c>
      <c r="DJ119" s="2976"/>
      <c r="DK119" s="1884"/>
      <c r="DL119" s="2718"/>
      <c r="DM119" s="2718"/>
    </row>
    <row r="120" spans="2:117" ht="20.25" customHeight="1">
      <c r="B120" s="40" t="s">
        <v>87</v>
      </c>
      <c r="C120" s="41"/>
      <c r="D120" s="66"/>
      <c r="E120" s="1340"/>
      <c r="F120" s="1340"/>
      <c r="G120" s="1340"/>
      <c r="H120" s="1340"/>
      <c r="I120" s="1340"/>
      <c r="J120" s="1340"/>
      <c r="K120" s="1340"/>
      <c r="L120" s="1340"/>
      <c r="M120" s="1340"/>
      <c r="N120" s="1340"/>
      <c r="O120" s="1340"/>
      <c r="P120" s="1340"/>
      <c r="Q120" s="64">
        <f t="shared" si="361"/>
        <v>1282.5662969999998</v>
      </c>
      <c r="R120" s="1340">
        <f>기타운영비!F34+기타운영비!F52</f>
        <v>106.312152</v>
      </c>
      <c r="S120" s="1340">
        <f>기타운영비!G34+기타운영비!G52</f>
        <v>143.16126399999999</v>
      </c>
      <c r="T120" s="1340">
        <f>기타운영비!H34+기타운영비!H52</f>
        <v>111.867558</v>
      </c>
      <c r="U120" s="1340">
        <f>기타운영비!I34+기타운영비!I52</f>
        <v>97.659762000000001</v>
      </c>
      <c r="V120" s="1340">
        <f>기타운영비!J34+기타운영비!J52</f>
        <v>91.874725999999995</v>
      </c>
      <c r="W120" s="1340">
        <f>기타운영비!K34+기타운영비!K52</f>
        <v>102.619946</v>
      </c>
      <c r="X120" s="1340">
        <f>기타운영비!L34+기타운영비!L52</f>
        <v>92.140224000000003</v>
      </c>
      <c r="Y120" s="1340">
        <f>기타운영비!M34+기타운영비!M52</f>
        <v>86.598078999999998</v>
      </c>
      <c r="Z120" s="1340">
        <f>기타운영비!N34+기타운영비!N52</f>
        <v>96.382289</v>
      </c>
      <c r="AA120" s="1340">
        <f>기타운영비!O34+기타운영비!O52</f>
        <v>104.319796</v>
      </c>
      <c r="AB120" s="1340">
        <f>기타운영비!P34+기타운영비!P52</f>
        <v>97.638671000000002</v>
      </c>
      <c r="AC120" s="1341">
        <f>기타운영비!Q34+기타운영비!Q52</f>
        <v>151.99182999999999</v>
      </c>
      <c r="AD120" s="64">
        <f t="shared" si="285"/>
        <v>1816.5009250000001</v>
      </c>
      <c r="AE120" s="1340">
        <f>기타운영비!S34+기타운영비!S52</f>
        <v>91.079194000000001</v>
      </c>
      <c r="AF120" s="1340">
        <f>기타운영비!T34+기타운영비!T52</f>
        <v>152.23155299999999</v>
      </c>
      <c r="AG120" s="1340">
        <f>기타운영비!U34+기타운영비!U52</f>
        <v>103.33819200000001</v>
      </c>
      <c r="AH120" s="1340">
        <f>기타운영비!V34+기타운영비!V52</f>
        <v>130.265593</v>
      </c>
      <c r="AI120" s="1340">
        <f>기타운영비!W34+기타운영비!W52</f>
        <v>104.443719</v>
      </c>
      <c r="AJ120" s="1340">
        <f>기타운영비!X34+기타운영비!X52</f>
        <v>106.25638600000001</v>
      </c>
      <c r="AK120" s="1340">
        <f>기타운영비!Y34+기타운영비!Y52</f>
        <v>108.14138699999999</v>
      </c>
      <c r="AL120" s="1340">
        <f>기타운영비!Z34+기타운영비!Z52</f>
        <v>103.573098</v>
      </c>
      <c r="AM120" s="1340">
        <f>기타운영비!AA34+기타운영비!AA52</f>
        <v>86.559213</v>
      </c>
      <c r="AN120" s="1340">
        <f>기타운영비!AB34+기타운영비!AB52</f>
        <v>122.280991</v>
      </c>
      <c r="AO120" s="1340">
        <f>기타운영비!AC34+기타운영비!AC52</f>
        <v>108.870186</v>
      </c>
      <c r="AP120" s="1340">
        <f>기타운영비!AD34+기타운영비!AD52</f>
        <v>599.46141299999999</v>
      </c>
      <c r="AQ120" s="64">
        <f t="shared" si="213"/>
        <v>1334.0096299999998</v>
      </c>
      <c r="AR120" s="1340"/>
      <c r="AS120" s="1340"/>
      <c r="AT120" s="1340"/>
      <c r="AU120" s="1340"/>
      <c r="AV120" s="1340"/>
      <c r="AW120" s="1340"/>
      <c r="AX120" s="1340"/>
      <c r="AY120" s="1340"/>
      <c r="AZ120" s="1340"/>
      <c r="BA120" s="1340"/>
      <c r="BB120" s="1340"/>
      <c r="BC120" s="1340"/>
      <c r="BD120" s="64">
        <f t="shared" ref="BD120:BP120" si="374">BD44-BD168</f>
        <v>1167.6784950000001</v>
      </c>
      <c r="BE120" s="1340">
        <f t="shared" si="374"/>
        <v>105.374793</v>
      </c>
      <c r="BF120" s="1340">
        <f t="shared" si="374"/>
        <v>85.826843999999994</v>
      </c>
      <c r="BG120" s="1340">
        <f t="shared" si="374"/>
        <v>99.879159999999999</v>
      </c>
      <c r="BH120" s="1340">
        <f t="shared" si="374"/>
        <v>92.467646000000002</v>
      </c>
      <c r="BI120" s="1340">
        <f t="shared" si="374"/>
        <v>85.219193000000004</v>
      </c>
      <c r="BJ120" s="1340">
        <f t="shared" si="374"/>
        <v>69.369452999999993</v>
      </c>
      <c r="BK120" s="1340">
        <f t="shared" si="374"/>
        <v>139.99495999999999</v>
      </c>
      <c r="BL120" s="1340">
        <f t="shared" si="374"/>
        <v>95.302975000000004</v>
      </c>
      <c r="BM120" s="1340">
        <f t="shared" si="374"/>
        <v>61.351132</v>
      </c>
      <c r="BN120" s="1340">
        <f t="shared" si="374"/>
        <v>88.316636000000003</v>
      </c>
      <c r="BO120" s="1340">
        <f t="shared" si="374"/>
        <v>97.477003999999994</v>
      </c>
      <c r="BP120" s="1340">
        <f t="shared" si="374"/>
        <v>147.09869900000001</v>
      </c>
      <c r="BQ120" s="1710">
        <f t="shared" ref="BQ120:CC120" si="375">BQ44-BQ168</f>
        <v>1548.8505110000001</v>
      </c>
      <c r="BR120" s="1930">
        <f t="shared" si="375"/>
        <v>106.687725</v>
      </c>
      <c r="BS120" s="1930">
        <f t="shared" si="375"/>
        <v>82.214734000000007</v>
      </c>
      <c r="BT120" s="1930">
        <f t="shared" si="375"/>
        <v>124.39828199999999</v>
      </c>
      <c r="BU120" s="1930">
        <f t="shared" si="375"/>
        <v>94.869114999999994</v>
      </c>
      <c r="BV120" s="1930">
        <f t="shared" si="375"/>
        <v>101.164879</v>
      </c>
      <c r="BW120" s="1930">
        <f t="shared" si="375"/>
        <v>154.85498999999999</v>
      </c>
      <c r="BX120" s="1930">
        <f t="shared" si="375"/>
        <v>181.82860000000005</v>
      </c>
      <c r="BY120" s="1930">
        <f t="shared" si="375"/>
        <v>85.248356000000001</v>
      </c>
      <c r="BZ120" s="1930">
        <f t="shared" si="375"/>
        <v>80.034533999999994</v>
      </c>
      <c r="CA120" s="1930">
        <f t="shared" si="375"/>
        <v>154.555419</v>
      </c>
      <c r="CB120" s="1930">
        <f t="shared" si="375"/>
        <v>163.40456499999999</v>
      </c>
      <c r="CC120" s="1931">
        <f t="shared" si="375"/>
        <v>219.58931200000001</v>
      </c>
      <c r="CD120" s="1710">
        <f t="shared" ref="CD120:CP120" si="376">CD44-CD168</f>
        <v>1446.2293159999999</v>
      </c>
      <c r="CE120" s="1930">
        <f t="shared" si="376"/>
        <v>131.061374</v>
      </c>
      <c r="CF120" s="1930">
        <f t="shared" si="376"/>
        <v>81.985692</v>
      </c>
      <c r="CG120" s="1930">
        <f t="shared" si="376"/>
        <v>103.336006</v>
      </c>
      <c r="CH120" s="1930">
        <f t="shared" si="376"/>
        <v>97.362499999999997</v>
      </c>
      <c r="CI120" s="1930">
        <f t="shared" si="376"/>
        <v>92.742008999999996</v>
      </c>
      <c r="CJ120" s="1930">
        <f t="shared" si="376"/>
        <v>144.26714199999998</v>
      </c>
      <c r="CK120" s="1930">
        <f t="shared" si="376"/>
        <v>175.90343100000001</v>
      </c>
      <c r="CL120" s="1930">
        <f t="shared" si="376"/>
        <v>99.719471999999996</v>
      </c>
      <c r="CM120" s="1930">
        <f t="shared" si="376"/>
        <v>122.823324</v>
      </c>
      <c r="CN120" s="1930">
        <f t="shared" si="376"/>
        <v>125.889692</v>
      </c>
      <c r="CO120" s="1930">
        <f t="shared" si="376"/>
        <v>126.5921</v>
      </c>
      <c r="CP120" s="1931">
        <f t="shared" si="376"/>
        <v>144.54657399999999</v>
      </c>
      <c r="CQ120" s="1710">
        <f t="shared" si="360"/>
        <v>1477.698610270405</v>
      </c>
      <c r="CR120" s="1711">
        <f>기타운영비!CF34</f>
        <v>123.04033249573703</v>
      </c>
      <c r="CS120" s="1711">
        <f>기타운영비!CG34</f>
        <v>122.83154125959435</v>
      </c>
      <c r="CT120" s="1711">
        <f>기타운영비!CH34</f>
        <v>122.74984034110372</v>
      </c>
      <c r="CU120" s="1711">
        <f>기타운영비!CI34</f>
        <v>122.6554303908479</v>
      </c>
      <c r="CV120" s="1711">
        <f>기타운영비!CJ34</f>
        <v>122.88419296262164</v>
      </c>
      <c r="CW120" s="1711">
        <f>기타운영비!CK34</f>
        <v>122.90416429825268</v>
      </c>
      <c r="CX120" s="1711">
        <f>기타운영비!CL34</f>
        <v>123.35079598600142</v>
      </c>
      <c r="CY120" s="1711">
        <f>기타운영비!CM34</f>
        <v>123.37076732163244</v>
      </c>
      <c r="CZ120" s="1711">
        <f>기타운영비!CN34</f>
        <v>123.59952989340619</v>
      </c>
      <c r="DA120" s="1711">
        <f>기타운영비!CO34</f>
        <v>123.41070999289454</v>
      </c>
      <c r="DB120" s="1711">
        <f>기타운영비!CP34</f>
        <v>123.22189009238286</v>
      </c>
      <c r="DC120" s="2286">
        <f>기타운영비!CQ34</f>
        <v>123.67941523593035</v>
      </c>
      <c r="DD120" s="25"/>
      <c r="DE120" s="25"/>
      <c r="DF120" s="25"/>
      <c r="DG120" s="2975"/>
      <c r="DH120" s="2976">
        <f t="shared" si="218"/>
        <v>-6.6256358680957361E-2</v>
      </c>
      <c r="DI120" s="2976">
        <f t="shared" si="219"/>
        <v>2.1759546651594075E-2</v>
      </c>
      <c r="DJ120" s="2976"/>
      <c r="DK120" s="1884"/>
      <c r="DL120" s="2718"/>
      <c r="DM120" s="2718"/>
    </row>
    <row r="121" spans="2:117" ht="20.25" customHeight="1">
      <c r="B121" s="40" t="s">
        <v>88</v>
      </c>
      <c r="C121" s="41"/>
      <c r="D121" s="66"/>
      <c r="E121" s="1340"/>
      <c r="F121" s="1340"/>
      <c r="G121" s="1340"/>
      <c r="H121" s="1340"/>
      <c r="I121" s="1340"/>
      <c r="J121" s="1340"/>
      <c r="K121" s="1340"/>
      <c r="L121" s="1340"/>
      <c r="M121" s="1340"/>
      <c r="N121" s="1340"/>
      <c r="O121" s="1340"/>
      <c r="P121" s="1340"/>
      <c r="Q121" s="64">
        <f t="shared" si="361"/>
        <v>118.595</v>
      </c>
      <c r="R121" s="1340">
        <f>기타운영비!F38</f>
        <v>47.01</v>
      </c>
      <c r="S121" s="1340">
        <f>기타운영비!G38</f>
        <v>1.35</v>
      </c>
      <c r="T121" s="1340">
        <f>기타운영비!H38</f>
        <v>2.6</v>
      </c>
      <c r="U121" s="1340">
        <f>기타운영비!I38</f>
        <v>2.8</v>
      </c>
      <c r="V121" s="1340">
        <f>기타운영비!J38</f>
        <v>3.4</v>
      </c>
      <c r="W121" s="1340">
        <f>기타운영비!K38</f>
        <v>2.2999999999999998</v>
      </c>
      <c r="X121" s="1340">
        <f>기타운영비!L38</f>
        <v>2.1800000000000002</v>
      </c>
      <c r="Y121" s="1340">
        <f>기타운영비!M38</f>
        <v>1.9</v>
      </c>
      <c r="Z121" s="1340">
        <f>기타운영비!N38</f>
        <v>48.255000000000003</v>
      </c>
      <c r="AA121" s="1340">
        <f>기타운영비!O38</f>
        <v>2.4</v>
      </c>
      <c r="AB121" s="1340">
        <f>기타운영비!P38</f>
        <v>2.5</v>
      </c>
      <c r="AC121" s="1341">
        <f>기타운영비!Q38</f>
        <v>1.9</v>
      </c>
      <c r="AD121" s="64">
        <f t="shared" si="285"/>
        <v>176.22908999999999</v>
      </c>
      <c r="AE121" s="1340">
        <f>기타운영비!S38</f>
        <v>5.6724500000000004</v>
      </c>
      <c r="AF121" s="1340">
        <f>기타운영비!T38</f>
        <v>42.25</v>
      </c>
      <c r="AG121" s="1340">
        <f>기타운영비!U38</f>
        <v>2.3894000000000002</v>
      </c>
      <c r="AH121" s="1340">
        <f>기타운영비!V38</f>
        <v>2.3702000000000001</v>
      </c>
      <c r="AI121" s="1340">
        <f>기타운영비!W38</f>
        <v>2.0499999999999998</v>
      </c>
      <c r="AJ121" s="1340">
        <f>기타운영비!X38</f>
        <v>3.5</v>
      </c>
      <c r="AK121" s="1340">
        <f>기타운영비!Y38</f>
        <v>8.8511000000000006</v>
      </c>
      <c r="AL121" s="1340">
        <f>기타운영비!Z38</f>
        <v>8.9009999999999998</v>
      </c>
      <c r="AM121" s="1340">
        <f>기타운영비!AA38</f>
        <v>62.207039999999999</v>
      </c>
      <c r="AN121" s="1340">
        <f>기타운영비!AB38</f>
        <v>16.949200000000001</v>
      </c>
      <c r="AO121" s="1340">
        <f>기타운영비!AC38</f>
        <v>14.480700000000001</v>
      </c>
      <c r="AP121" s="1340">
        <f>기타운영비!AD38</f>
        <v>6.6079999999999997</v>
      </c>
      <c r="AQ121" s="64">
        <f t="shared" si="213"/>
        <v>257.60586599999993</v>
      </c>
      <c r="AR121" s="1340"/>
      <c r="AS121" s="1340"/>
      <c r="AT121" s="1340"/>
      <c r="AU121" s="1340"/>
      <c r="AV121" s="1340"/>
      <c r="AW121" s="1340"/>
      <c r="AX121" s="1340"/>
      <c r="AY121" s="1340"/>
      <c r="AZ121" s="1340"/>
      <c r="BA121" s="1340"/>
      <c r="BB121" s="1340"/>
      <c r="BC121" s="1340"/>
      <c r="BD121" s="64">
        <f t="shared" ref="BD121:BP121" si="377">BD45-BD169</f>
        <v>221.48115999999999</v>
      </c>
      <c r="BE121" s="1340">
        <f t="shared" si="377"/>
        <v>32.69294</v>
      </c>
      <c r="BF121" s="1340">
        <f t="shared" si="377"/>
        <v>34.090000000000003</v>
      </c>
      <c r="BG121" s="1340">
        <f t="shared" si="377"/>
        <v>5.0679999999999996</v>
      </c>
      <c r="BH121" s="1340">
        <f t="shared" si="377"/>
        <v>4.3639999999999999</v>
      </c>
      <c r="BI121" s="1340">
        <f t="shared" si="377"/>
        <v>11.707000000000001</v>
      </c>
      <c r="BJ121" s="1340">
        <f t="shared" si="377"/>
        <v>10.696</v>
      </c>
      <c r="BK121" s="1340">
        <f t="shared" si="377"/>
        <v>14.159000000000001</v>
      </c>
      <c r="BL121" s="1340">
        <f t="shared" si="377"/>
        <v>6.3520000000000003</v>
      </c>
      <c r="BM121" s="1340">
        <f t="shared" si="377"/>
        <v>75.364999999999995</v>
      </c>
      <c r="BN121" s="1340">
        <f t="shared" si="377"/>
        <v>8.9225999999999992</v>
      </c>
      <c r="BO121" s="1340">
        <f t="shared" si="377"/>
        <v>1.9</v>
      </c>
      <c r="BP121" s="1340">
        <f t="shared" si="377"/>
        <v>16.164619999999999</v>
      </c>
      <c r="BQ121" s="1710">
        <f t="shared" ref="BQ121:CC121" si="378">BQ45-BQ169</f>
        <v>263.67071499999997</v>
      </c>
      <c r="BR121" s="1930">
        <f t="shared" si="378"/>
        <v>14.487120000000001</v>
      </c>
      <c r="BS121" s="1930">
        <f t="shared" si="378"/>
        <v>55.238</v>
      </c>
      <c r="BT121" s="1930">
        <f t="shared" si="378"/>
        <v>13.768000000000001</v>
      </c>
      <c r="BU121" s="1930">
        <f t="shared" si="378"/>
        <v>10.467000000000001</v>
      </c>
      <c r="BV121" s="1930">
        <f t="shared" si="378"/>
        <v>13.6235</v>
      </c>
      <c r="BW121" s="1930">
        <f t="shared" si="378"/>
        <v>14.609</v>
      </c>
      <c r="BX121" s="1930">
        <f t="shared" si="378"/>
        <v>10.824999999999999</v>
      </c>
      <c r="BY121" s="1930">
        <f t="shared" si="378"/>
        <v>10.200495</v>
      </c>
      <c r="BZ121" s="1930">
        <f t="shared" si="378"/>
        <v>66.128100000000003</v>
      </c>
      <c r="CA121" s="1930">
        <f t="shared" si="378"/>
        <v>30.426500000000001</v>
      </c>
      <c r="CB121" s="1930">
        <f t="shared" si="378"/>
        <v>17.645</v>
      </c>
      <c r="CC121" s="1931">
        <f t="shared" si="378"/>
        <v>6.2530000000000001</v>
      </c>
      <c r="CD121" s="1710">
        <f t="shared" ref="CD121:CP121" si="379">CD45-CD169</f>
        <v>299.09793000000002</v>
      </c>
      <c r="CE121" s="1930">
        <f t="shared" si="379"/>
        <v>77.547200000000004</v>
      </c>
      <c r="CF121" s="1930">
        <f t="shared" si="379"/>
        <v>5.758</v>
      </c>
      <c r="CG121" s="1930">
        <f t="shared" si="379"/>
        <v>20.348099999999999</v>
      </c>
      <c r="CH121" s="1930">
        <f t="shared" si="379"/>
        <v>13.670999999999999</v>
      </c>
      <c r="CI121" s="1930">
        <f t="shared" si="379"/>
        <v>20.782499999999999</v>
      </c>
      <c r="CJ121" s="1930">
        <f t="shared" si="379"/>
        <v>18.4102</v>
      </c>
      <c r="CK121" s="1930">
        <f t="shared" si="379"/>
        <v>17.919499999999999</v>
      </c>
      <c r="CL121" s="1930">
        <f t="shared" si="379"/>
        <v>22.030999999999999</v>
      </c>
      <c r="CM121" s="1930">
        <f t="shared" si="379"/>
        <v>46.281239999999997</v>
      </c>
      <c r="CN121" s="1930">
        <f t="shared" si="379"/>
        <v>18.1416</v>
      </c>
      <c r="CO121" s="1930">
        <f t="shared" si="379"/>
        <v>26.69659</v>
      </c>
      <c r="CP121" s="1931">
        <f t="shared" si="379"/>
        <v>11.510999999999999</v>
      </c>
      <c r="CQ121" s="1710">
        <f t="shared" si="360"/>
        <v>322.42502000000002</v>
      </c>
      <c r="CR121" s="1711">
        <f>기타운영비!CF38</f>
        <v>26.868751666666668</v>
      </c>
      <c r="CS121" s="1711">
        <f>기타운영비!CG38</f>
        <v>26.868751666666668</v>
      </c>
      <c r="CT121" s="1711">
        <f>기타운영비!CH38</f>
        <v>26.868751666666668</v>
      </c>
      <c r="CU121" s="1711">
        <f>기타운영비!CI38</f>
        <v>26.868751666666668</v>
      </c>
      <c r="CV121" s="1711">
        <f>기타운영비!CJ38</f>
        <v>26.868751666666668</v>
      </c>
      <c r="CW121" s="1711">
        <f>기타운영비!CK38</f>
        <v>26.868751666666668</v>
      </c>
      <c r="CX121" s="1711">
        <f>기타운영비!CL38</f>
        <v>26.868751666666668</v>
      </c>
      <c r="CY121" s="1711">
        <f>기타운영비!CM38</f>
        <v>26.868751666666668</v>
      </c>
      <c r="CZ121" s="1711">
        <f>기타운영비!CN38</f>
        <v>26.868751666666668</v>
      </c>
      <c r="DA121" s="1711">
        <f>기타운영비!CO38</f>
        <v>26.868751666666668</v>
      </c>
      <c r="DB121" s="1711">
        <f>기타운영비!CP38</f>
        <v>26.868751666666668</v>
      </c>
      <c r="DC121" s="2286">
        <f>기타운영비!CQ38</f>
        <v>26.868751666666668</v>
      </c>
      <c r="DD121" s="25"/>
      <c r="DE121" s="25"/>
      <c r="DF121" s="25"/>
      <c r="DG121" s="2975"/>
      <c r="DH121" s="2976">
        <f t="shared" si="218"/>
        <v>0.13436158429653466</v>
      </c>
      <c r="DI121" s="2976">
        <f t="shared" si="219"/>
        <v>7.7991479245610229E-2</v>
      </c>
      <c r="DJ121" s="2976"/>
      <c r="DK121" s="1884"/>
      <c r="DL121" s="2718"/>
      <c r="DM121" s="2718"/>
    </row>
    <row r="122" spans="2:117" ht="20.25" customHeight="1">
      <c r="B122" s="40" t="s">
        <v>89</v>
      </c>
      <c r="C122" s="41"/>
      <c r="D122" s="66"/>
      <c r="E122" s="1340"/>
      <c r="F122" s="1340"/>
      <c r="G122" s="1340"/>
      <c r="H122" s="1340"/>
      <c r="I122" s="1340"/>
      <c r="J122" s="1340"/>
      <c r="K122" s="1340"/>
      <c r="L122" s="1340"/>
      <c r="M122" s="1340"/>
      <c r="N122" s="1340"/>
      <c r="O122" s="1340"/>
      <c r="P122" s="1340"/>
      <c r="Q122" s="64">
        <f t="shared" si="361"/>
        <v>1329.3977789999997</v>
      </c>
      <c r="R122" s="1340">
        <f>기타운영비!F39</f>
        <v>838.51259400000004</v>
      </c>
      <c r="S122" s="1340">
        <f>기타운영비!G39</f>
        <v>40.857596999999998</v>
      </c>
      <c r="T122" s="1340">
        <f>기타운영비!H39</f>
        <v>42.520546000000003</v>
      </c>
      <c r="U122" s="1340">
        <f>기타운영비!I39</f>
        <v>34.749302999999998</v>
      </c>
      <c r="V122" s="1340">
        <f>기타운영비!J39</f>
        <v>42.357377999999997</v>
      </c>
      <c r="W122" s="1340">
        <f>기타운영비!K39</f>
        <v>42.047097999999998</v>
      </c>
      <c r="X122" s="1340">
        <f>기타운영비!L39</f>
        <v>57.572671</v>
      </c>
      <c r="Y122" s="1340">
        <f>기타운영비!M39</f>
        <v>56.638252000000001</v>
      </c>
      <c r="Z122" s="1340">
        <f>기타운영비!N39</f>
        <v>44.528512999999997</v>
      </c>
      <c r="AA122" s="1340">
        <f>기타운영비!O39</f>
        <v>40.954464000000002</v>
      </c>
      <c r="AB122" s="1340">
        <f>기타운영비!P39</f>
        <v>39.585920000000002</v>
      </c>
      <c r="AC122" s="1341">
        <f>기타운영비!Q39</f>
        <v>49.073442999999997</v>
      </c>
      <c r="AD122" s="64">
        <f t="shared" si="285"/>
        <v>2016.5891590000001</v>
      </c>
      <c r="AE122" s="1340">
        <f>기타운영비!S39</f>
        <v>862.11679400000003</v>
      </c>
      <c r="AF122" s="1340">
        <f>기타운영비!T39</f>
        <v>41.430579999999999</v>
      </c>
      <c r="AG122" s="1340">
        <f>기타운영비!U39</f>
        <v>42.522649000000001</v>
      </c>
      <c r="AH122" s="1340">
        <f>기타운영비!V39</f>
        <v>41.150950999999999</v>
      </c>
      <c r="AI122" s="1340">
        <f>기타운영비!W39</f>
        <v>42.582293999999997</v>
      </c>
      <c r="AJ122" s="1340">
        <f>기타운영비!X39</f>
        <v>41.150950999999999</v>
      </c>
      <c r="AK122" s="1340">
        <f>기타운영비!Y39</f>
        <v>66.433890000000005</v>
      </c>
      <c r="AL122" s="1340">
        <f>기타운영비!Z39</f>
        <v>51.269348000000001</v>
      </c>
      <c r="AM122" s="1340">
        <f>기타운영비!AA39</f>
        <v>46.869756000000002</v>
      </c>
      <c r="AN122" s="1340">
        <f>기타운영비!AB39</f>
        <v>49.090072999999997</v>
      </c>
      <c r="AO122" s="1340">
        <f>기타운영비!AC39</f>
        <v>47.562933000000001</v>
      </c>
      <c r="AP122" s="1340">
        <f>기타운영비!AD39</f>
        <v>684.40894000000003</v>
      </c>
      <c r="AQ122" s="64">
        <f t="shared" si="213"/>
        <v>599.09047600000008</v>
      </c>
      <c r="AR122" s="1340"/>
      <c r="AS122" s="1340"/>
      <c r="AT122" s="1340"/>
      <c r="AU122" s="1340"/>
      <c r="AV122" s="1340"/>
      <c r="AW122" s="1340"/>
      <c r="AX122" s="1340"/>
      <c r="AY122" s="1340"/>
      <c r="AZ122" s="1340"/>
      <c r="BA122" s="1340"/>
      <c r="BB122" s="1340"/>
      <c r="BC122" s="1340"/>
      <c r="BD122" s="64">
        <f t="shared" ref="BD122:BP122" si="380">BD46-BD170</f>
        <v>763.88472999999999</v>
      </c>
      <c r="BE122" s="1340">
        <f t="shared" si="380"/>
        <v>64.420361999999997</v>
      </c>
      <c r="BF122" s="1340">
        <f t="shared" si="380"/>
        <v>49.947899999999997</v>
      </c>
      <c r="BG122" s="1340">
        <f t="shared" si="380"/>
        <v>54.161822999999998</v>
      </c>
      <c r="BH122" s="1340">
        <f t="shared" si="380"/>
        <v>62.527476</v>
      </c>
      <c r="BI122" s="1340">
        <f t="shared" si="380"/>
        <v>54.133682999999998</v>
      </c>
      <c r="BJ122" s="1340">
        <f t="shared" si="380"/>
        <v>52.358246000000001</v>
      </c>
      <c r="BK122" s="1340">
        <f t="shared" si="380"/>
        <v>53.733815999999997</v>
      </c>
      <c r="BL122" s="1340">
        <f t="shared" si="380"/>
        <v>57.443496999999994</v>
      </c>
      <c r="BM122" s="1340">
        <f t="shared" si="380"/>
        <v>51.968959999999996</v>
      </c>
      <c r="BN122" s="1340">
        <f t="shared" si="380"/>
        <v>74.50984600000001</v>
      </c>
      <c r="BO122" s="1340">
        <f t="shared" si="380"/>
        <v>52.000540999999998</v>
      </c>
      <c r="BP122" s="1340">
        <f t="shared" si="380"/>
        <v>136.67858000000001</v>
      </c>
      <c r="BQ122" s="1710">
        <f t="shared" ref="BQ122:CC122" si="381">BQ46-BQ170</f>
        <v>783.1864119999999</v>
      </c>
      <c r="BR122" s="1930">
        <f t="shared" si="381"/>
        <v>84.945335999999998</v>
      </c>
      <c r="BS122" s="1930">
        <f t="shared" si="381"/>
        <v>66.825074999999998</v>
      </c>
      <c r="BT122" s="1930">
        <f t="shared" si="381"/>
        <v>60.513421999999998</v>
      </c>
      <c r="BU122" s="1930">
        <f t="shared" si="381"/>
        <v>53.637171000000002</v>
      </c>
      <c r="BV122" s="1930">
        <f t="shared" si="381"/>
        <v>60.127521999999999</v>
      </c>
      <c r="BW122" s="1930">
        <f t="shared" si="381"/>
        <v>58.672145999999998</v>
      </c>
      <c r="BX122" s="1930">
        <f t="shared" si="381"/>
        <v>61.714564000000003</v>
      </c>
      <c r="BY122" s="1930">
        <f t="shared" si="381"/>
        <v>64.443855999999997</v>
      </c>
      <c r="BZ122" s="1930">
        <f t="shared" si="381"/>
        <v>58.514485999999998</v>
      </c>
      <c r="CA122" s="1930">
        <f t="shared" si="381"/>
        <v>81.465980000000002</v>
      </c>
      <c r="CB122" s="1930">
        <f t="shared" si="381"/>
        <v>58.791854000000001</v>
      </c>
      <c r="CC122" s="1931">
        <f t="shared" si="381"/>
        <v>73.534999999999997</v>
      </c>
      <c r="CD122" s="1710">
        <f t="shared" ref="CD122:CP122" si="382">CD46-CD170</f>
        <v>886.86351400000001</v>
      </c>
      <c r="CE122" s="1930">
        <f t="shared" si="382"/>
        <v>73.289779999999993</v>
      </c>
      <c r="CF122" s="1930">
        <f t="shared" si="382"/>
        <v>55.032052</v>
      </c>
      <c r="CG122" s="1930">
        <f t="shared" si="382"/>
        <v>70.889920000000004</v>
      </c>
      <c r="CH122" s="1930">
        <f t="shared" si="382"/>
        <v>68.556836000000004</v>
      </c>
      <c r="CI122" s="1930">
        <f t="shared" si="382"/>
        <v>115.892481</v>
      </c>
      <c r="CJ122" s="1930">
        <f t="shared" si="382"/>
        <v>68.209175999999999</v>
      </c>
      <c r="CK122" s="1930">
        <f t="shared" si="382"/>
        <v>67.824595000000002</v>
      </c>
      <c r="CL122" s="1930">
        <f t="shared" si="382"/>
        <v>72.204939999999993</v>
      </c>
      <c r="CM122" s="1930">
        <f t="shared" si="382"/>
        <v>70.528009999999995</v>
      </c>
      <c r="CN122" s="1930">
        <f t="shared" si="382"/>
        <v>70.509349999999998</v>
      </c>
      <c r="CO122" s="1930">
        <f t="shared" si="382"/>
        <v>66.152341000000007</v>
      </c>
      <c r="CP122" s="1931">
        <f t="shared" si="382"/>
        <v>87.774033000000003</v>
      </c>
      <c r="CQ122" s="1710">
        <f t="shared" si="360"/>
        <v>933.75119464270119</v>
      </c>
      <c r="CR122" s="1711">
        <f>기타운영비!CF39</f>
        <v>77.706941281566714</v>
      </c>
      <c r="CS122" s="1711">
        <f>기타운영비!CG39</f>
        <v>77.488991482839438</v>
      </c>
      <c r="CT122" s="1711">
        <f>기타운영비!CH39</f>
        <v>77.40370677898963</v>
      </c>
      <c r="CU122" s="1711">
        <f>기타운영비!CI39</f>
        <v>77.305155565652086</v>
      </c>
      <c r="CV122" s="1711">
        <f>기타운영비!CJ39</f>
        <v>77.54395273643155</v>
      </c>
      <c r="CW122" s="1711">
        <f>기타운영비!CK39</f>
        <v>77.564800108483709</v>
      </c>
      <c r="CX122" s="1711">
        <f>기타운영비!CL39</f>
        <v>78.031023156195971</v>
      </c>
      <c r="CY122" s="1711">
        <f>기타운영비!CM39</f>
        <v>78.051870528248145</v>
      </c>
      <c r="CZ122" s="1711">
        <f>기타운영비!CN39</f>
        <v>78.290667699027608</v>
      </c>
      <c r="DA122" s="1711">
        <f>기타운영비!CO39</f>
        <v>78.093565272352492</v>
      </c>
      <c r="DB122" s="1711">
        <f>기타운영비!CP39</f>
        <v>77.896462845677405</v>
      </c>
      <c r="DC122" s="2286">
        <f>기타운영비!CQ39</f>
        <v>78.374057187236303</v>
      </c>
      <c r="DD122" s="25"/>
      <c r="DE122" s="25"/>
      <c r="DF122" s="25"/>
      <c r="DG122" s="2975"/>
      <c r="DH122" s="2976">
        <f t="shared" si="218"/>
        <v>0.13237857604710346</v>
      </c>
      <c r="DI122" s="2976">
        <f t="shared" si="219"/>
        <v>5.2869105451440523E-2</v>
      </c>
      <c r="DJ122" s="2976"/>
      <c r="DK122" s="1884"/>
      <c r="DL122" s="2718"/>
      <c r="DM122" s="2718"/>
    </row>
    <row r="123" spans="2:117" ht="20.25" customHeight="1">
      <c r="B123" s="40" t="s">
        <v>90</v>
      </c>
      <c r="C123" s="41"/>
      <c r="D123" s="66"/>
      <c r="E123" s="1340"/>
      <c r="F123" s="1340"/>
      <c r="G123" s="1340"/>
      <c r="H123" s="1340"/>
      <c r="I123" s="1340"/>
      <c r="J123" s="1340"/>
      <c r="K123" s="1340"/>
      <c r="L123" s="1340"/>
      <c r="M123" s="1340"/>
      <c r="N123" s="1340"/>
      <c r="O123" s="1340"/>
      <c r="P123" s="1340"/>
      <c r="Q123" s="64">
        <f t="shared" si="361"/>
        <v>193.23578799999996</v>
      </c>
      <c r="R123" s="1340">
        <f>기타운영비!F43</f>
        <v>12.868449999999999</v>
      </c>
      <c r="S123" s="1340">
        <f>기타운영비!G43</f>
        <v>10.75216</v>
      </c>
      <c r="T123" s="1340">
        <f>기타운영비!H43</f>
        <v>12.547750000000001</v>
      </c>
      <c r="U123" s="1340">
        <f>기타운영비!I43</f>
        <v>16.64273</v>
      </c>
      <c r="V123" s="1340">
        <f>기타운영비!J43</f>
        <v>9.6627700000000001</v>
      </c>
      <c r="W123" s="1340">
        <f>기타운영비!K43</f>
        <v>7.2116069999999999</v>
      </c>
      <c r="X123" s="1340">
        <f>기타운영비!L43</f>
        <v>17.62509</v>
      </c>
      <c r="Y123" s="1340">
        <f>기타운영비!M43</f>
        <v>74.314899999999994</v>
      </c>
      <c r="Z123" s="1340">
        <f>기타운영비!N43</f>
        <v>7.3954700000000004</v>
      </c>
      <c r="AA123" s="1340">
        <f>기타운영비!O43</f>
        <v>10.517511000000001</v>
      </c>
      <c r="AB123" s="1340">
        <f>기타운영비!P43</f>
        <v>7.1087499999999997</v>
      </c>
      <c r="AC123" s="1341">
        <f>기타운영비!Q43</f>
        <v>6.5885999999999996</v>
      </c>
      <c r="AD123" s="64">
        <f t="shared" si="285"/>
        <v>202.40366399999999</v>
      </c>
      <c r="AE123" s="1340">
        <f>기타운영비!S43</f>
        <v>11.44388</v>
      </c>
      <c r="AF123" s="1340">
        <f>기타운영비!T43</f>
        <v>6.1403699999999999</v>
      </c>
      <c r="AG123" s="1340">
        <f>기타운영비!U43</f>
        <v>7.3143000000000002</v>
      </c>
      <c r="AH123" s="1340">
        <f>기타운영비!V43</f>
        <v>15.559189999999999</v>
      </c>
      <c r="AI123" s="1340">
        <f>기타운영비!W43</f>
        <v>11.15775</v>
      </c>
      <c r="AJ123" s="1340">
        <f>기타운영비!X43</f>
        <v>8.4592179999999999</v>
      </c>
      <c r="AK123" s="1340">
        <f>기타운영비!Y43</f>
        <v>7.5685399999999996</v>
      </c>
      <c r="AL123" s="1340">
        <f>기타운영비!Z43</f>
        <v>100.58695</v>
      </c>
      <c r="AM123" s="1340">
        <f>기타운영비!AA43</f>
        <v>8.0209100000000007</v>
      </c>
      <c r="AN123" s="1340">
        <f>기타운영비!AB43</f>
        <v>9.0402660000000008</v>
      </c>
      <c r="AO123" s="1340">
        <f>기타운영비!AC43</f>
        <v>8.8894099999999998</v>
      </c>
      <c r="AP123" s="1340">
        <f>기타운영비!AD43</f>
        <v>8.22288</v>
      </c>
      <c r="AQ123" s="64">
        <f t="shared" si="213"/>
        <v>196.15882100000002</v>
      </c>
      <c r="AR123" s="1340"/>
      <c r="AS123" s="1340"/>
      <c r="AT123" s="1340"/>
      <c r="AU123" s="1340"/>
      <c r="AV123" s="1340"/>
      <c r="AW123" s="1340"/>
      <c r="AX123" s="1340"/>
      <c r="AY123" s="1340"/>
      <c r="AZ123" s="1340"/>
      <c r="BA123" s="1340"/>
      <c r="BB123" s="1340"/>
      <c r="BC123" s="1340"/>
      <c r="BD123" s="64">
        <f t="shared" ref="BD123:BP123" si="383">BD47-BD171</f>
        <v>193.87601900000001</v>
      </c>
      <c r="BE123" s="1340">
        <f t="shared" si="383"/>
        <v>8.8558400000000006</v>
      </c>
      <c r="BF123" s="1340">
        <f t="shared" si="383"/>
        <v>9.8330900000000003</v>
      </c>
      <c r="BG123" s="1340">
        <f t="shared" si="383"/>
        <v>7.2264600000000003</v>
      </c>
      <c r="BH123" s="1340">
        <f t="shared" si="383"/>
        <v>16.525362000000001</v>
      </c>
      <c r="BI123" s="1340">
        <f t="shared" si="383"/>
        <v>8.1939899999999994</v>
      </c>
      <c r="BJ123" s="1340">
        <f t="shared" si="383"/>
        <v>7.6582100000000004</v>
      </c>
      <c r="BK123" s="1340">
        <f t="shared" si="383"/>
        <v>6.9799699999999998</v>
      </c>
      <c r="BL123" s="1340">
        <f t="shared" si="383"/>
        <v>95.802490000000006</v>
      </c>
      <c r="BM123" s="1340">
        <f t="shared" si="383"/>
        <v>6.8324100000000003</v>
      </c>
      <c r="BN123" s="1340">
        <f t="shared" si="383"/>
        <v>8.2867899999999999</v>
      </c>
      <c r="BO123" s="1340">
        <f t="shared" si="383"/>
        <v>8.0620250000000002</v>
      </c>
      <c r="BP123" s="1340">
        <f t="shared" si="383"/>
        <v>9.6193819999999999</v>
      </c>
      <c r="BQ123" s="1710">
        <f t="shared" ref="BQ123:CC123" si="384">BQ47-BQ171</f>
        <v>233.32802800000002</v>
      </c>
      <c r="BR123" s="1930">
        <f t="shared" si="384"/>
        <v>10.385249999999999</v>
      </c>
      <c r="BS123" s="1930">
        <f t="shared" si="384"/>
        <v>6.5329100000000002</v>
      </c>
      <c r="BT123" s="1930">
        <f t="shared" si="384"/>
        <v>8.2549700000000001</v>
      </c>
      <c r="BU123" s="1930">
        <f t="shared" si="384"/>
        <v>18.072389999999999</v>
      </c>
      <c r="BV123" s="1930">
        <f t="shared" si="384"/>
        <v>11.349360000000001</v>
      </c>
      <c r="BW123" s="1930">
        <f t="shared" si="384"/>
        <v>10.00121</v>
      </c>
      <c r="BX123" s="1930">
        <f t="shared" si="384"/>
        <v>11.129148000000001</v>
      </c>
      <c r="BY123" s="1930">
        <f t="shared" si="384"/>
        <v>105.71973199999999</v>
      </c>
      <c r="BZ123" s="1930">
        <f t="shared" si="384"/>
        <v>10.55264</v>
      </c>
      <c r="CA123" s="1930">
        <f t="shared" si="384"/>
        <v>14.507149999999999</v>
      </c>
      <c r="CB123" s="1930">
        <f t="shared" si="384"/>
        <v>15.281978000000001</v>
      </c>
      <c r="CC123" s="1931">
        <f t="shared" si="384"/>
        <v>11.54129</v>
      </c>
      <c r="CD123" s="1710">
        <f t="shared" ref="CD123:CP123" si="385">CD47-CD171</f>
        <v>241.69809099999998</v>
      </c>
      <c r="CE123" s="1930">
        <f t="shared" si="385"/>
        <v>17.11458</v>
      </c>
      <c r="CF123" s="1930">
        <f t="shared" si="385"/>
        <v>11.417199999999999</v>
      </c>
      <c r="CG123" s="1930">
        <f t="shared" si="385"/>
        <v>11.912979999999999</v>
      </c>
      <c r="CH123" s="1930">
        <f t="shared" si="385"/>
        <v>10.674939999999999</v>
      </c>
      <c r="CI123" s="1930">
        <f t="shared" si="385"/>
        <v>13.042776999999999</v>
      </c>
      <c r="CJ123" s="1930">
        <f t="shared" si="385"/>
        <v>11.700329999999999</v>
      </c>
      <c r="CK123" s="1930">
        <f t="shared" si="385"/>
        <v>11.11294</v>
      </c>
      <c r="CL123" s="1930">
        <f t="shared" si="385"/>
        <v>15.553900000000001</v>
      </c>
      <c r="CM123" s="1930">
        <f t="shared" si="385"/>
        <v>98.789079999999998</v>
      </c>
      <c r="CN123" s="1930">
        <f t="shared" si="385"/>
        <v>13.603249</v>
      </c>
      <c r="CO123" s="1930">
        <f t="shared" si="385"/>
        <v>15.828279999999999</v>
      </c>
      <c r="CP123" s="1931">
        <f t="shared" si="385"/>
        <v>10.947835</v>
      </c>
      <c r="CQ123" s="1710">
        <f t="shared" si="360"/>
        <v>258.92561399999994</v>
      </c>
      <c r="CR123" s="1711">
        <f>기타운영비!CF43</f>
        <v>13.243801166666664</v>
      </c>
      <c r="CS123" s="1711">
        <f>기타운영비!CG43</f>
        <v>13.243801166666664</v>
      </c>
      <c r="CT123" s="1711">
        <f>기타운영비!CH43</f>
        <v>13.243801166666664</v>
      </c>
      <c r="CU123" s="1711">
        <f>기타운영비!CI43</f>
        <v>13.243801166666664</v>
      </c>
      <c r="CV123" s="1711">
        <f>기타운영비!CJ43</f>
        <v>13.243801166666664</v>
      </c>
      <c r="CW123" s="1711">
        <f>기타운영비!CK43</f>
        <v>13.243801166666664</v>
      </c>
      <c r="CX123" s="1711">
        <f>기타운영비!CL43</f>
        <v>13.243801166666664</v>
      </c>
      <c r="CY123" s="1711">
        <f>기타운영비!CM43</f>
        <v>113.24380116666666</v>
      </c>
      <c r="CZ123" s="1711">
        <f>기타운영비!CN43</f>
        <v>13.243801166666664</v>
      </c>
      <c r="DA123" s="1711">
        <f>기타운영비!CO43</f>
        <v>13.243801166666664</v>
      </c>
      <c r="DB123" s="1711">
        <f>기타운영비!CP43</f>
        <v>13.243801166666664</v>
      </c>
      <c r="DC123" s="2286">
        <f>기타운영비!CQ43</f>
        <v>13.243801166666664</v>
      </c>
      <c r="DD123" s="25"/>
      <c r="DE123" s="25"/>
      <c r="DF123" s="25"/>
      <c r="DG123" s="2975"/>
      <c r="DH123" s="2976">
        <f t="shared" si="218"/>
        <v>3.5872514209908557E-2</v>
      </c>
      <c r="DI123" s="2976">
        <f t="shared" si="219"/>
        <v>7.1277033793369693E-2</v>
      </c>
      <c r="DJ123" s="2976"/>
      <c r="DK123" s="1884"/>
      <c r="DL123" s="2718"/>
      <c r="DM123" s="2718"/>
    </row>
    <row r="124" spans="2:117" ht="20.25" customHeight="1">
      <c r="B124" s="47" t="s">
        <v>91</v>
      </c>
      <c r="C124" s="41"/>
      <c r="D124" s="66"/>
      <c r="E124" s="1340"/>
      <c r="F124" s="1340"/>
      <c r="G124" s="1340"/>
      <c r="H124" s="1340"/>
      <c r="I124" s="1340"/>
      <c r="J124" s="1340"/>
      <c r="K124" s="1340"/>
      <c r="L124" s="1340"/>
      <c r="M124" s="1340"/>
      <c r="N124" s="1340"/>
      <c r="O124" s="1340"/>
      <c r="P124" s="1340"/>
      <c r="Q124" s="64">
        <f t="shared" si="361"/>
        <v>832.08382299999982</v>
      </c>
      <c r="R124" s="1340">
        <f>기타운영비!F44</f>
        <v>70.689469000000003</v>
      </c>
      <c r="S124" s="1340">
        <f>기타운영비!G44</f>
        <v>71.844575000000006</v>
      </c>
      <c r="T124" s="1340">
        <f>기타운영비!H44</f>
        <v>70.641704000000004</v>
      </c>
      <c r="U124" s="1340">
        <f>기타운영비!I44</f>
        <v>64.720895999999996</v>
      </c>
      <c r="V124" s="1340">
        <f>기타운영비!J44</f>
        <v>66.428392000000002</v>
      </c>
      <c r="W124" s="1340">
        <f>기타운영비!K44</f>
        <v>69.767897000000005</v>
      </c>
      <c r="X124" s="1340">
        <f>기타운영비!L44</f>
        <v>74.471566999999993</v>
      </c>
      <c r="Y124" s="1340">
        <f>기타운영비!M44</f>
        <v>66.495339999999999</v>
      </c>
      <c r="Z124" s="1340">
        <f>기타운영비!N44</f>
        <v>65.554509999999993</v>
      </c>
      <c r="AA124" s="1340">
        <f>기타운영비!O44</f>
        <v>64.103891000000004</v>
      </c>
      <c r="AB124" s="1340">
        <f>기타운영비!P44</f>
        <v>67.264770999999996</v>
      </c>
      <c r="AC124" s="1341">
        <f>기타운영비!Q44</f>
        <v>80.100810999999993</v>
      </c>
      <c r="AD124" s="64">
        <f t="shared" si="285"/>
        <v>918.38006400000006</v>
      </c>
      <c r="AE124" s="1340">
        <f>기타운영비!S44</f>
        <v>74.633940999999993</v>
      </c>
      <c r="AF124" s="1340">
        <f>기타운영비!T44</f>
        <v>71.166649000000007</v>
      </c>
      <c r="AG124" s="1340">
        <f>기타운영비!U44</f>
        <v>75.755239000000003</v>
      </c>
      <c r="AH124" s="1340">
        <f>기타운영비!V44</f>
        <v>72.459930999999997</v>
      </c>
      <c r="AI124" s="1340">
        <f>기타운영비!W44</f>
        <v>73.461241999999999</v>
      </c>
      <c r="AJ124" s="1340">
        <f>기타운영비!X44</f>
        <v>78.524807999999993</v>
      </c>
      <c r="AK124" s="1340">
        <f>기타운영비!Y44</f>
        <v>83.997309999999999</v>
      </c>
      <c r="AL124" s="1340">
        <f>기타운영비!Z44</f>
        <v>76.581008999999995</v>
      </c>
      <c r="AM124" s="1340">
        <f>기타운영비!AA44</f>
        <v>74.944796999999994</v>
      </c>
      <c r="AN124" s="1340">
        <f>기타운영비!AB44</f>
        <v>75.294245000000004</v>
      </c>
      <c r="AO124" s="1340">
        <f>기타운영비!AC44</f>
        <v>79.698428000000007</v>
      </c>
      <c r="AP124" s="1340">
        <f>기타운영비!AD44</f>
        <v>81.862465</v>
      </c>
      <c r="AQ124" s="64">
        <f t="shared" si="213"/>
        <v>1007.4548179999999</v>
      </c>
      <c r="AR124" s="1340"/>
      <c r="AS124" s="1340"/>
      <c r="AT124" s="1340"/>
      <c r="AU124" s="1340"/>
      <c r="AV124" s="1340"/>
      <c r="AW124" s="1340"/>
      <c r="AX124" s="1340"/>
      <c r="AY124" s="1340"/>
      <c r="AZ124" s="1340"/>
      <c r="BA124" s="1340"/>
      <c r="BB124" s="1340"/>
      <c r="BC124" s="1340"/>
      <c r="BD124" s="64">
        <f t="shared" ref="BD124:BP124" si="386">BD48-BD172</f>
        <v>1080.4895980000001</v>
      </c>
      <c r="BE124" s="1340">
        <f t="shared" si="386"/>
        <v>90.245945000000006</v>
      </c>
      <c r="BF124" s="1340">
        <f t="shared" si="386"/>
        <v>87.151295000000005</v>
      </c>
      <c r="BG124" s="1340">
        <f t="shared" si="386"/>
        <v>96.471896999999998</v>
      </c>
      <c r="BH124" s="1340">
        <f t="shared" si="386"/>
        <v>84.275239999999997</v>
      </c>
      <c r="BI124" s="1340">
        <f t="shared" si="386"/>
        <v>84.903396000000001</v>
      </c>
      <c r="BJ124" s="1340">
        <f t="shared" si="386"/>
        <v>86.525572999999994</v>
      </c>
      <c r="BK124" s="1340">
        <f t="shared" si="386"/>
        <v>91.178783999999993</v>
      </c>
      <c r="BL124" s="1340">
        <f t="shared" si="386"/>
        <v>95.754007999999999</v>
      </c>
      <c r="BM124" s="1340">
        <f t="shared" si="386"/>
        <v>89.888686000000007</v>
      </c>
      <c r="BN124" s="1340">
        <f t="shared" si="386"/>
        <v>88.429378</v>
      </c>
      <c r="BO124" s="1340">
        <f t="shared" si="386"/>
        <v>88.864018000000002</v>
      </c>
      <c r="BP124" s="1340">
        <f t="shared" si="386"/>
        <v>96.801378</v>
      </c>
      <c r="BQ124" s="1710">
        <f t="shared" ref="BQ124:CC124" si="387">BQ48-BQ172</f>
        <v>1164.996895</v>
      </c>
      <c r="BR124" s="1930">
        <f t="shared" si="387"/>
        <v>100.305092</v>
      </c>
      <c r="BS124" s="1930">
        <f t="shared" si="387"/>
        <v>90.885180000000005</v>
      </c>
      <c r="BT124" s="1930">
        <f t="shared" si="387"/>
        <v>92.488979999999998</v>
      </c>
      <c r="BU124" s="1930">
        <f t="shared" si="387"/>
        <v>89.238587999999993</v>
      </c>
      <c r="BV124" s="1930">
        <f t="shared" si="387"/>
        <v>88.310844000000003</v>
      </c>
      <c r="BW124" s="1930">
        <f t="shared" si="387"/>
        <v>96.327995999999999</v>
      </c>
      <c r="BX124" s="1930">
        <f t="shared" si="387"/>
        <v>99.366741000000005</v>
      </c>
      <c r="BY124" s="1930">
        <f t="shared" si="387"/>
        <v>101.59487300000001</v>
      </c>
      <c r="BZ124" s="1930">
        <f t="shared" si="387"/>
        <v>93.022769999999994</v>
      </c>
      <c r="CA124" s="1930">
        <f t="shared" si="387"/>
        <v>95.830389999999994</v>
      </c>
      <c r="CB124" s="1930">
        <f t="shared" si="387"/>
        <v>109.13377800000001</v>
      </c>
      <c r="CC124" s="1931">
        <f t="shared" si="387"/>
        <v>108.491663</v>
      </c>
      <c r="CD124" s="1710">
        <f t="shared" ref="CD124:CP124" si="388">CD48-CD172</f>
        <v>1287.7631480000002</v>
      </c>
      <c r="CE124" s="1930">
        <f t="shared" si="388"/>
        <v>105.416647</v>
      </c>
      <c r="CF124" s="1930">
        <f t="shared" si="388"/>
        <v>112.32548</v>
      </c>
      <c r="CG124" s="1930">
        <f t="shared" si="388"/>
        <v>108.05552400000001</v>
      </c>
      <c r="CH124" s="1930">
        <f t="shared" si="388"/>
        <v>101.903395</v>
      </c>
      <c r="CI124" s="1930">
        <f t="shared" si="388"/>
        <v>101.405669</v>
      </c>
      <c r="CJ124" s="1930">
        <f t="shared" si="388"/>
        <v>99.325541000000001</v>
      </c>
      <c r="CK124" s="1930">
        <f t="shared" si="388"/>
        <v>111.09965699999999</v>
      </c>
      <c r="CL124" s="1930">
        <f t="shared" si="388"/>
        <v>106.48882999999999</v>
      </c>
      <c r="CM124" s="1930">
        <f t="shared" si="388"/>
        <v>112.067145</v>
      </c>
      <c r="CN124" s="1930">
        <f t="shared" si="388"/>
        <v>99.567847</v>
      </c>
      <c r="CO124" s="1930">
        <f t="shared" si="388"/>
        <v>110.94134</v>
      </c>
      <c r="CP124" s="1931">
        <f t="shared" si="388"/>
        <v>119.166073</v>
      </c>
      <c r="CQ124" s="1710">
        <f t="shared" si="360"/>
        <v>1346.6629519444871</v>
      </c>
      <c r="CR124" s="1711">
        <f>기타운영비!CF44</f>
        <v>112.02654604723412</v>
      </c>
      <c r="CS124" s="1711">
        <f>기타운영비!CG44</f>
        <v>111.62354764897862</v>
      </c>
      <c r="CT124" s="1711">
        <f>기타운영비!CH44</f>
        <v>111.46585262357429</v>
      </c>
      <c r="CU124" s="1711">
        <f>기타운영비!CI44</f>
        <v>111.28362726088484</v>
      </c>
      <c r="CV124" s="1711">
        <f>기타운영비!CJ44</f>
        <v>111.72517333201696</v>
      </c>
      <c r="CW124" s="1711">
        <f>기타운영비!CK44</f>
        <v>111.76372100489357</v>
      </c>
      <c r="CX124" s="1711">
        <f>기타운영비!CL44</f>
        <v>112.62578714377059</v>
      </c>
      <c r="CY124" s="1711">
        <f>기타운영비!CM44</f>
        <v>112.66433481664718</v>
      </c>
      <c r="CZ124" s="1711">
        <f>기타운영비!CN44</f>
        <v>113.10588088777931</v>
      </c>
      <c r="DA124" s="1711">
        <f>기타운영비!CO44</f>
        <v>112.74143016240041</v>
      </c>
      <c r="DB124" s="1711">
        <f>기타운영비!CP44</f>
        <v>112.37697943702152</v>
      </c>
      <c r="DC124" s="2286">
        <f>기타운영비!CQ44</f>
        <v>113.26007157928575</v>
      </c>
      <c r="DD124" s="25"/>
      <c r="DE124" s="25"/>
      <c r="DF124" s="25"/>
      <c r="DG124" s="2975"/>
      <c r="DH124" s="2976">
        <f t="shared" si="218"/>
        <v>0.1053790387999276</v>
      </c>
      <c r="DI124" s="2976">
        <f t="shared" si="219"/>
        <v>4.5738072281353181E-2</v>
      </c>
      <c r="DJ124" s="2976"/>
      <c r="DK124" s="1884"/>
      <c r="DL124" s="2718"/>
      <c r="DM124" s="2718"/>
    </row>
    <row r="125" spans="2:117" ht="20.25" customHeight="1">
      <c r="B125" s="47" t="s">
        <v>92</v>
      </c>
      <c r="C125" s="41"/>
      <c r="D125" s="66"/>
      <c r="E125" s="1340"/>
      <c r="F125" s="1340"/>
      <c r="G125" s="1340"/>
      <c r="H125" s="1340"/>
      <c r="I125" s="1340"/>
      <c r="J125" s="1340"/>
      <c r="K125" s="1340"/>
      <c r="L125" s="1340"/>
      <c r="M125" s="1340"/>
      <c r="N125" s="1340"/>
      <c r="O125" s="1340"/>
      <c r="P125" s="1340"/>
      <c r="Q125" s="64">
        <f t="shared" si="361"/>
        <v>119.72083300000001</v>
      </c>
      <c r="R125" s="1340">
        <f>기타운영비!F46</f>
        <v>14.969009</v>
      </c>
      <c r="S125" s="1340">
        <f>기타운영비!G46</f>
        <v>12.045540000000001</v>
      </c>
      <c r="T125" s="1340">
        <f>기타운영비!H46</f>
        <v>9.9604990000000004</v>
      </c>
      <c r="U125" s="1340">
        <f>기타운영비!I46</f>
        <v>6.4630000000000001</v>
      </c>
      <c r="V125" s="1340">
        <f>기타운영비!J46</f>
        <v>8.4376999999999995</v>
      </c>
      <c r="W125" s="1340">
        <f>기타운영비!K46</f>
        <v>14.673814999999999</v>
      </c>
      <c r="X125" s="1340">
        <f>기타운영비!L46</f>
        <v>12.2072</v>
      </c>
      <c r="Y125" s="1340">
        <f>기타운영비!M46</f>
        <v>7.6589999999999998</v>
      </c>
      <c r="Z125" s="1340">
        <f>기타운영비!N46</f>
        <v>5.9127999999999998</v>
      </c>
      <c r="AA125" s="1340">
        <f>기타운영비!O46</f>
        <v>10.72517</v>
      </c>
      <c r="AB125" s="1340">
        <f>기타운영비!P46</f>
        <v>10.8886</v>
      </c>
      <c r="AC125" s="1341">
        <f>기타운영비!Q46</f>
        <v>5.7785000000000002</v>
      </c>
      <c r="AD125" s="64">
        <f t="shared" si="285"/>
        <v>110.0504</v>
      </c>
      <c r="AE125" s="1340">
        <f>기타운영비!S46</f>
        <v>8.6281400000000001</v>
      </c>
      <c r="AF125" s="1340">
        <f>기타운영비!T46</f>
        <v>7.639456</v>
      </c>
      <c r="AG125" s="1340">
        <f>기타운영비!U46</f>
        <v>14.320209999999999</v>
      </c>
      <c r="AH125" s="1340">
        <f>기타운영비!V46</f>
        <v>10.833500000000001</v>
      </c>
      <c r="AI125" s="1340">
        <f>기타운영비!W46</f>
        <v>9.2927800000000005</v>
      </c>
      <c r="AJ125" s="1340">
        <f>기타운영비!X46</f>
        <v>12.785600000000001</v>
      </c>
      <c r="AK125" s="1340">
        <f>기타운영비!Y46</f>
        <v>8.5349430000000002</v>
      </c>
      <c r="AL125" s="1340">
        <f>기타운영비!Z46</f>
        <v>4.9768999999999997</v>
      </c>
      <c r="AM125" s="1340">
        <f>기타운영비!AA46</f>
        <v>5.0213999999999999</v>
      </c>
      <c r="AN125" s="1340">
        <f>기타운영비!AB46</f>
        <v>5.2656999999999998</v>
      </c>
      <c r="AO125" s="1340">
        <f>기타운영비!AC46</f>
        <v>12.644470999999999</v>
      </c>
      <c r="AP125" s="1340">
        <f>기타운영비!AD46</f>
        <v>10.1073</v>
      </c>
      <c r="AQ125" s="64">
        <f t="shared" si="213"/>
        <v>203.299466</v>
      </c>
      <c r="AR125" s="1340"/>
      <c r="AS125" s="1340"/>
      <c r="AT125" s="1340"/>
      <c r="AU125" s="1340"/>
      <c r="AV125" s="1340"/>
      <c r="AW125" s="1340"/>
      <c r="AX125" s="1340"/>
      <c r="AY125" s="1340"/>
      <c r="AZ125" s="1340"/>
      <c r="BA125" s="1340"/>
      <c r="BB125" s="1340"/>
      <c r="BC125" s="1340"/>
      <c r="BD125" s="64">
        <f t="shared" ref="BD125:BP125" si="389">BD49-BD173</f>
        <v>210.56455100000002</v>
      </c>
      <c r="BE125" s="1340">
        <f t="shared" si="389"/>
        <v>17.90775</v>
      </c>
      <c r="BF125" s="1340">
        <f t="shared" si="389"/>
        <v>11.828809</v>
      </c>
      <c r="BG125" s="1340">
        <f t="shared" si="389"/>
        <v>17.011849999999999</v>
      </c>
      <c r="BH125" s="1340">
        <f t="shared" si="389"/>
        <v>15.713374999999999</v>
      </c>
      <c r="BI125" s="1340">
        <f t="shared" si="389"/>
        <v>13.756180000000001</v>
      </c>
      <c r="BJ125" s="1340">
        <f t="shared" si="389"/>
        <v>14.690020000000001</v>
      </c>
      <c r="BK125" s="1340">
        <f t="shared" si="389"/>
        <v>19.940860000000001</v>
      </c>
      <c r="BL125" s="1340">
        <f t="shared" si="389"/>
        <v>15.399900000000001</v>
      </c>
      <c r="BM125" s="1340">
        <f t="shared" si="389"/>
        <v>19.53285</v>
      </c>
      <c r="BN125" s="1340">
        <f t="shared" si="389"/>
        <v>17.57375</v>
      </c>
      <c r="BO125" s="1340">
        <f t="shared" si="389"/>
        <v>19.549009000000002</v>
      </c>
      <c r="BP125" s="1340">
        <f t="shared" si="389"/>
        <v>27.660198000000001</v>
      </c>
      <c r="BQ125" s="1710">
        <f t="shared" ref="BQ125:CC125" si="390">BQ49-BQ173</f>
        <v>408.28156499999994</v>
      </c>
      <c r="BR125" s="1930">
        <f t="shared" si="390"/>
        <v>14.33085</v>
      </c>
      <c r="BS125" s="1930">
        <f t="shared" si="390"/>
        <v>31.954281999999999</v>
      </c>
      <c r="BT125" s="1930">
        <f t="shared" si="390"/>
        <v>29.929148999999999</v>
      </c>
      <c r="BU125" s="1930">
        <f t="shared" si="390"/>
        <v>37.208734</v>
      </c>
      <c r="BV125" s="1930">
        <f t="shared" si="390"/>
        <v>25.859484999999999</v>
      </c>
      <c r="BW125" s="1930">
        <f t="shared" si="390"/>
        <v>30.561703999999999</v>
      </c>
      <c r="BX125" s="1930">
        <f t="shared" si="390"/>
        <v>38.620444999999997</v>
      </c>
      <c r="BY125" s="1930">
        <f t="shared" si="390"/>
        <v>36.977829</v>
      </c>
      <c r="BZ125" s="1930">
        <f t="shared" si="390"/>
        <v>29.196179999999998</v>
      </c>
      <c r="CA125" s="1930">
        <f t="shared" si="390"/>
        <v>42.125852999999999</v>
      </c>
      <c r="CB125" s="1930">
        <f t="shared" si="390"/>
        <v>50.900826000000002</v>
      </c>
      <c r="CC125" s="1931">
        <f t="shared" si="390"/>
        <v>40.616228</v>
      </c>
      <c r="CD125" s="1710">
        <f t="shared" ref="CD125:CP125" si="391">CD49-CD173</f>
        <v>584.98419899999988</v>
      </c>
      <c r="CE125" s="1930">
        <f t="shared" si="391"/>
        <v>45.411704999999998</v>
      </c>
      <c r="CF125" s="1930">
        <f t="shared" si="391"/>
        <v>53.513151999999998</v>
      </c>
      <c r="CG125" s="1930">
        <f t="shared" si="391"/>
        <v>59.293056</v>
      </c>
      <c r="CH125" s="1930">
        <f t="shared" si="391"/>
        <v>53.227117999999997</v>
      </c>
      <c r="CI125" s="1930">
        <f t="shared" si="391"/>
        <v>40.721719</v>
      </c>
      <c r="CJ125" s="1930">
        <f t="shared" si="391"/>
        <v>54.730980000000002</v>
      </c>
      <c r="CK125" s="1930">
        <f t="shared" si="391"/>
        <v>51.206105999999998</v>
      </c>
      <c r="CL125" s="1930">
        <f t="shared" si="391"/>
        <v>35.999037000000001</v>
      </c>
      <c r="CM125" s="1930">
        <f t="shared" si="391"/>
        <v>53.198766999999997</v>
      </c>
      <c r="CN125" s="1930">
        <f t="shared" si="391"/>
        <v>42.503084000000001</v>
      </c>
      <c r="CO125" s="1930">
        <f t="shared" si="391"/>
        <v>44.896455000000003</v>
      </c>
      <c r="CP125" s="1931">
        <f t="shared" si="391"/>
        <v>50.28302</v>
      </c>
      <c r="CQ125" s="1710">
        <f t="shared" si="360"/>
        <v>616.6097422075851</v>
      </c>
      <c r="CR125" s="1711">
        <f>기타운영비!CF46</f>
        <v>50.545996432054537</v>
      </c>
      <c r="CS125" s="1711">
        <f>기타운영비!CG46</f>
        <v>51.364164925870654</v>
      </c>
      <c r="CT125" s="1711">
        <f>기타운영비!CH46</f>
        <v>51.293013466929139</v>
      </c>
      <c r="CU125" s="1711">
        <f>기타운영비!CI46</f>
        <v>51.210794003263381</v>
      </c>
      <c r="CV125" s="1711">
        <f>기타운영비!CJ46</f>
        <v>51.410018088299637</v>
      </c>
      <c r="CW125" s="1711">
        <f>기타운영비!CK46</f>
        <v>51.427410667152003</v>
      </c>
      <c r="CX125" s="1711">
        <f>기타운영비!CL46</f>
        <v>51.816371976032315</v>
      </c>
      <c r="CY125" s="1711">
        <f>기타운영비!CM46</f>
        <v>51.833764554884681</v>
      </c>
      <c r="CZ125" s="1711">
        <f>기타운영비!CN46</f>
        <v>52.032988639920937</v>
      </c>
      <c r="DA125" s="1711">
        <f>기타운영비!CO46</f>
        <v>51.868549712589427</v>
      </c>
      <c r="DB125" s="1711">
        <f>기타운영비!CP46</f>
        <v>50.70411078525791</v>
      </c>
      <c r="DC125" s="2286">
        <f>기타운영비!CQ46</f>
        <v>51.102558955330423</v>
      </c>
      <c r="DD125" s="25"/>
      <c r="DE125" s="25"/>
      <c r="DF125" s="25"/>
      <c r="DG125" s="2975"/>
      <c r="DH125" s="2976">
        <f t="shared" si="218"/>
        <v>0.43279601419182367</v>
      </c>
      <c r="DI125" s="2976">
        <f t="shared" si="219"/>
        <v>5.4062217854170092E-2</v>
      </c>
      <c r="DJ125" s="2976"/>
      <c r="DK125" s="1884"/>
      <c r="DL125" s="2718"/>
      <c r="DM125" s="2718"/>
    </row>
    <row r="126" spans="2:117" ht="20.25" customHeight="1">
      <c r="B126" s="47" t="s">
        <v>93</v>
      </c>
      <c r="C126" s="41"/>
      <c r="D126" s="66"/>
      <c r="E126" s="1340"/>
      <c r="F126" s="1340"/>
      <c r="G126" s="1340"/>
      <c r="H126" s="1340"/>
      <c r="I126" s="1340"/>
      <c r="J126" s="1340"/>
      <c r="K126" s="1340"/>
      <c r="L126" s="1340"/>
      <c r="M126" s="1340"/>
      <c r="N126" s="1340"/>
      <c r="O126" s="1340"/>
      <c r="P126" s="1340"/>
      <c r="Q126" s="64">
        <f t="shared" si="361"/>
        <v>3.4664160000000002</v>
      </c>
      <c r="R126" s="1340">
        <f>기타운영비!F48</f>
        <v>0.174654</v>
      </c>
      <c r="S126" s="1340">
        <f>기타운영비!G48</f>
        <v>0.200345</v>
      </c>
      <c r="T126" s="1340">
        <f>기타운영비!H48</f>
        <v>0.27954499999999999</v>
      </c>
      <c r="U126" s="1340">
        <f>기타운영비!I48</f>
        <v>5.3090999999999999E-2</v>
      </c>
      <c r="V126" s="1340">
        <f>기타운영비!J48</f>
        <v>0.16181899999999999</v>
      </c>
      <c r="W126" s="1340">
        <f>기타운영비!K48</f>
        <v>0.19372700000000001</v>
      </c>
      <c r="X126" s="1340">
        <f>기타운영비!L48</f>
        <v>6.4727000000000007E-2</v>
      </c>
      <c r="Y126" s="1340">
        <f>기타운영비!M48</f>
        <v>4.7817999999999999E-2</v>
      </c>
      <c r="Z126" s="1340">
        <f>기타운영비!N48</f>
        <v>0.06</v>
      </c>
      <c r="AA126" s="1340">
        <f>기타운영비!O48</f>
        <v>0.17408199999999999</v>
      </c>
      <c r="AB126" s="1340">
        <f>기타운영비!P48</f>
        <v>1.650163</v>
      </c>
      <c r="AC126" s="1341">
        <f>기타운영비!Q48</f>
        <v>0.406445</v>
      </c>
      <c r="AD126" s="64">
        <f t="shared" si="285"/>
        <v>2.9648170000000005</v>
      </c>
      <c r="AE126" s="1340">
        <f>기타운영비!S48</f>
        <v>6.6764000000000004E-2</v>
      </c>
      <c r="AF126" s="1340">
        <f>기타운영비!T48</f>
        <v>0</v>
      </c>
      <c r="AG126" s="1340">
        <f>기타운영비!U48</f>
        <v>7.4545E-2</v>
      </c>
      <c r="AH126" s="1340">
        <f>기타운영비!V48</f>
        <v>2.7817999999999999E-2</v>
      </c>
      <c r="AI126" s="1340">
        <f>기타운영비!W48</f>
        <v>0.863182</v>
      </c>
      <c r="AJ126" s="1340">
        <f>기타운영비!X48</f>
        <v>0.11233700000000001</v>
      </c>
      <c r="AK126" s="1340">
        <f>기타운영비!Y48</f>
        <v>0.29072700000000001</v>
      </c>
      <c r="AL126" s="1340">
        <f>기타운영비!Z48</f>
        <v>0.74210799999999999</v>
      </c>
      <c r="AM126" s="1340">
        <f>기타운영비!AA48</f>
        <v>0.13509099999999999</v>
      </c>
      <c r="AN126" s="1340">
        <f>기타운영비!AB48</f>
        <v>0.25715500000000002</v>
      </c>
      <c r="AO126" s="1340">
        <f>기타운영비!AC48</f>
        <v>0</v>
      </c>
      <c r="AP126" s="1340">
        <f>기타운영비!AD48</f>
        <v>0.39509</v>
      </c>
      <c r="AQ126" s="64">
        <f t="shared" si="213"/>
        <v>4.0553160000000004</v>
      </c>
      <c r="AR126" s="1340"/>
      <c r="AS126" s="1340"/>
      <c r="AT126" s="1340"/>
      <c r="AU126" s="1340"/>
      <c r="AV126" s="1340"/>
      <c r="AW126" s="1340"/>
      <c r="AX126" s="1340"/>
      <c r="AY126" s="1340"/>
      <c r="AZ126" s="1340"/>
      <c r="BA126" s="1340"/>
      <c r="BB126" s="1340"/>
      <c r="BC126" s="1340"/>
      <c r="BD126" s="64">
        <f t="shared" ref="BD126:BP126" si="392">BD50-BD174</f>
        <v>9.3871590000000005</v>
      </c>
      <c r="BE126" s="1340">
        <f t="shared" si="392"/>
        <v>0.184255</v>
      </c>
      <c r="BF126" s="1340">
        <f t="shared" si="392"/>
        <v>6.2728000000000006E-2</v>
      </c>
      <c r="BG126" s="1340">
        <f t="shared" si="392"/>
        <v>0</v>
      </c>
      <c r="BH126" s="1340">
        <f t="shared" si="392"/>
        <v>7.2728000000000001E-2</v>
      </c>
      <c r="BI126" s="1340">
        <f t="shared" si="392"/>
        <v>0</v>
      </c>
      <c r="BJ126" s="1340">
        <f t="shared" si="392"/>
        <v>0.66888199999999998</v>
      </c>
      <c r="BK126" s="1340">
        <f t="shared" si="392"/>
        <v>0</v>
      </c>
      <c r="BL126" s="1340">
        <f t="shared" si="392"/>
        <v>1.4265000000000001</v>
      </c>
      <c r="BM126" s="1340">
        <f t="shared" si="392"/>
        <v>6.6147280000000004</v>
      </c>
      <c r="BN126" s="1340">
        <f t="shared" si="392"/>
        <v>0.18110999999999999</v>
      </c>
      <c r="BO126" s="1340">
        <f t="shared" si="392"/>
        <v>0</v>
      </c>
      <c r="BP126" s="1340">
        <f t="shared" si="392"/>
        <v>0.176228</v>
      </c>
      <c r="BQ126" s="1710">
        <f t="shared" ref="BQ126:CC126" si="393">BQ50-BQ174</f>
        <v>1.1858469999999999</v>
      </c>
      <c r="BR126" s="1930">
        <f t="shared" si="393"/>
        <v>0.13421</v>
      </c>
      <c r="BS126" s="1930">
        <f t="shared" si="393"/>
        <v>0</v>
      </c>
      <c r="BT126" s="1930">
        <f t="shared" si="393"/>
        <v>0</v>
      </c>
      <c r="BU126" s="1930">
        <f t="shared" si="393"/>
        <v>0</v>
      </c>
      <c r="BV126" s="1930">
        <f t="shared" si="393"/>
        <v>0.58909100000000003</v>
      </c>
      <c r="BW126" s="1930">
        <f t="shared" si="393"/>
        <v>0</v>
      </c>
      <c r="BX126" s="1930">
        <f t="shared" si="393"/>
        <v>0</v>
      </c>
      <c r="BY126" s="1930">
        <f t="shared" si="393"/>
        <v>0.19091</v>
      </c>
      <c r="BZ126" s="1930">
        <f t="shared" si="393"/>
        <v>0</v>
      </c>
      <c r="CA126" s="1930">
        <f t="shared" si="393"/>
        <v>0</v>
      </c>
      <c r="CB126" s="1930">
        <f t="shared" si="393"/>
        <v>0</v>
      </c>
      <c r="CC126" s="1931">
        <f t="shared" si="393"/>
        <v>0.27163599999999999</v>
      </c>
      <c r="CD126" s="1710">
        <f t="shared" ref="CD126:CP126" si="394">CD50-CD174</f>
        <v>3.2498750000000003</v>
      </c>
      <c r="CE126" s="1930">
        <f t="shared" si="394"/>
        <v>0.23097200000000001</v>
      </c>
      <c r="CF126" s="1930">
        <f t="shared" si="394"/>
        <v>0.34778300000000001</v>
      </c>
      <c r="CG126" s="1930">
        <f t="shared" si="394"/>
        <v>0.141455</v>
      </c>
      <c r="CH126" s="1930">
        <f t="shared" si="394"/>
        <v>0.1573</v>
      </c>
      <c r="CI126" s="1930">
        <f t="shared" si="394"/>
        <v>0.105546</v>
      </c>
      <c r="CJ126" s="1930">
        <f t="shared" si="394"/>
        <v>2.0455000000000001E-2</v>
      </c>
      <c r="CK126" s="1930">
        <f t="shared" si="394"/>
        <v>0</v>
      </c>
      <c r="CL126" s="1930">
        <f t="shared" si="394"/>
        <v>0.35509099999999999</v>
      </c>
      <c r="CM126" s="1930">
        <f t="shared" si="394"/>
        <v>0</v>
      </c>
      <c r="CN126" s="1930">
        <f t="shared" si="394"/>
        <v>0.60709100000000005</v>
      </c>
      <c r="CO126" s="1930">
        <f t="shared" si="394"/>
        <v>0</v>
      </c>
      <c r="CP126" s="1931">
        <f t="shared" si="394"/>
        <v>1.2841819999999999</v>
      </c>
      <c r="CQ126" s="1710">
        <f t="shared" si="360"/>
        <v>3.9963456583660477</v>
      </c>
      <c r="CR126" s="1711">
        <f>기타운영비!CF48</f>
        <v>0.26512575400010169</v>
      </c>
      <c r="CS126" s="1711">
        <f>기타운영비!CG48</f>
        <v>0.26417200457223605</v>
      </c>
      <c r="CT126" s="1711">
        <f>기타운영비!CH48</f>
        <v>0.26379879827437552</v>
      </c>
      <c r="CU126" s="1711">
        <f>기타운영비!CI48</f>
        <v>0.26336753766351451</v>
      </c>
      <c r="CV126" s="1711">
        <f>기타운영비!CJ48</f>
        <v>0.26441251529752385</v>
      </c>
      <c r="CW126" s="1711">
        <f>기타운영비!CK48</f>
        <v>0.26450374350366751</v>
      </c>
      <c r="CX126" s="1711">
        <f>기타운영비!CL48</f>
        <v>0.26654393793197168</v>
      </c>
      <c r="CY126" s="1711">
        <f>기타운영비!CM48</f>
        <v>0.26663516613811533</v>
      </c>
      <c r="CZ126" s="1711">
        <f>기타운영비!CN48</f>
        <v>0.26768014377212479</v>
      </c>
      <c r="DA126" s="1711">
        <f>기타운영비!CO48</f>
        <v>0.2668176225504027</v>
      </c>
      <c r="DB126" s="1711">
        <f>기타운영비!CP48</f>
        <v>0.26595510132868067</v>
      </c>
      <c r="DC126" s="2286">
        <f>기타운영비!CQ48</f>
        <v>1.0773333333333335</v>
      </c>
      <c r="DD126" s="25"/>
      <c r="DE126" s="25"/>
      <c r="DF126" s="25"/>
      <c r="DG126" s="2975">
        <f>BQ126/BD126-1</f>
        <v>-0.87367349375886783</v>
      </c>
      <c r="DH126" s="2976">
        <f t="shared" si="218"/>
        <v>1.7405516900578242</v>
      </c>
      <c r="DI126" s="2976">
        <f t="shared" si="219"/>
        <v>0.22969211380931487</v>
      </c>
      <c r="DJ126" s="2976"/>
      <c r="DK126" s="1884"/>
      <c r="DL126" s="2718"/>
      <c r="DM126" s="2718"/>
    </row>
    <row r="127" spans="2:117">
      <c r="B127" s="48" t="s">
        <v>94</v>
      </c>
      <c r="C127" s="44"/>
      <c r="D127" s="45"/>
      <c r="E127" s="1346"/>
      <c r="F127" s="1346"/>
      <c r="G127" s="1346"/>
      <c r="H127" s="1346"/>
      <c r="I127" s="1346"/>
      <c r="J127" s="1346"/>
      <c r="K127" s="1346"/>
      <c r="L127" s="1346"/>
      <c r="M127" s="1346"/>
      <c r="N127" s="1346"/>
      <c r="O127" s="1346"/>
      <c r="P127" s="1346"/>
      <c r="Q127" s="1349">
        <f t="shared" si="361"/>
        <v>0</v>
      </c>
      <c r="R127" s="1346">
        <f>기타운영비!F50</f>
        <v>0</v>
      </c>
      <c r="S127" s="1346">
        <f>기타운영비!G50</f>
        <v>0</v>
      </c>
      <c r="T127" s="1346">
        <f>기타운영비!H50</f>
        <v>0</v>
      </c>
      <c r="U127" s="1346">
        <f>기타운영비!I50</f>
        <v>0</v>
      </c>
      <c r="V127" s="1346">
        <f>기타운영비!J50</f>
        <v>0</v>
      </c>
      <c r="W127" s="1346">
        <f>기타운영비!K50</f>
        <v>0</v>
      </c>
      <c r="X127" s="1346">
        <f>기타운영비!L50</f>
        <v>0</v>
      </c>
      <c r="Y127" s="1346">
        <f>기타운영비!M50</f>
        <v>0</v>
      </c>
      <c r="Z127" s="1346">
        <f>기타운영비!N50</f>
        <v>0</v>
      </c>
      <c r="AA127" s="1346">
        <f>기타운영비!O50</f>
        <v>0</v>
      </c>
      <c r="AB127" s="1346">
        <f>기타운영비!P50</f>
        <v>0</v>
      </c>
      <c r="AC127" s="1350">
        <f>기타운영비!Q50</f>
        <v>0</v>
      </c>
      <c r="AD127" s="1349">
        <f t="shared" si="285"/>
        <v>0</v>
      </c>
      <c r="AE127" s="1346">
        <f>기타운영비!S50</f>
        <v>0</v>
      </c>
      <c r="AF127" s="1346">
        <f>기타운영비!T50</f>
        <v>0</v>
      </c>
      <c r="AG127" s="1346">
        <f>기타운영비!U50</f>
        <v>0</v>
      </c>
      <c r="AH127" s="1346">
        <f>기타운영비!V50</f>
        <v>0</v>
      </c>
      <c r="AI127" s="1346">
        <f>기타운영비!W50</f>
        <v>0</v>
      </c>
      <c r="AJ127" s="1346">
        <f>기타운영비!X50</f>
        <v>0</v>
      </c>
      <c r="AK127" s="1346">
        <f>기타운영비!Y50</f>
        <v>0</v>
      </c>
      <c r="AL127" s="1346">
        <f>기타운영비!Z50</f>
        <v>0</v>
      </c>
      <c r="AM127" s="1346">
        <f>기타운영비!AA50</f>
        <v>0</v>
      </c>
      <c r="AN127" s="1346">
        <f>기타운영비!AB50</f>
        <v>0</v>
      </c>
      <c r="AO127" s="1346">
        <f>기타운영비!AC50</f>
        <v>0</v>
      </c>
      <c r="AP127" s="1346">
        <f>기타운영비!AD50</f>
        <v>0</v>
      </c>
      <c r="AQ127" s="1349">
        <f t="shared" si="213"/>
        <v>0</v>
      </c>
      <c r="AR127" s="1346"/>
      <c r="AS127" s="1346"/>
      <c r="AT127" s="1346"/>
      <c r="AU127" s="1346"/>
      <c r="AV127" s="1346"/>
      <c r="AW127" s="1346"/>
      <c r="AX127" s="1346"/>
      <c r="AY127" s="1346"/>
      <c r="AZ127" s="1346"/>
      <c r="BA127" s="1346"/>
      <c r="BB127" s="1346"/>
      <c r="BC127" s="1346"/>
      <c r="BD127" s="1349">
        <f t="shared" ref="BD127:BP127" si="395">BD51-BD175</f>
        <v>0</v>
      </c>
      <c r="BE127" s="1346">
        <f t="shared" si="395"/>
        <v>0</v>
      </c>
      <c r="BF127" s="1346">
        <f t="shared" si="395"/>
        <v>0</v>
      </c>
      <c r="BG127" s="1346">
        <f t="shared" si="395"/>
        <v>0</v>
      </c>
      <c r="BH127" s="1346">
        <f t="shared" si="395"/>
        <v>0</v>
      </c>
      <c r="BI127" s="1346">
        <f t="shared" si="395"/>
        <v>0</v>
      </c>
      <c r="BJ127" s="1346">
        <f t="shared" si="395"/>
        <v>0</v>
      </c>
      <c r="BK127" s="1346">
        <f t="shared" si="395"/>
        <v>0</v>
      </c>
      <c r="BL127" s="1346">
        <f t="shared" si="395"/>
        <v>0</v>
      </c>
      <c r="BM127" s="1346">
        <f t="shared" si="395"/>
        <v>0</v>
      </c>
      <c r="BN127" s="1346">
        <f t="shared" si="395"/>
        <v>0</v>
      </c>
      <c r="BO127" s="1346">
        <f t="shared" si="395"/>
        <v>0</v>
      </c>
      <c r="BP127" s="1346">
        <f t="shared" si="395"/>
        <v>0</v>
      </c>
      <c r="BQ127" s="1349">
        <f t="shared" ref="BQ127:CC127" si="396">BQ51-BQ175</f>
        <v>0</v>
      </c>
      <c r="BR127" s="1934">
        <f t="shared" si="396"/>
        <v>0</v>
      </c>
      <c r="BS127" s="1934">
        <f t="shared" si="396"/>
        <v>0</v>
      </c>
      <c r="BT127" s="1934">
        <f t="shared" si="396"/>
        <v>0</v>
      </c>
      <c r="BU127" s="1934">
        <f t="shared" si="396"/>
        <v>0</v>
      </c>
      <c r="BV127" s="1934">
        <f t="shared" si="396"/>
        <v>0</v>
      </c>
      <c r="BW127" s="1934">
        <f t="shared" si="396"/>
        <v>0</v>
      </c>
      <c r="BX127" s="1934">
        <f t="shared" si="396"/>
        <v>0</v>
      </c>
      <c r="BY127" s="1934">
        <f t="shared" si="396"/>
        <v>0</v>
      </c>
      <c r="BZ127" s="1934">
        <f t="shared" si="396"/>
        <v>0</v>
      </c>
      <c r="CA127" s="1934">
        <f t="shared" si="396"/>
        <v>0</v>
      </c>
      <c r="CB127" s="1934">
        <f t="shared" si="396"/>
        <v>0</v>
      </c>
      <c r="CC127" s="1921">
        <f t="shared" si="396"/>
        <v>0</v>
      </c>
      <c r="CD127" s="1349">
        <f t="shared" ref="CD127:CP127" si="397">CD51-CD175</f>
        <v>0</v>
      </c>
      <c r="CE127" s="2851">
        <f t="shared" si="397"/>
        <v>0</v>
      </c>
      <c r="CF127" s="2851">
        <f t="shared" si="397"/>
        <v>0</v>
      </c>
      <c r="CG127" s="2851">
        <f t="shared" si="397"/>
        <v>0</v>
      </c>
      <c r="CH127" s="2851">
        <f t="shared" si="397"/>
        <v>0</v>
      </c>
      <c r="CI127" s="2851">
        <f t="shared" si="397"/>
        <v>0</v>
      </c>
      <c r="CJ127" s="2851">
        <f t="shared" si="397"/>
        <v>0</v>
      </c>
      <c r="CK127" s="2851">
        <f t="shared" si="397"/>
        <v>0</v>
      </c>
      <c r="CL127" s="2851">
        <f t="shared" si="397"/>
        <v>0</v>
      </c>
      <c r="CM127" s="2851">
        <f t="shared" si="397"/>
        <v>0</v>
      </c>
      <c r="CN127" s="2851">
        <f t="shared" si="397"/>
        <v>0</v>
      </c>
      <c r="CO127" s="2851">
        <f t="shared" si="397"/>
        <v>0</v>
      </c>
      <c r="CP127" s="2878">
        <f t="shared" si="397"/>
        <v>0</v>
      </c>
      <c r="CQ127" s="1349">
        <f t="shared" si="360"/>
        <v>0</v>
      </c>
      <c r="CR127" s="2015">
        <f>기타운영비!CF50</f>
        <v>0</v>
      </c>
      <c r="CS127" s="2015">
        <f>기타운영비!CG50</f>
        <v>0</v>
      </c>
      <c r="CT127" s="2015">
        <f>기타운영비!CH50</f>
        <v>0</v>
      </c>
      <c r="CU127" s="2015">
        <f>기타운영비!CI50</f>
        <v>0</v>
      </c>
      <c r="CV127" s="2015">
        <f>기타운영비!CJ50</f>
        <v>0</v>
      </c>
      <c r="CW127" s="2015">
        <f>기타운영비!CK50</f>
        <v>0</v>
      </c>
      <c r="CX127" s="2015">
        <f>기타운영비!CL50</f>
        <v>0</v>
      </c>
      <c r="CY127" s="2015">
        <f>기타운영비!CM50</f>
        <v>0</v>
      </c>
      <c r="CZ127" s="2015">
        <f>기타운영비!CN50</f>
        <v>0</v>
      </c>
      <c r="DA127" s="2015">
        <f>기타운영비!CO50</f>
        <v>0</v>
      </c>
      <c r="DB127" s="2015">
        <f>기타운영비!CP50</f>
        <v>0</v>
      </c>
      <c r="DC127" s="2288">
        <f>기타운영비!CQ50</f>
        <v>0</v>
      </c>
      <c r="DD127" s="25"/>
      <c r="DE127" s="25"/>
      <c r="DF127" s="25"/>
      <c r="DG127" s="2975"/>
      <c r="DH127" s="2976"/>
      <c r="DI127" s="2976"/>
      <c r="DJ127" s="2976"/>
      <c r="DK127" s="1884"/>
      <c r="DL127" s="2718"/>
      <c r="DM127" s="2718"/>
    </row>
    <row r="128" spans="2:117">
      <c r="B128" s="30" t="s">
        <v>95</v>
      </c>
      <c r="C128" s="31"/>
      <c r="D128" s="32"/>
      <c r="E128" s="417"/>
      <c r="F128" s="417"/>
      <c r="G128" s="417"/>
      <c r="H128" s="417"/>
      <c r="I128" s="417"/>
      <c r="J128" s="417"/>
      <c r="K128" s="417"/>
      <c r="L128" s="417"/>
      <c r="M128" s="417"/>
      <c r="N128" s="417"/>
      <c r="O128" s="417"/>
      <c r="P128" s="417"/>
      <c r="Q128" s="1031">
        <f t="shared" ref="Q128" si="398">Q95-Q96</f>
        <v>1726.2868404545879</v>
      </c>
      <c r="R128" s="417">
        <f>R95-R96</f>
        <v>-541.72646099999838</v>
      </c>
      <c r="S128" s="417">
        <f t="shared" ref="S128" si="399">S95-S96</f>
        <v>717.5286959999994</v>
      </c>
      <c r="T128" s="417">
        <f t="shared" ref="T128" si="400">T95-T96</f>
        <v>-586.03550700001142</v>
      </c>
      <c r="U128" s="417">
        <f>U95-U96</f>
        <v>1041.5637670000069</v>
      </c>
      <c r="V128" s="417">
        <f t="shared" ref="V128:W128" si="401">V95-V96</f>
        <v>1027.3542820000057</v>
      </c>
      <c r="W128" s="417">
        <f t="shared" si="401"/>
        <v>-930.41912199999933</v>
      </c>
      <c r="X128" s="417">
        <f t="shared" ref="X128:AC128" si="402">X95-X96</f>
        <v>796.09129700000631</v>
      </c>
      <c r="Y128" s="417">
        <f t="shared" si="402"/>
        <v>2023.4601350000048</v>
      </c>
      <c r="Z128" s="417">
        <f t="shared" si="402"/>
        <v>-960.26562199999535</v>
      </c>
      <c r="AA128" s="417">
        <f t="shared" si="402"/>
        <v>2106.9216299999971</v>
      </c>
      <c r="AB128" s="417">
        <f t="shared" si="402"/>
        <v>1137.6866654545465</v>
      </c>
      <c r="AC128" s="1036">
        <f t="shared" si="402"/>
        <v>-4105.872919999998</v>
      </c>
      <c r="AD128" s="1031">
        <f t="shared" si="285"/>
        <v>4393.308515000047</v>
      </c>
      <c r="AE128" s="417">
        <f t="shared" ref="AE128:AP128" si="403">AE95-AE96</f>
        <v>-411.27690500000608</v>
      </c>
      <c r="AF128" s="417">
        <f t="shared" si="403"/>
        <v>510.90377199999057</v>
      </c>
      <c r="AG128" s="417">
        <f t="shared" si="403"/>
        <v>733.60841000000801</v>
      </c>
      <c r="AH128" s="417">
        <f t="shared" si="403"/>
        <v>208.1002729999982</v>
      </c>
      <c r="AI128" s="417">
        <f t="shared" si="403"/>
        <v>779.67246900000464</v>
      </c>
      <c r="AJ128" s="417">
        <f t="shared" si="403"/>
        <v>717.97615099999894</v>
      </c>
      <c r="AK128" s="417">
        <f t="shared" si="403"/>
        <v>398.89343700000063</v>
      </c>
      <c r="AL128" s="417">
        <f t="shared" si="403"/>
        <v>750.0731899999937</v>
      </c>
      <c r="AM128" s="417">
        <f t="shared" si="403"/>
        <v>310.19175600000017</v>
      </c>
      <c r="AN128" s="417">
        <f t="shared" si="403"/>
        <v>462.89976699999897</v>
      </c>
      <c r="AO128" s="417">
        <f t="shared" si="403"/>
        <v>212.36780199999703</v>
      </c>
      <c r="AP128" s="417">
        <f t="shared" si="403"/>
        <v>-150.7888269999894</v>
      </c>
      <c r="AQ128" s="1031">
        <f t="shared" si="213"/>
        <v>6332.7772429999968</v>
      </c>
      <c r="AR128" s="417"/>
      <c r="AS128" s="417"/>
      <c r="AT128" s="417"/>
      <c r="AU128" s="417"/>
      <c r="AV128" s="417"/>
      <c r="AW128" s="417"/>
      <c r="AX128" s="417"/>
      <c r="AY128" s="417"/>
      <c r="AZ128" s="417"/>
      <c r="BA128" s="417"/>
      <c r="BB128" s="417"/>
      <c r="BC128" s="417"/>
      <c r="BD128" s="1031">
        <f t="shared" ref="BD128:BP128" si="404">BD52-BD176</f>
        <v>8031.6840770000217</v>
      </c>
      <c r="BE128" s="417">
        <f t="shared" si="404"/>
        <v>262.20157100000114</v>
      </c>
      <c r="BF128" s="417">
        <f t="shared" si="404"/>
        <v>1169.8497079999977</v>
      </c>
      <c r="BG128" s="417">
        <f t="shared" si="404"/>
        <v>1105.4236179999984</v>
      </c>
      <c r="BH128" s="417">
        <f t="shared" si="404"/>
        <v>943.62887900000453</v>
      </c>
      <c r="BI128" s="417">
        <f t="shared" si="404"/>
        <v>1420.6476890000019</v>
      </c>
      <c r="BJ128" s="417">
        <f t="shared" si="404"/>
        <v>1392.1115130000023</v>
      </c>
      <c r="BK128" s="417">
        <f t="shared" si="404"/>
        <v>788.43201800000588</v>
      </c>
      <c r="BL128" s="417">
        <f t="shared" si="404"/>
        <v>3341.9679039999933</v>
      </c>
      <c r="BM128" s="417">
        <f t="shared" si="404"/>
        <v>40.842065000003743</v>
      </c>
      <c r="BN128" s="417">
        <f t="shared" si="404"/>
        <v>2037.6234690000072</v>
      </c>
      <c r="BO128" s="417">
        <f t="shared" si="404"/>
        <v>-2600.2534619999942</v>
      </c>
      <c r="BP128" s="417">
        <f t="shared" si="404"/>
        <v>-1870.7908950000101</v>
      </c>
      <c r="BQ128" s="1031">
        <f t="shared" ref="BQ128:CC128" si="405">BQ52-BQ176</f>
        <v>12622.681691999987</v>
      </c>
      <c r="BR128" s="1708">
        <f t="shared" si="405"/>
        <v>1903.2125020000135</v>
      </c>
      <c r="BS128" s="1708">
        <f t="shared" si="405"/>
        <v>2175.4024730000051</v>
      </c>
      <c r="BT128" s="1708">
        <f t="shared" si="405"/>
        <v>3359.2904380000004</v>
      </c>
      <c r="BU128" s="1708">
        <f t="shared" si="405"/>
        <v>1751.7190229999994</v>
      </c>
      <c r="BV128" s="1708">
        <f t="shared" si="405"/>
        <v>1239.4270669999967</v>
      </c>
      <c r="BW128" s="1708">
        <f t="shared" si="405"/>
        <v>82.810946000000058</v>
      </c>
      <c r="BX128" s="1708">
        <f t="shared" si="405"/>
        <v>3113.4951049999991</v>
      </c>
      <c r="BY128" s="1708">
        <f t="shared" si="405"/>
        <v>-98.69925099999989</v>
      </c>
      <c r="BZ128" s="1708">
        <f t="shared" si="405"/>
        <v>680.49653200000512</v>
      </c>
      <c r="CA128" s="1708">
        <f t="shared" si="405"/>
        <v>-817.44269400001349</v>
      </c>
      <c r="CB128" s="1708">
        <f t="shared" si="405"/>
        <v>155.48508699999115</v>
      </c>
      <c r="CC128" s="1334">
        <f t="shared" si="405"/>
        <v>-922.51553599999886</v>
      </c>
      <c r="CD128" s="1031">
        <f t="shared" ref="CD128:CP128" si="406">CD52-CD176</f>
        <v>10746.567970999995</v>
      </c>
      <c r="CE128" s="1708">
        <f t="shared" si="406"/>
        <v>-499.80486199999871</v>
      </c>
      <c r="CF128" s="1708">
        <f t="shared" si="406"/>
        <v>3185.2279089999979</v>
      </c>
      <c r="CG128" s="1708">
        <f t="shared" si="406"/>
        <v>1987.9725859999985</v>
      </c>
      <c r="CH128" s="1708">
        <f t="shared" si="406"/>
        <v>1984.6588549999988</v>
      </c>
      <c r="CI128" s="1708">
        <f t="shared" si="406"/>
        <v>3222.722802000003</v>
      </c>
      <c r="CJ128" s="1708">
        <f t="shared" si="406"/>
        <v>1888.3001289999993</v>
      </c>
      <c r="CK128" s="1708">
        <f t="shared" si="406"/>
        <v>3758.3833010000008</v>
      </c>
      <c r="CL128" s="1708">
        <f t="shared" si="406"/>
        <v>-202.12663100000384</v>
      </c>
      <c r="CM128" s="1708">
        <f t="shared" si="406"/>
        <v>1401.1880409999935</v>
      </c>
      <c r="CN128" s="1708">
        <f t="shared" si="406"/>
        <v>-2408.8901510000037</v>
      </c>
      <c r="CO128" s="1708">
        <f t="shared" si="406"/>
        <v>-1997.150870999988</v>
      </c>
      <c r="CP128" s="1334">
        <f t="shared" si="406"/>
        <v>-1573.9131370000123</v>
      </c>
      <c r="CQ128" s="1031">
        <f>SUM(CR128:DC128)</f>
        <v>10117.283709473235</v>
      </c>
      <c r="CR128" s="1708">
        <f t="shared" ref="CR128:DC128" si="407">CR95-CR96</f>
        <v>1900.7240165733856</v>
      </c>
      <c r="CS128" s="1708">
        <f t="shared" si="407"/>
        <v>353.85860742719888</v>
      </c>
      <c r="CT128" s="1708">
        <f t="shared" si="407"/>
        <v>3549.4435876583157</v>
      </c>
      <c r="CU128" s="1708">
        <f t="shared" si="407"/>
        <v>1789.3808885497456</v>
      </c>
      <c r="CV128" s="1708">
        <f t="shared" si="407"/>
        <v>1669.3021181925469</v>
      </c>
      <c r="CW128" s="1708">
        <f t="shared" si="407"/>
        <v>565.12627044852707</v>
      </c>
      <c r="CX128" s="1708">
        <f t="shared" si="407"/>
        <v>3666.5816140673269</v>
      </c>
      <c r="CY128" s="1708">
        <f t="shared" si="407"/>
        <v>1174.906049706271</v>
      </c>
      <c r="CZ128" s="1708">
        <f t="shared" si="407"/>
        <v>-162.55610252791303</v>
      </c>
      <c r="DA128" s="1708">
        <f t="shared" si="407"/>
        <v>1020.429539155044</v>
      </c>
      <c r="DB128" s="1708">
        <f t="shared" si="407"/>
        <v>-1091.0458370716005</v>
      </c>
      <c r="DC128" s="1334">
        <f t="shared" si="407"/>
        <v>-4318.8670427056131</v>
      </c>
      <c r="DD128" s="2587"/>
      <c r="DE128" s="2587"/>
      <c r="DF128" s="2587"/>
      <c r="DG128" s="2975">
        <f>BQ128/BD128-1</f>
        <v>0.57161083167439353</v>
      </c>
      <c r="DH128" s="2976">
        <f>CD128/BQ128-1</f>
        <v>-0.14863035975857941</v>
      </c>
      <c r="DI128" s="2976">
        <f>CQ128/CD128-1</f>
        <v>-5.855676558552525E-2</v>
      </c>
      <c r="DJ128" s="2976"/>
      <c r="DK128" s="1884"/>
      <c r="DL128" s="2718"/>
      <c r="DM128" s="2718"/>
    </row>
    <row r="129" spans="1:121" s="1017" customFormat="1">
      <c r="A129" s="1329"/>
      <c r="B129" s="1382"/>
      <c r="C129" s="1383"/>
      <c r="D129" s="1383"/>
      <c r="E129" s="1384"/>
      <c r="F129" s="1384"/>
      <c r="G129" s="1384"/>
      <c r="H129" s="1384"/>
      <c r="I129" s="1384"/>
      <c r="J129" s="1384"/>
      <c r="K129" s="1384"/>
      <c r="L129" s="1384"/>
      <c r="M129" s="1384"/>
      <c r="N129" s="1384"/>
      <c r="O129" s="1384"/>
      <c r="P129" s="1384"/>
      <c r="Q129" s="1385"/>
      <c r="R129" s="1385"/>
      <c r="S129" s="1385"/>
      <c r="T129" s="1385"/>
      <c r="U129" s="1385"/>
      <c r="V129" s="1385"/>
      <c r="W129" s="1385"/>
      <c r="X129" s="1385"/>
      <c r="Y129" s="1385"/>
      <c r="Z129" s="1385"/>
      <c r="AA129" s="1385"/>
      <c r="AB129" s="1385"/>
      <c r="AC129" s="1385"/>
      <c r="AD129" s="1385"/>
      <c r="AE129" s="1385"/>
      <c r="AF129" s="1385"/>
      <c r="AG129" s="1385"/>
      <c r="AH129" s="1385"/>
      <c r="AI129" s="1385"/>
      <c r="AJ129" s="1385"/>
      <c r="AK129" s="1385"/>
      <c r="AL129" s="1385"/>
      <c r="AM129" s="1385"/>
      <c r="AN129" s="1385"/>
      <c r="AO129" s="1385"/>
      <c r="AP129" s="1385"/>
      <c r="AQ129" s="1385"/>
      <c r="AR129" s="1385"/>
      <c r="AS129" s="1385"/>
      <c r="AT129" s="1385"/>
      <c r="AU129" s="1385"/>
      <c r="AV129" s="1385"/>
      <c r="AW129" s="1385"/>
      <c r="AX129" s="1385"/>
      <c r="AY129" s="1385"/>
      <c r="AZ129" s="1385"/>
      <c r="BA129" s="1385"/>
      <c r="BB129" s="1385"/>
      <c r="BC129" s="1385"/>
      <c r="BD129" s="1385"/>
      <c r="BE129" s="1385"/>
      <c r="BF129" s="1385"/>
      <c r="BG129" s="1385"/>
      <c r="BH129" s="1385"/>
      <c r="BI129" s="1385"/>
      <c r="BJ129" s="1385"/>
      <c r="BK129" s="1385"/>
      <c r="BL129" s="1385"/>
      <c r="BM129" s="1385"/>
      <c r="BN129" s="1385"/>
      <c r="BO129" s="1385"/>
      <c r="BP129" s="1385"/>
      <c r="BQ129" s="1385"/>
      <c r="BR129" s="1375"/>
      <c r="BS129" s="1375"/>
      <c r="BT129" s="1375"/>
      <c r="BU129" s="1375"/>
      <c r="BV129" s="1375"/>
      <c r="BW129" s="1375"/>
      <c r="BX129" s="1375"/>
      <c r="BY129" s="1375"/>
      <c r="BZ129" s="1375"/>
      <c r="CA129" s="1375"/>
      <c r="CB129" s="1375"/>
      <c r="CC129" s="1376"/>
      <c r="CD129" s="1385"/>
      <c r="CE129" s="1375"/>
      <c r="CF129" s="1375"/>
      <c r="CG129" s="1375"/>
      <c r="CH129" s="1375"/>
      <c r="CI129" s="1375"/>
      <c r="CJ129" s="1375"/>
      <c r="CK129" s="1375"/>
      <c r="CL129" s="1375"/>
      <c r="CM129" s="1375"/>
      <c r="CN129" s="1375"/>
      <c r="CO129" s="1375"/>
      <c r="CP129" s="1375"/>
      <c r="CQ129" s="1385"/>
      <c r="CR129" s="1375"/>
      <c r="CS129" s="1375"/>
      <c r="CT129" s="1375"/>
      <c r="CU129" s="1375"/>
      <c r="CV129" s="1375"/>
      <c r="CW129" s="1375"/>
      <c r="CX129" s="1375"/>
      <c r="CY129" s="1375"/>
      <c r="CZ129" s="1375"/>
      <c r="DA129" s="1375"/>
      <c r="DB129" s="1375"/>
      <c r="DC129" s="1375"/>
      <c r="DD129" s="2173"/>
      <c r="DE129" s="2173"/>
      <c r="DF129" s="2173"/>
      <c r="DG129" s="2970"/>
      <c r="DH129" s="2978"/>
      <c r="DI129" s="2978"/>
      <c r="DJ129" s="2978"/>
      <c r="DK129" s="2979"/>
      <c r="DL129" s="2719"/>
      <c r="DM129" s="2719"/>
      <c r="DN129" s="2604"/>
      <c r="DO129" s="2604"/>
      <c r="DP129" s="2604"/>
      <c r="DQ129" s="2604"/>
    </row>
    <row r="130" spans="1:121" s="1017" customFormat="1">
      <c r="A130" s="1329"/>
      <c r="B130" s="1382"/>
      <c r="C130" s="1383"/>
      <c r="D130" s="1383"/>
      <c r="E130" s="1384"/>
      <c r="F130" s="1384"/>
      <c r="G130" s="1384"/>
      <c r="H130" s="1384"/>
      <c r="I130" s="1384"/>
      <c r="J130" s="1384"/>
      <c r="K130" s="1384"/>
      <c r="L130" s="1384"/>
      <c r="M130" s="1384"/>
      <c r="N130" s="1384"/>
      <c r="O130" s="1384"/>
      <c r="P130" s="1384"/>
      <c r="Q130" s="1385"/>
      <c r="R130" s="1385"/>
      <c r="S130" s="1385"/>
      <c r="T130" s="1385"/>
      <c r="U130" s="1385"/>
      <c r="V130" s="1385"/>
      <c r="W130" s="1385"/>
      <c r="X130" s="1385"/>
      <c r="Y130" s="1385"/>
      <c r="Z130" s="1385"/>
      <c r="AA130" s="1385"/>
      <c r="AB130" s="1385"/>
      <c r="AC130" s="1385"/>
      <c r="AD130" s="1385"/>
      <c r="AE130" s="1385"/>
      <c r="AF130" s="1385"/>
      <c r="AG130" s="1385"/>
      <c r="AH130" s="1385"/>
      <c r="AI130" s="1385"/>
      <c r="AJ130" s="1385"/>
      <c r="AK130" s="1385"/>
      <c r="AL130" s="1385"/>
      <c r="AM130" s="1385"/>
      <c r="AN130" s="1385"/>
      <c r="AO130" s="1385"/>
      <c r="AP130" s="1385"/>
      <c r="AQ130" s="1385"/>
      <c r="AR130" s="1385"/>
      <c r="AS130" s="1385"/>
      <c r="AT130" s="1385"/>
      <c r="AU130" s="1385"/>
      <c r="AV130" s="1385"/>
      <c r="AW130" s="1385"/>
      <c r="AX130" s="1385"/>
      <c r="AY130" s="1385"/>
      <c r="AZ130" s="1385"/>
      <c r="BA130" s="1385"/>
      <c r="BB130" s="1385"/>
      <c r="BC130" s="1385"/>
      <c r="BD130" s="1385"/>
      <c r="BE130" s="1385"/>
      <c r="BF130" s="1385"/>
      <c r="BG130" s="1385"/>
      <c r="BH130" s="1385"/>
      <c r="BI130" s="1385"/>
      <c r="BJ130" s="1385"/>
      <c r="BK130" s="1385"/>
      <c r="BL130" s="1385"/>
      <c r="BM130" s="1385"/>
      <c r="BN130" s="1385"/>
      <c r="BO130" s="1385"/>
      <c r="BP130" s="1385"/>
      <c r="BQ130" s="1385"/>
      <c r="BR130" s="1375"/>
      <c r="BS130" s="1375"/>
      <c r="BT130" s="1375"/>
      <c r="BU130" s="1375"/>
      <c r="BV130" s="1375"/>
      <c r="BW130" s="1375"/>
      <c r="BX130" s="1375"/>
      <c r="BY130" s="1375"/>
      <c r="BZ130" s="1375"/>
      <c r="CA130" s="1375"/>
      <c r="CB130" s="1375"/>
      <c r="CC130" s="1375"/>
      <c r="CD130" s="1385"/>
      <c r="CE130" s="1375"/>
      <c r="CF130" s="1375"/>
      <c r="CG130" s="1375"/>
      <c r="CH130" s="1375"/>
      <c r="CI130" s="1375"/>
      <c r="CJ130" s="1375"/>
      <c r="CK130" s="1375"/>
      <c r="CL130" s="1375"/>
      <c r="CM130" s="1375"/>
      <c r="CN130" s="1375"/>
      <c r="CO130" s="1375"/>
      <c r="CP130" s="1375"/>
      <c r="CQ130" s="1385"/>
      <c r="CR130" s="1375"/>
      <c r="CS130" s="1375"/>
      <c r="CT130" s="1375"/>
      <c r="CU130" s="1375"/>
      <c r="CV130" s="1375"/>
      <c r="CW130" s="1375"/>
      <c r="CX130" s="1375"/>
      <c r="CY130" s="1375"/>
      <c r="CZ130" s="1375"/>
      <c r="DA130" s="1375"/>
      <c r="DB130" s="1375"/>
      <c r="DC130" s="1375"/>
      <c r="DD130" s="2173"/>
      <c r="DE130" s="2173"/>
      <c r="DF130" s="2173"/>
      <c r="DG130" s="2970"/>
      <c r="DH130" s="2978"/>
      <c r="DI130" s="2978"/>
      <c r="DJ130" s="2978"/>
      <c r="DK130" s="2979"/>
      <c r="DL130" s="2719"/>
      <c r="DM130" s="2719"/>
      <c r="DN130" s="2604"/>
      <c r="DO130" s="2604"/>
      <c r="DP130" s="2604"/>
      <c r="DQ130" s="2604"/>
    </row>
    <row r="131" spans="1:121" s="1099" customFormat="1" outlineLevel="1">
      <c r="A131" s="1330"/>
      <c r="B131" s="1386"/>
      <c r="C131" s="1387"/>
      <c r="D131" s="1387"/>
      <c r="E131" s="1388"/>
      <c r="F131" s="1388"/>
      <c r="G131" s="1388"/>
      <c r="H131" s="1388"/>
      <c r="I131" s="1388"/>
      <c r="J131" s="1388"/>
      <c r="K131" s="1388"/>
      <c r="L131" s="1388"/>
      <c r="M131" s="1388"/>
      <c r="N131" s="1388"/>
      <c r="O131" s="1388"/>
      <c r="P131" s="1388"/>
      <c r="Q131" s="1388"/>
      <c r="R131" s="1388"/>
      <c r="S131" s="1388"/>
      <c r="T131" s="1388"/>
      <c r="U131" s="1388"/>
      <c r="V131" s="1388"/>
      <c r="W131" s="1388"/>
      <c r="X131" s="1388"/>
      <c r="Y131" s="1388"/>
      <c r="Z131" s="1388"/>
      <c r="AA131" s="1388"/>
      <c r="AB131" s="1388"/>
      <c r="AC131" s="1388"/>
      <c r="AD131" s="1388"/>
      <c r="AE131" s="1388"/>
      <c r="AF131" s="1388"/>
      <c r="AG131" s="1388"/>
      <c r="AH131" s="1388"/>
      <c r="AI131" s="1388"/>
      <c r="AJ131" s="1388"/>
      <c r="AK131" s="1388"/>
      <c r="AL131" s="1388"/>
      <c r="AM131" s="1388"/>
      <c r="AN131" s="1388"/>
      <c r="AO131" s="1388"/>
      <c r="AP131" s="1388"/>
      <c r="AQ131" s="1388"/>
      <c r="AR131" s="1388"/>
      <c r="AS131" s="1388"/>
      <c r="AT131" s="1388"/>
      <c r="AU131" s="1388"/>
      <c r="AV131" s="1388"/>
      <c r="AW131" s="1388"/>
      <c r="AX131" s="1388"/>
      <c r="AY131" s="1388"/>
      <c r="AZ131" s="1388"/>
      <c r="BA131" s="1388"/>
      <c r="BB131" s="1388"/>
      <c r="BC131" s="1388"/>
      <c r="BD131" s="2964">
        <f t="shared" ref="BD131" si="408">BD142/BD137</f>
        <v>0.89440417925356375</v>
      </c>
      <c r="BE131" s="2966"/>
      <c r="BF131" s="2966"/>
      <c r="BG131" s="2966"/>
      <c r="BH131" s="2966"/>
      <c r="BI131" s="2966"/>
      <c r="BJ131" s="2966"/>
      <c r="BK131" s="2966"/>
      <c r="BL131" s="2966"/>
      <c r="BM131" s="2966"/>
      <c r="BN131" s="2966"/>
      <c r="BO131" s="2966"/>
      <c r="BP131" s="2966"/>
      <c r="BQ131" s="2964">
        <f t="shared" ref="BQ131:CQ131" si="409">BQ142/BQ137</f>
        <v>0.86813332012264177</v>
      </c>
      <c r="BR131" s="2964">
        <f t="shared" si="409"/>
        <v>0.91546448414878723</v>
      </c>
      <c r="BS131" s="2964">
        <f t="shared" si="409"/>
        <v>0.98981859101776537</v>
      </c>
      <c r="BT131" s="2964">
        <f t="shared" si="409"/>
        <v>0.92788703210923817</v>
      </c>
      <c r="BU131" s="2964">
        <f t="shared" si="409"/>
        <v>0.81776555167948928</v>
      </c>
      <c r="BV131" s="2964">
        <f t="shared" si="409"/>
        <v>0.86231610967519867</v>
      </c>
      <c r="BW131" s="2964">
        <f t="shared" si="409"/>
        <v>0.65625279325637698</v>
      </c>
      <c r="BX131" s="2964">
        <f t="shared" si="409"/>
        <v>0.88094620025568848</v>
      </c>
      <c r="BY131" s="2964">
        <f t="shared" si="409"/>
        <v>0.8364441530416894</v>
      </c>
      <c r="BZ131" s="2964">
        <f t="shared" si="409"/>
        <v>0.80015838472303435</v>
      </c>
      <c r="CA131" s="2964">
        <f t="shared" si="409"/>
        <v>0.86028473206627343</v>
      </c>
      <c r="CB131" s="2964">
        <f t="shared" si="409"/>
        <v>1.0766605350193679</v>
      </c>
      <c r="CC131" s="2964">
        <f t="shared" si="409"/>
        <v>0.86770553841049591</v>
      </c>
      <c r="CD131" s="2964">
        <f t="shared" si="409"/>
        <v>0.83009870714708245</v>
      </c>
      <c r="CE131" s="2964">
        <f t="shared" si="409"/>
        <v>0.86702920557401286</v>
      </c>
      <c r="CF131" s="2964">
        <f t="shared" si="409"/>
        <v>0.74142198984264862</v>
      </c>
      <c r="CG131" s="2964">
        <f t="shared" si="409"/>
        <v>0.88760486648218828</v>
      </c>
      <c r="CH131" s="2964">
        <f t="shared" si="409"/>
        <v>0.8078912618484233</v>
      </c>
      <c r="CI131" s="2964">
        <f t="shared" si="409"/>
        <v>0.84941534725421086</v>
      </c>
      <c r="CJ131" s="2964">
        <f t="shared" si="409"/>
        <v>0.79367765597573536</v>
      </c>
      <c r="CK131" s="2964">
        <f t="shared" si="409"/>
        <v>0.85669668702878321</v>
      </c>
      <c r="CL131" s="2964">
        <f t="shared" si="409"/>
        <v>0.82760589278589758</v>
      </c>
      <c r="CM131" s="2964">
        <f t="shared" si="409"/>
        <v>0.8591454550083597</v>
      </c>
      <c r="CN131" s="2964">
        <f t="shared" si="409"/>
        <v>0.82785840500346719</v>
      </c>
      <c r="CO131" s="2964">
        <f t="shared" si="409"/>
        <v>0.73785213028283292</v>
      </c>
      <c r="CP131" s="2964">
        <f t="shared" si="409"/>
        <v>1.2120141880023876</v>
      </c>
      <c r="CQ131" s="2964">
        <f t="shared" si="409"/>
        <v>0.82458457182633715</v>
      </c>
      <c r="CR131" s="2964">
        <f t="shared" ref="CR131:DB131" si="410">CR142/CR137</f>
        <v>0.84574390748310591</v>
      </c>
      <c r="CS131" s="2964">
        <f t="shared" si="410"/>
        <v>0.73672882223393299</v>
      </c>
      <c r="CT131" s="2964">
        <f t="shared" si="410"/>
        <v>0.88251758659079271</v>
      </c>
      <c r="CU131" s="2964">
        <f t="shared" si="410"/>
        <v>0.84766750804444579</v>
      </c>
      <c r="CV131" s="2964">
        <f t="shared" si="410"/>
        <v>0.84945898441952483</v>
      </c>
      <c r="CW131" s="2964">
        <f t="shared" si="410"/>
        <v>0.79117962514244555</v>
      </c>
      <c r="CX131" s="2964">
        <f t="shared" si="410"/>
        <v>0.82951592559403375</v>
      </c>
      <c r="CY131" s="2964">
        <f t="shared" si="410"/>
        <v>0.82927977002846553</v>
      </c>
      <c r="CZ131" s="2964">
        <f t="shared" si="410"/>
        <v>0.82927977002846553</v>
      </c>
      <c r="DA131" s="2964">
        <f t="shared" si="410"/>
        <v>0.82927977002846553</v>
      </c>
      <c r="DB131" s="2964">
        <f t="shared" si="410"/>
        <v>0.83164132568414306</v>
      </c>
      <c r="DC131" s="2964">
        <f>DC142/DC137</f>
        <v>0.82904045342663868</v>
      </c>
      <c r="DD131" s="1634"/>
      <c r="DE131" s="1634"/>
      <c r="DF131" s="1634"/>
      <c r="DG131" s="2964"/>
      <c r="DH131" s="2210"/>
      <c r="DI131" s="2210"/>
      <c r="DJ131" s="2210"/>
      <c r="DK131" s="1884"/>
      <c r="DL131" s="12"/>
      <c r="DM131" s="12"/>
      <c r="DN131" s="2602"/>
      <c r="DO131" s="2602"/>
      <c r="DP131" s="2602"/>
      <c r="DQ131" s="2602"/>
    </row>
    <row r="132" spans="1:121" s="1099" customFormat="1" outlineLevel="1">
      <c r="A132" s="1330"/>
      <c r="B132" s="1386"/>
      <c r="C132" s="1387"/>
      <c r="D132" s="1387"/>
      <c r="E132" s="1388"/>
      <c r="F132" s="1388"/>
      <c r="G132" s="1388"/>
      <c r="H132" s="1388"/>
      <c r="I132" s="1388"/>
      <c r="J132" s="1388"/>
      <c r="K132" s="1388"/>
      <c r="L132" s="1388"/>
      <c r="M132" s="1388"/>
      <c r="N132" s="1388"/>
      <c r="O132" s="1388"/>
      <c r="P132" s="1388"/>
      <c r="Q132" s="1388"/>
      <c r="R132" s="1388"/>
      <c r="S132" s="1388"/>
      <c r="T132" s="1388"/>
      <c r="U132" s="1388"/>
      <c r="V132" s="1388"/>
      <c r="W132" s="1388"/>
      <c r="X132" s="1388"/>
      <c r="Y132" s="1388"/>
      <c r="Z132" s="1388"/>
      <c r="AA132" s="1388"/>
      <c r="AB132" s="1388"/>
      <c r="AC132" s="1388"/>
      <c r="AD132" s="1388"/>
      <c r="AE132" s="1388"/>
      <c r="AF132" s="1388"/>
      <c r="AG132" s="1388"/>
      <c r="AH132" s="1388"/>
      <c r="AI132" s="1388"/>
      <c r="AJ132" s="1388"/>
      <c r="AK132" s="1388"/>
      <c r="AL132" s="1388"/>
      <c r="AM132" s="1388"/>
      <c r="AN132" s="1388"/>
      <c r="AO132" s="1388"/>
      <c r="AP132" s="1388"/>
      <c r="AQ132" s="1388"/>
      <c r="AR132" s="1388"/>
      <c r="AS132" s="1388"/>
      <c r="AT132" s="1388"/>
      <c r="AU132" s="1388"/>
      <c r="AV132" s="1388"/>
      <c r="AW132" s="1388"/>
      <c r="AX132" s="1388"/>
      <c r="AY132" s="1388"/>
      <c r="AZ132" s="1388"/>
      <c r="BA132" s="1388"/>
      <c r="BB132" s="1388"/>
      <c r="BC132" s="1388"/>
      <c r="BD132" s="2612"/>
      <c r="BE132" s="1388"/>
      <c r="BF132" s="1388"/>
      <c r="BG132" s="1388"/>
      <c r="BH132" s="1388"/>
      <c r="BI132" s="1388"/>
      <c r="BJ132" s="1388"/>
      <c r="BK132" s="1388"/>
      <c r="BL132" s="1388"/>
      <c r="BM132" s="1388"/>
      <c r="BN132" s="1388"/>
      <c r="BO132" s="1388"/>
      <c r="BP132" s="1388"/>
      <c r="BQ132" s="2612"/>
      <c r="BR132" s="2613"/>
      <c r="BS132" s="2613"/>
      <c r="BT132" s="2613"/>
      <c r="BU132" s="2613"/>
      <c r="BV132" s="2613"/>
      <c r="BW132" s="2613"/>
      <c r="BX132" s="2613"/>
      <c r="BY132" s="2613"/>
      <c r="BZ132" s="2613"/>
      <c r="CA132" s="2613"/>
      <c r="CB132" s="2613"/>
      <c r="CC132" s="2613"/>
      <c r="CD132" s="2612"/>
      <c r="CE132" s="2613"/>
      <c r="CF132" s="2613"/>
      <c r="CG132" s="2613"/>
      <c r="CH132" s="2613"/>
      <c r="CI132" s="2613"/>
      <c r="CJ132" s="2613"/>
      <c r="CK132" s="2613"/>
      <c r="CL132" s="2613"/>
      <c r="CM132" s="2613"/>
      <c r="CN132" s="2613"/>
      <c r="CO132" s="2613"/>
      <c r="CP132" s="2613"/>
      <c r="CQ132" s="2612"/>
      <c r="CR132" s="2613"/>
      <c r="CS132" s="2613"/>
      <c r="CT132" s="2613"/>
      <c r="CU132" s="2613"/>
      <c r="CV132" s="2613"/>
      <c r="CW132" s="2613"/>
      <c r="CX132" s="2613"/>
      <c r="CY132" s="2613"/>
      <c r="CZ132" s="2613"/>
      <c r="DA132" s="2613"/>
      <c r="DB132" s="2613"/>
      <c r="DC132" s="2613"/>
      <c r="DD132" s="1634"/>
      <c r="DE132" s="1634"/>
      <c r="DF132" s="1634"/>
      <c r="DG132" s="2964"/>
      <c r="DH132" s="2210"/>
      <c r="DI132" s="2210"/>
      <c r="DJ132" s="2210"/>
      <c r="DK132" s="1884"/>
      <c r="DL132" s="12"/>
      <c r="DM132" s="12"/>
      <c r="DN132" s="2602"/>
      <c r="DO132" s="2602"/>
      <c r="DP132" s="2602"/>
      <c r="DQ132" s="2602"/>
    </row>
    <row r="133" spans="1:121" ht="21">
      <c r="B133" s="1380" t="s">
        <v>555</v>
      </c>
      <c r="C133" s="423"/>
      <c r="D133" s="423"/>
      <c r="E133" s="1377"/>
      <c r="F133" s="1377"/>
      <c r="G133" s="478"/>
      <c r="H133" s="478"/>
      <c r="I133" s="1377"/>
      <c r="J133" s="1377"/>
      <c r="K133" s="1377"/>
      <c r="L133" s="1377"/>
      <c r="M133" s="1377"/>
      <c r="N133" s="1377"/>
      <c r="O133" s="1377"/>
      <c r="P133" s="1381"/>
      <c r="Q133" s="1389"/>
      <c r="R133" s="1377"/>
      <c r="S133" s="1377"/>
      <c r="T133" s="1377"/>
      <c r="U133" s="1377"/>
      <c r="V133" s="1377"/>
      <c r="W133" s="1377"/>
      <c r="X133" s="1377"/>
      <c r="Y133" s="1377"/>
      <c r="Z133" s="1377"/>
      <c r="AA133" s="1377"/>
      <c r="AB133" s="1377"/>
      <c r="AC133" s="1377"/>
      <c r="AD133" s="1390"/>
      <c r="AE133" s="1377"/>
      <c r="AF133" s="1377"/>
      <c r="AG133" s="1377"/>
      <c r="AH133" s="1377"/>
      <c r="AI133" s="1377"/>
      <c r="AJ133" s="1377"/>
      <c r="AK133" s="1377"/>
      <c r="AL133" s="1377"/>
      <c r="AM133" s="1377"/>
      <c r="AN133" s="1377"/>
      <c r="AO133" s="1377"/>
      <c r="AP133" s="1390"/>
      <c r="AQ133" s="1391"/>
      <c r="AR133" s="1377"/>
      <c r="AS133" s="1390"/>
      <c r="AT133" s="1392"/>
      <c r="AU133" s="1392"/>
      <c r="AV133" s="1377"/>
      <c r="AW133" s="1377"/>
      <c r="AX133" s="1377"/>
      <c r="AY133" s="1377"/>
      <c r="AZ133" s="1377"/>
      <c r="BA133" s="1377"/>
      <c r="BB133" s="1377"/>
      <c r="BC133" s="1390"/>
      <c r="BD133" s="1391"/>
      <c r="BE133" s="1378"/>
      <c r="BF133" s="1378"/>
      <c r="BG133" s="1378"/>
      <c r="BH133" s="1378"/>
      <c r="BI133" s="1378"/>
      <c r="BJ133" s="1378"/>
      <c r="BK133" s="1378"/>
      <c r="BL133" s="1378"/>
      <c r="BM133" s="1378"/>
      <c r="BN133" s="1378"/>
      <c r="BO133" s="1378"/>
      <c r="BP133" s="1378"/>
      <c r="BR133" s="1378"/>
      <c r="BS133" s="1390"/>
      <c r="BT133" s="1392"/>
      <c r="BU133" s="1392"/>
      <c r="BV133" s="1377"/>
      <c r="BW133" s="1377"/>
      <c r="BX133" s="1377"/>
      <c r="BY133" s="1377"/>
      <c r="BZ133" s="1377"/>
      <c r="CA133" s="1377"/>
      <c r="CB133" s="1377"/>
      <c r="CC133" s="1393"/>
      <c r="CE133" s="1378"/>
      <c r="CF133" s="1390"/>
      <c r="CG133" s="1392"/>
      <c r="CH133" s="1392"/>
      <c r="CI133" s="1377"/>
      <c r="CJ133" s="1377"/>
      <c r="CK133" s="1377"/>
      <c r="CL133" s="1377"/>
      <c r="CM133" s="1377"/>
      <c r="CN133" s="1377"/>
      <c r="CO133" s="1377"/>
      <c r="CP133" s="1390"/>
      <c r="CR133" s="1378"/>
      <c r="CS133" s="1390"/>
      <c r="CT133" s="1392"/>
      <c r="CU133" s="1392"/>
      <c r="CV133" s="1377"/>
      <c r="CW133" s="1377"/>
      <c r="CX133" s="1377"/>
      <c r="CY133" s="1377"/>
      <c r="CZ133" s="1377"/>
      <c r="DA133" s="1377"/>
      <c r="DB133" s="1377"/>
      <c r="DC133" s="1390"/>
      <c r="DD133" s="2596"/>
      <c r="DE133" s="2596"/>
      <c r="DF133" s="2596"/>
      <c r="DG133" s="1913"/>
      <c r="DH133" s="2210"/>
      <c r="DI133" s="2210"/>
      <c r="DJ133" s="2210"/>
      <c r="DK133" s="1884"/>
    </row>
    <row r="134" spans="1:121">
      <c r="B134" s="3262" t="s">
        <v>0</v>
      </c>
      <c r="C134" s="3263"/>
      <c r="D134" s="3264"/>
      <c r="E134" s="3259"/>
      <c r="F134" s="3259"/>
      <c r="G134" s="3259"/>
      <c r="H134" s="3259"/>
      <c r="I134" s="3259"/>
      <c r="J134" s="3259"/>
      <c r="K134" s="3259"/>
      <c r="L134" s="3259"/>
      <c r="M134" s="3259"/>
      <c r="N134" s="3259"/>
      <c r="O134" s="3259"/>
      <c r="P134" s="3259"/>
      <c r="Q134" s="3268" t="s">
        <v>359</v>
      </c>
      <c r="R134" s="3269"/>
      <c r="S134" s="3269"/>
      <c r="T134" s="3269"/>
      <c r="U134" s="3269"/>
      <c r="V134" s="3269"/>
      <c r="W134" s="3269"/>
      <c r="X134" s="3269"/>
      <c r="Y134" s="3269"/>
      <c r="Z134" s="3269"/>
      <c r="AA134" s="3269"/>
      <c r="AB134" s="3269"/>
      <c r="AC134" s="3270"/>
      <c r="AD134" s="3268" t="s">
        <v>386</v>
      </c>
      <c r="AE134" s="3269"/>
      <c r="AF134" s="3269"/>
      <c r="AG134" s="3269"/>
      <c r="AH134" s="3269"/>
      <c r="AI134" s="3269"/>
      <c r="AJ134" s="3269"/>
      <c r="AK134" s="3269"/>
      <c r="AL134" s="3269"/>
      <c r="AM134" s="3269"/>
      <c r="AN134" s="3269"/>
      <c r="AO134" s="3269"/>
      <c r="AP134" s="3273"/>
      <c r="AQ134" s="3255" t="s">
        <v>395</v>
      </c>
      <c r="AR134" s="3256"/>
      <c r="AS134" s="3256"/>
      <c r="AT134" s="3256"/>
      <c r="AU134" s="3256"/>
      <c r="AV134" s="3256"/>
      <c r="AW134" s="3256"/>
      <c r="AX134" s="3256"/>
      <c r="AY134" s="3256"/>
      <c r="AZ134" s="3256"/>
      <c r="BA134" s="3256"/>
      <c r="BB134" s="3256"/>
      <c r="BC134" s="3272"/>
      <c r="BD134" s="3255" t="s">
        <v>413</v>
      </c>
      <c r="BE134" s="3256"/>
      <c r="BF134" s="3256"/>
      <c r="BG134" s="3256"/>
      <c r="BH134" s="3256"/>
      <c r="BI134" s="3256"/>
      <c r="BJ134" s="3256"/>
      <c r="BK134" s="3256"/>
      <c r="BL134" s="3256"/>
      <c r="BM134" s="3256"/>
      <c r="BN134" s="3256"/>
      <c r="BO134" s="3256"/>
      <c r="BP134" s="3272"/>
      <c r="BQ134" s="3255" t="s">
        <v>468</v>
      </c>
      <c r="BR134" s="3256"/>
      <c r="BS134" s="3256"/>
      <c r="BT134" s="3256"/>
      <c r="BU134" s="3256"/>
      <c r="BV134" s="3256"/>
      <c r="BW134" s="3256"/>
      <c r="BX134" s="3256"/>
      <c r="BY134" s="3256"/>
      <c r="BZ134" s="3256"/>
      <c r="CA134" s="3256"/>
      <c r="CB134" s="3256"/>
      <c r="CC134" s="3257"/>
      <c r="CD134" s="3255" t="s">
        <v>849</v>
      </c>
      <c r="CE134" s="3256"/>
      <c r="CF134" s="3256"/>
      <c r="CG134" s="3256"/>
      <c r="CH134" s="3256"/>
      <c r="CI134" s="3256"/>
      <c r="CJ134" s="3256"/>
      <c r="CK134" s="3256"/>
      <c r="CL134" s="3256"/>
      <c r="CM134" s="3256"/>
      <c r="CN134" s="3256"/>
      <c r="CO134" s="3256"/>
      <c r="CP134" s="3257"/>
      <c r="CQ134" s="3258" t="s">
        <v>699</v>
      </c>
      <c r="CR134" s="3259"/>
      <c r="CS134" s="3259"/>
      <c r="CT134" s="3259"/>
      <c r="CU134" s="3259"/>
      <c r="CV134" s="3259"/>
      <c r="CW134" s="3259"/>
      <c r="CX134" s="3259"/>
      <c r="CY134" s="3259"/>
      <c r="CZ134" s="3259"/>
      <c r="DA134" s="3259"/>
      <c r="DB134" s="3259"/>
      <c r="DC134" s="3259"/>
      <c r="DD134" s="2594"/>
      <c r="DE134" s="2594"/>
      <c r="DF134" s="2594"/>
      <c r="DG134" s="2594"/>
      <c r="DH134" s="2210"/>
      <c r="DI134" s="2210"/>
      <c r="DJ134" s="2210"/>
      <c r="DK134" s="1884"/>
    </row>
    <row r="135" spans="1:121">
      <c r="B135" s="3265"/>
      <c r="C135" s="3266"/>
      <c r="D135" s="3267"/>
      <c r="E135" s="1018" t="s">
        <v>2</v>
      </c>
      <c r="F135" s="1019" t="s">
        <v>3</v>
      </c>
      <c r="G135" s="1019" t="s">
        <v>4</v>
      </c>
      <c r="H135" s="1019" t="s">
        <v>5</v>
      </c>
      <c r="I135" s="1019" t="s">
        <v>6</v>
      </c>
      <c r="J135" s="1019" t="s">
        <v>7</v>
      </c>
      <c r="K135" s="1019" t="s">
        <v>8</v>
      </c>
      <c r="L135" s="1019" t="s">
        <v>9</v>
      </c>
      <c r="M135" s="1019" t="s">
        <v>10</v>
      </c>
      <c r="N135" s="1019" t="s">
        <v>11</v>
      </c>
      <c r="O135" s="1019" t="s">
        <v>12</v>
      </c>
      <c r="P135" s="1020" t="s">
        <v>13</v>
      </c>
      <c r="Q135" s="1093" t="s">
        <v>1</v>
      </c>
      <c r="R135" s="1033" t="s">
        <v>2</v>
      </c>
      <c r="S135" s="1033" t="s">
        <v>3</v>
      </c>
      <c r="T135" s="1033" t="s">
        <v>4</v>
      </c>
      <c r="U135" s="1033" t="s">
        <v>5</v>
      </c>
      <c r="V135" s="1033" t="s">
        <v>6</v>
      </c>
      <c r="W135" s="1033" t="s">
        <v>7</v>
      </c>
      <c r="X135" s="1033" t="s">
        <v>8</v>
      </c>
      <c r="Y135" s="1033" t="s">
        <v>9</v>
      </c>
      <c r="Z135" s="1033" t="s">
        <v>10</v>
      </c>
      <c r="AA135" s="1033" t="s">
        <v>11</v>
      </c>
      <c r="AB135" s="1033" t="s">
        <v>12</v>
      </c>
      <c r="AC135" s="1034" t="s">
        <v>13</v>
      </c>
      <c r="AD135" s="1093" t="s">
        <v>1</v>
      </c>
      <c r="AE135" s="1033" t="s">
        <v>2</v>
      </c>
      <c r="AF135" s="1033" t="s">
        <v>3</v>
      </c>
      <c r="AG135" s="1033" t="s">
        <v>4</v>
      </c>
      <c r="AH135" s="1033" t="s">
        <v>5</v>
      </c>
      <c r="AI135" s="1033" t="s">
        <v>6</v>
      </c>
      <c r="AJ135" s="1033" t="s">
        <v>7</v>
      </c>
      <c r="AK135" s="1033" t="s">
        <v>8</v>
      </c>
      <c r="AL135" s="1033" t="s">
        <v>9</v>
      </c>
      <c r="AM135" s="1033" t="s">
        <v>10</v>
      </c>
      <c r="AN135" s="1033" t="s">
        <v>11</v>
      </c>
      <c r="AO135" s="1033" t="s">
        <v>12</v>
      </c>
      <c r="AP135" s="1035" t="s">
        <v>13</v>
      </c>
      <c r="AQ135" s="1094" t="s">
        <v>1</v>
      </c>
      <c r="AR135" s="1095" t="s">
        <v>2</v>
      </c>
      <c r="AS135" s="1095" t="s">
        <v>3</v>
      </c>
      <c r="AT135" s="1095" t="s">
        <v>4</v>
      </c>
      <c r="AU135" s="1095" t="s">
        <v>5</v>
      </c>
      <c r="AV135" s="1095" t="s">
        <v>6</v>
      </c>
      <c r="AW135" s="1095" t="s">
        <v>7</v>
      </c>
      <c r="AX135" s="1095" t="s">
        <v>8</v>
      </c>
      <c r="AY135" s="1095" t="s">
        <v>9</v>
      </c>
      <c r="AZ135" s="1095" t="s">
        <v>10</v>
      </c>
      <c r="BA135" s="1095" t="s">
        <v>11</v>
      </c>
      <c r="BB135" s="1095" t="s">
        <v>12</v>
      </c>
      <c r="BC135" s="1096" t="s">
        <v>13</v>
      </c>
      <c r="BD135" s="1094" t="s">
        <v>1</v>
      </c>
      <c r="BE135" s="1095" t="s">
        <v>2</v>
      </c>
      <c r="BF135" s="1095" t="s">
        <v>3</v>
      </c>
      <c r="BG135" s="1095" t="s">
        <v>4</v>
      </c>
      <c r="BH135" s="1095" t="s">
        <v>5</v>
      </c>
      <c r="BI135" s="1095" t="s">
        <v>6</v>
      </c>
      <c r="BJ135" s="1095" t="s">
        <v>7</v>
      </c>
      <c r="BK135" s="1095" t="s">
        <v>8</v>
      </c>
      <c r="BL135" s="1095" t="s">
        <v>9</v>
      </c>
      <c r="BM135" s="1095" t="str">
        <f>BM87</f>
        <v>9월</v>
      </c>
      <c r="BN135" s="1095" t="str">
        <f>BN87</f>
        <v>10월</v>
      </c>
      <c r="BO135" s="1095" t="str">
        <f>BO87</f>
        <v>11월</v>
      </c>
      <c r="BP135" s="1096" t="str">
        <f>BP87</f>
        <v>12월</v>
      </c>
      <c r="BQ135" s="1094" t="s">
        <v>1</v>
      </c>
      <c r="BR135" s="1095" t="s">
        <v>2</v>
      </c>
      <c r="BS135" s="1095" t="s">
        <v>3</v>
      </c>
      <c r="BT135" s="1095" t="s">
        <v>4</v>
      </c>
      <c r="BU135" s="1095" t="s">
        <v>5</v>
      </c>
      <c r="BV135" s="1095" t="s">
        <v>6</v>
      </c>
      <c r="BW135" s="1095" t="s">
        <v>7</v>
      </c>
      <c r="BX135" s="1095" t="s">
        <v>8</v>
      </c>
      <c r="BY135" s="1095" t="s">
        <v>9</v>
      </c>
      <c r="BZ135" s="1095" t="s">
        <v>10</v>
      </c>
      <c r="CA135" s="1095" t="s">
        <v>11</v>
      </c>
      <c r="CB135" s="1095" t="s">
        <v>12</v>
      </c>
      <c r="CC135" s="1394" t="s">
        <v>13</v>
      </c>
      <c r="CD135" s="1094" t="s">
        <v>1</v>
      </c>
      <c r="CE135" s="1097" t="s">
        <v>2</v>
      </c>
      <c r="CF135" s="1097" t="s">
        <v>3</v>
      </c>
      <c r="CG135" s="1097" t="s">
        <v>4</v>
      </c>
      <c r="CH135" s="1097" t="s">
        <v>5</v>
      </c>
      <c r="CI135" s="1097" t="s">
        <v>6</v>
      </c>
      <c r="CJ135" s="1097" t="s">
        <v>7</v>
      </c>
      <c r="CK135" s="1097" t="s">
        <v>847</v>
      </c>
      <c r="CL135" s="1097" t="s">
        <v>848</v>
      </c>
      <c r="CM135" s="1097" t="s">
        <v>506</v>
      </c>
      <c r="CN135" s="1097" t="s">
        <v>505</v>
      </c>
      <c r="CO135" s="1097" t="s">
        <v>441</v>
      </c>
      <c r="CP135" s="1332" t="s">
        <v>442</v>
      </c>
      <c r="CQ135" s="1094" t="s">
        <v>1</v>
      </c>
      <c r="CR135" s="1095" t="s">
        <v>2</v>
      </c>
      <c r="CS135" s="1095" t="s">
        <v>3</v>
      </c>
      <c r="CT135" s="1095" t="s">
        <v>4</v>
      </c>
      <c r="CU135" s="1095" t="s">
        <v>5</v>
      </c>
      <c r="CV135" s="1095" t="s">
        <v>6</v>
      </c>
      <c r="CW135" s="1095" t="s">
        <v>7</v>
      </c>
      <c r="CX135" s="1097" t="s">
        <v>688</v>
      </c>
      <c r="CY135" s="1097" t="s">
        <v>690</v>
      </c>
      <c r="CZ135" s="1097" t="s">
        <v>692</v>
      </c>
      <c r="DA135" s="1097" t="s">
        <v>694</v>
      </c>
      <c r="DB135" s="1097" t="s">
        <v>696</v>
      </c>
      <c r="DC135" s="1332" t="s">
        <v>698</v>
      </c>
      <c r="DD135" s="2594"/>
      <c r="DE135" s="2594"/>
      <c r="DF135" s="2594"/>
      <c r="DG135" s="2594" t="s">
        <v>764</v>
      </c>
      <c r="DH135" s="2594" t="s">
        <v>762</v>
      </c>
      <c r="DI135" s="2594" t="s">
        <v>763</v>
      </c>
      <c r="DJ135" s="2594"/>
      <c r="DK135" s="1884"/>
    </row>
    <row r="136" spans="1:121">
      <c r="B136" s="30" t="s">
        <v>61</v>
      </c>
      <c r="C136" s="31"/>
      <c r="D136" s="32"/>
      <c r="E136" s="417"/>
      <c r="F136" s="417"/>
      <c r="G136" s="417"/>
      <c r="H136" s="417"/>
      <c r="I136" s="417"/>
      <c r="J136" s="417"/>
      <c r="K136" s="417"/>
      <c r="L136" s="417"/>
      <c r="M136" s="417"/>
      <c r="N136" s="417"/>
      <c r="O136" s="417"/>
      <c r="P136" s="1024"/>
      <c r="Q136" s="1031"/>
      <c r="R136" s="417"/>
      <c r="S136" s="417"/>
      <c r="T136" s="417"/>
      <c r="U136" s="417"/>
      <c r="V136" s="417"/>
      <c r="W136" s="417"/>
      <c r="X136" s="417"/>
      <c r="Y136" s="417"/>
      <c r="Z136" s="417"/>
      <c r="AA136" s="417"/>
      <c r="AB136" s="417"/>
      <c r="AC136" s="1036"/>
      <c r="AD136" s="1025">
        <f>AD137+AD138</f>
        <v>14324</v>
      </c>
      <c r="AE136" s="1037"/>
      <c r="AF136" s="1038"/>
      <c r="AG136" s="1038"/>
      <c r="AH136" s="1038"/>
      <c r="AI136" s="1038"/>
      <c r="AJ136" s="1038"/>
      <c r="AK136" s="1038"/>
      <c r="AL136" s="1038"/>
      <c r="AM136" s="1038"/>
      <c r="AN136" s="1038"/>
      <c r="AO136" s="1038"/>
      <c r="AP136" s="1039"/>
      <c r="AQ136" s="1031">
        <f>AQ137+AQ138</f>
        <v>16462.139642000002</v>
      </c>
      <c r="AR136" s="1037"/>
      <c r="AS136" s="1038"/>
      <c r="AT136" s="1038"/>
      <c r="AU136" s="1038"/>
      <c r="AV136" s="1038"/>
      <c r="AW136" s="1038"/>
      <c r="AX136" s="1038"/>
      <c r="AY136" s="1038"/>
      <c r="AZ136" s="1038"/>
      <c r="BA136" s="1038"/>
      <c r="BB136" s="1038"/>
      <c r="BC136" s="1102"/>
      <c r="BD136" s="1031">
        <f>BD137+BD138</f>
        <v>26735.344277</v>
      </c>
      <c r="BE136" s="1029">
        <f t="shared" ref="BE136:BR136" si="411">BE137+BE138</f>
        <v>1892.8360340000002</v>
      </c>
      <c r="BF136" s="417">
        <f t="shared" si="411"/>
        <v>2033.5121540000002</v>
      </c>
      <c r="BG136" s="417">
        <f t="shared" si="411"/>
        <v>636.79558799999995</v>
      </c>
      <c r="BH136" s="417">
        <f t="shared" si="411"/>
        <v>2446.0072720000003</v>
      </c>
      <c r="BI136" s="417">
        <f t="shared" si="411"/>
        <v>4486.9621799999995</v>
      </c>
      <c r="BJ136" s="417">
        <f t="shared" si="411"/>
        <v>866.01766800000007</v>
      </c>
      <c r="BK136" s="417">
        <f t="shared" si="411"/>
        <v>637.92729899999995</v>
      </c>
      <c r="BL136" s="417">
        <f t="shared" si="411"/>
        <v>2308.2350550000001</v>
      </c>
      <c r="BM136" s="417">
        <f t="shared" si="411"/>
        <v>3543.0343689999995</v>
      </c>
      <c r="BN136" s="417">
        <f t="shared" si="411"/>
        <v>2994.1806799999995</v>
      </c>
      <c r="BO136" s="417">
        <f t="shared" si="411"/>
        <v>1020.999384</v>
      </c>
      <c r="BP136" s="417">
        <f t="shared" si="411"/>
        <v>3868.8365940000003</v>
      </c>
      <c r="BQ136" s="1031">
        <f>BQ137+BQ138</f>
        <v>39957.221808000017</v>
      </c>
      <c r="BR136" s="417">
        <f t="shared" si="411"/>
        <v>346.54510200000004</v>
      </c>
      <c r="BS136" s="417">
        <f t="shared" ref="BS136:CC136" si="412">BS137+BS138</f>
        <v>1707.0462699999998</v>
      </c>
      <c r="BT136" s="417">
        <f t="shared" si="412"/>
        <v>2781.6198369999997</v>
      </c>
      <c r="BU136" s="417">
        <f t="shared" si="412"/>
        <v>5884.0943319999997</v>
      </c>
      <c r="BV136" s="417">
        <f t="shared" si="412"/>
        <v>2721.4978210000004</v>
      </c>
      <c r="BW136" s="417">
        <f t="shared" si="412"/>
        <v>824.652063</v>
      </c>
      <c r="BX136" s="417">
        <f t="shared" si="412"/>
        <v>1377.659363</v>
      </c>
      <c r="BY136" s="417">
        <f t="shared" si="412"/>
        <v>5257.9342339999994</v>
      </c>
      <c r="BZ136" s="417">
        <f t="shared" si="412"/>
        <v>5862.721262</v>
      </c>
      <c r="CA136" s="417">
        <f t="shared" si="412"/>
        <v>6712.4182419999988</v>
      </c>
      <c r="CB136" s="417">
        <f t="shared" si="412"/>
        <v>3698.8594980000071</v>
      </c>
      <c r="CC136" s="1334">
        <f t="shared" si="412"/>
        <v>2782.1737840000001</v>
      </c>
      <c r="CD136" s="1031">
        <f>CD137+CD138</f>
        <v>55658.424025999993</v>
      </c>
      <c r="CE136" s="1708">
        <f t="shared" ref="CE136:CP136" si="413">CE137+CE138</f>
        <v>2707.3064490000002</v>
      </c>
      <c r="CF136" s="1708">
        <f t="shared" si="413"/>
        <v>6625.7026329999999</v>
      </c>
      <c r="CG136" s="1708">
        <f t="shared" si="413"/>
        <v>4840.6044970000003</v>
      </c>
      <c r="CH136" s="1708">
        <f t="shared" si="413"/>
        <v>3601.0909999999999</v>
      </c>
      <c r="CI136" s="1708">
        <f t="shared" si="413"/>
        <v>4254.8448690000005</v>
      </c>
      <c r="CJ136" s="1708">
        <f t="shared" si="413"/>
        <v>4755.6311379999997</v>
      </c>
      <c r="CK136" s="1708">
        <f t="shared" si="413"/>
        <v>5669.8631220000007</v>
      </c>
      <c r="CL136" s="1708">
        <f t="shared" si="413"/>
        <v>5819.91554</v>
      </c>
      <c r="CM136" s="1708">
        <f t="shared" si="413"/>
        <v>5703.7023899999995</v>
      </c>
      <c r="CN136" s="1708">
        <f t="shared" si="413"/>
        <v>4611.6051410000009</v>
      </c>
      <c r="CO136" s="1708">
        <f t="shared" si="413"/>
        <v>5432.8418510000001</v>
      </c>
      <c r="CP136" s="1024">
        <f t="shared" si="413"/>
        <v>1635.315396</v>
      </c>
      <c r="CQ136" s="1031">
        <f>CQ137+CQ138</f>
        <v>59780.246563000001</v>
      </c>
      <c r="CR136" s="1708">
        <f t="shared" ref="CR136:DC136" si="414">CR137+CR138</f>
        <v>3289.4995091105911</v>
      </c>
      <c r="CS136" s="1708">
        <f t="shared" si="414"/>
        <v>6650.1242368997846</v>
      </c>
      <c r="CT136" s="1708">
        <f t="shared" si="414"/>
        <v>5961.9621638856979</v>
      </c>
      <c r="CU136" s="1708">
        <f t="shared" si="414"/>
        <v>4527.1853001587824</v>
      </c>
      <c r="CV136" s="1708">
        <f t="shared" si="414"/>
        <v>5976.7416646443608</v>
      </c>
      <c r="CW136" s="1708">
        <f t="shared" si="414"/>
        <v>6220.7517394803472</v>
      </c>
      <c r="CX136" s="1708">
        <f t="shared" si="414"/>
        <v>4565.4511648034068</v>
      </c>
      <c r="CY136" s="1708">
        <f t="shared" si="414"/>
        <v>4517.6073568034071</v>
      </c>
      <c r="CZ136" s="1708">
        <f t="shared" si="414"/>
        <v>4518.4073568034064</v>
      </c>
      <c r="DA136" s="1708">
        <f t="shared" si="414"/>
        <v>4517.4073568034064</v>
      </c>
      <c r="DB136" s="1708">
        <f t="shared" si="414"/>
        <v>4517.3073568034069</v>
      </c>
      <c r="DC136" s="1024">
        <f t="shared" si="414"/>
        <v>4517.8013568034066</v>
      </c>
      <c r="DD136" s="2587"/>
      <c r="DE136" s="2587"/>
      <c r="DF136" s="2587"/>
      <c r="DG136" s="2975">
        <f>BQ136/BD136-1</f>
        <v>0.49454674658424325</v>
      </c>
      <c r="DH136" s="1913">
        <f>CD136/BQ136-1</f>
        <v>0.39295029803239134</v>
      </c>
      <c r="DI136" s="1913">
        <f>CQ136/CD136-1</f>
        <v>7.4055681761211245E-2</v>
      </c>
      <c r="DJ136" s="1913"/>
      <c r="DK136" s="1884"/>
    </row>
    <row r="137" spans="1:121">
      <c r="B137" s="33" t="s">
        <v>62</v>
      </c>
      <c r="C137" s="34"/>
      <c r="D137" s="35"/>
      <c r="E137" s="1335"/>
      <c r="F137" s="1335"/>
      <c r="G137" s="1335"/>
      <c r="H137" s="1335"/>
      <c r="I137" s="1335"/>
      <c r="J137" s="1335"/>
      <c r="K137" s="1335"/>
      <c r="L137" s="1335"/>
      <c r="M137" s="1335"/>
      <c r="N137" s="1335"/>
      <c r="O137" s="1335"/>
      <c r="P137" s="1073"/>
      <c r="Q137" s="1345"/>
      <c r="R137" s="1335"/>
      <c r="S137" s="1335"/>
      <c r="T137" s="1335"/>
      <c r="U137" s="1335"/>
      <c r="V137" s="1335"/>
      <c r="W137" s="1335"/>
      <c r="X137" s="1335"/>
      <c r="Y137" s="1335"/>
      <c r="Z137" s="1335"/>
      <c r="AA137" s="1335"/>
      <c r="AB137" s="1335"/>
      <c r="AC137" s="1074"/>
      <c r="AD137" s="1026">
        <f>13848+350</f>
        <v>14198</v>
      </c>
      <c r="AE137" s="1395"/>
      <c r="AF137" s="1040"/>
      <c r="AG137" s="1040"/>
      <c r="AH137" s="1040"/>
      <c r="AI137" s="1040"/>
      <c r="AJ137" s="1040"/>
      <c r="AK137" s="1040"/>
      <c r="AL137" s="1040"/>
      <c r="AM137" s="1040"/>
      <c r="AN137" s="1040"/>
      <c r="AO137" s="1040"/>
      <c r="AP137" s="1041"/>
      <c r="AQ137" s="1396">
        <v>15665.830550000001</v>
      </c>
      <c r="AR137" s="1395"/>
      <c r="AS137" s="1040"/>
      <c r="AT137" s="1040"/>
      <c r="AU137" s="1040"/>
      <c r="AV137" s="1040"/>
      <c r="AW137" s="1040"/>
      <c r="AX137" s="1040"/>
      <c r="AY137" s="1040"/>
      <c r="AZ137" s="1040"/>
      <c r="BA137" s="1040"/>
      <c r="BB137" s="1040"/>
      <c r="BC137" s="1105"/>
      <c r="BD137" s="1345">
        <f>SUM(BE137:BP137)</f>
        <v>26388.705427000001</v>
      </c>
      <c r="BE137" s="1484">
        <f>유통플랫폼!E10+유통플랫폼!E12</f>
        <v>1863.2989200000002</v>
      </c>
      <c r="BF137" s="1335">
        <f>유통플랫폼!F10+유통플랫폼!F12</f>
        <v>2023.9333270000002</v>
      </c>
      <c r="BG137" s="1335">
        <f>유통플랫폼!G10+유통플랫폼!G12</f>
        <v>631.88473799999997</v>
      </c>
      <c r="BH137" s="1335">
        <f>유통플랫폼!H10+유통플랫폼!H12</f>
        <v>2446.0072720000003</v>
      </c>
      <c r="BI137" s="1335">
        <f>유통플랫폼!I10+유통플랫폼!I12</f>
        <v>4485.5440049999997</v>
      </c>
      <c r="BJ137" s="1335">
        <f>유통플랫폼!J10+유통플랫폼!J12</f>
        <v>842.6345530000001</v>
      </c>
      <c r="BK137" s="1335">
        <f>유통플랫폼!K10+유통플랫폼!K12</f>
        <v>634.950199</v>
      </c>
      <c r="BL137" s="1335">
        <f>유통플랫폼!L10+유통플랫폼!L12</f>
        <v>2282.5060000000003</v>
      </c>
      <c r="BM137" s="1335">
        <f>유통플랫폼!M10+유통플랫폼!M12</f>
        <v>3532.0189189999996</v>
      </c>
      <c r="BN137" s="1335">
        <f>유통플랫폼!N10+유통플랫폼!N12</f>
        <v>2987.2962299999995</v>
      </c>
      <c r="BO137" s="1335">
        <f>유통플랫폼!O10+유통플랫폼!O12</f>
        <v>1017.5335339999999</v>
      </c>
      <c r="BP137" s="1777">
        <f>유통플랫폼!P10+유통플랫폼!P12</f>
        <v>3641.0977300000004</v>
      </c>
      <c r="BQ137" s="1345">
        <f>SUM(BR137:CC137)</f>
        <v>35713.710411000015</v>
      </c>
      <c r="BR137" s="1777">
        <f>유통플랫폼!R10+유통플랫폼!R12</f>
        <v>276.18865000000005</v>
      </c>
      <c r="BS137" s="1777">
        <f>유통플랫폼!S10+유통플랫폼!S12</f>
        <v>1462.0631609999998</v>
      </c>
      <c r="BT137" s="1777">
        <f>유통플랫폼!T10+유통플랫폼!T12</f>
        <v>2667.9704999999999</v>
      </c>
      <c r="BU137" s="1777">
        <f>유통플랫폼!U10+유통플랫폼!U12</f>
        <v>5115.22325</v>
      </c>
      <c r="BV137" s="1777">
        <f>유통플랫폼!V10+유통플랫폼!V12</f>
        <v>2503.4997790000002</v>
      </c>
      <c r="BW137" s="1777">
        <f>유통플랫폼!W10+유통플랫폼!W12</f>
        <v>699.65382199999999</v>
      </c>
      <c r="BX137" s="1777">
        <f>유통플랫폼!X10+유통플랫폼!X12</f>
        <v>1168.8002759999999</v>
      </c>
      <c r="BY137" s="1777">
        <f>유통플랫폼!Y10+유통플랫폼!Y12</f>
        <v>4958.0862749999997</v>
      </c>
      <c r="BZ137" s="1777">
        <f>유통플랫폼!Z10+유통플랫폼!Z12</f>
        <v>5361.6130629999998</v>
      </c>
      <c r="CA137" s="1777">
        <f>유통플랫폼!AA10+유통플랫폼!AA12</f>
        <v>6288.8489639999989</v>
      </c>
      <c r="CB137" s="1777">
        <f>유통플랫폼!AB10+유통플랫폼!AB12</f>
        <v>3006.5281170000071</v>
      </c>
      <c r="CC137" s="1778">
        <f>유통플랫폼!AC10+유통플랫폼!AC12</f>
        <v>2205.2345540000001</v>
      </c>
      <c r="CD137" s="1345">
        <f>SUM(CE137:CP137)</f>
        <v>51015.838151999997</v>
      </c>
      <c r="CE137" s="1777">
        <f>유통플랫폼!AE10+유통플랫폼!AE12</f>
        <v>2240.7149050000003</v>
      </c>
      <c r="CF137" s="1777">
        <f>유통플랫폼!AF10+유통플랫폼!AF12</f>
        <v>5796.8017159999999</v>
      </c>
      <c r="CG137" s="1777">
        <f>유통플랫폼!AG10+유통플랫폼!AG12</f>
        <v>4696.2952530000002</v>
      </c>
      <c r="CH137" s="1777">
        <f>유통플랫폼!AH10+유통플랫폼!AH12</f>
        <v>3038.3485759999999</v>
      </c>
      <c r="CI137" s="1777">
        <f>유통플랫폼!AI10+유통플랫폼!AI12</f>
        <v>4067.3026290000003</v>
      </c>
      <c r="CJ137" s="1777">
        <f>유통플랫폼!AJ10+유통플랫폼!AJ12</f>
        <v>4474.6005740000001</v>
      </c>
      <c r="CK137" s="1777">
        <f>유통플랫폼!AK10+유통플랫폼!AK12</f>
        <v>5193.6016870000003</v>
      </c>
      <c r="CL137" s="1777">
        <f>유통플랫폼!AL10+유통플랫폼!AL12</f>
        <v>5643.1616180000001</v>
      </c>
      <c r="CM137" s="1777">
        <f>유통플랫폼!AM10+유통플랫폼!AM12</f>
        <v>5227.5386359999993</v>
      </c>
      <c r="CN137" s="1777">
        <f>유통플랫폼!AN10+유통플랫폼!AN12</f>
        <v>4073.9922040000006</v>
      </c>
      <c r="CO137" s="1777">
        <f>유통플랫폼!AO10+유통플랫폼!AO12</f>
        <v>5188.9031960000002</v>
      </c>
      <c r="CP137" s="2916">
        <f>유통플랫폼!AP10+유통플랫폼!AP12</f>
        <v>1374.5771580000001</v>
      </c>
      <c r="CQ137" s="1345">
        <f>SUM(CR137:DC137)</f>
        <v>55555.797707500002</v>
      </c>
      <c r="CR137" s="1336">
        <f>유통플랫폼!AR10+유통플랫폼!AR12</f>
        <v>2976.2927062772578</v>
      </c>
      <c r="CS137" s="1336">
        <f>유통플랫폼!AS10+유통플랫폼!AS12</f>
        <v>6307.524704566451</v>
      </c>
      <c r="CT137" s="1336">
        <f>유통플랫폼!AT10+유통플랫폼!AT12</f>
        <v>5649.2126340523646</v>
      </c>
      <c r="CU137" s="1336">
        <f>유통플랫폼!AU10+유통플랫폼!AU12</f>
        <v>4002.7636348254491</v>
      </c>
      <c r="CV137" s="1336">
        <f>유통플랫폼!AV10+유통플랫폼!AV12</f>
        <v>5657.4994068110273</v>
      </c>
      <c r="CW137" s="1336">
        <f>유통플랫폼!AW10+유통플랫폼!AW12</f>
        <v>5891.114027147014</v>
      </c>
      <c r="CX137" s="1336">
        <f>유통플랫폼!AX10+유통플랫폼!AX12</f>
        <v>4178.5650989700734</v>
      </c>
      <c r="CY137" s="1336">
        <f>유통플랫폼!AY10+유통플랫폼!AY12</f>
        <v>4178.5650989700734</v>
      </c>
      <c r="CZ137" s="1336">
        <f>유통플랫폼!AZ10+유통플랫폼!AZ12</f>
        <v>4178.5650989700734</v>
      </c>
      <c r="DA137" s="1336">
        <f>유통플랫폼!BA10+유통플랫폼!BA12</f>
        <v>4178.5650989700734</v>
      </c>
      <c r="DB137" s="1336">
        <f>유통플랫폼!BB10+유통플랫폼!BB12</f>
        <v>4178.5650989700734</v>
      </c>
      <c r="DC137" s="2010">
        <f>유통플랫폼!BC10+유통플랫폼!BC12</f>
        <v>4178.5650989700734</v>
      </c>
      <c r="DD137" s="2587"/>
      <c r="DE137" s="2587"/>
      <c r="DF137" s="2587"/>
      <c r="DG137" s="2975">
        <f>BQ137/BD137-1</f>
        <v>0.3533710666404648</v>
      </c>
      <c r="DH137" s="1913">
        <f>CD137/BQ137-1</f>
        <v>0.42846647869684373</v>
      </c>
      <c r="DI137" s="1913">
        <f>CQ137/CD137-1</f>
        <v>8.8991178425283257E-2</v>
      </c>
      <c r="DJ137" s="1913"/>
      <c r="DK137" s="1884"/>
      <c r="DN137" s="2603"/>
      <c r="DO137" s="2603"/>
    </row>
    <row r="138" spans="1:121">
      <c r="B138" s="60" t="s">
        <v>59</v>
      </c>
      <c r="C138" s="61"/>
      <c r="D138" s="65"/>
      <c r="E138" s="1337"/>
      <c r="F138" s="1337"/>
      <c r="G138" s="1337"/>
      <c r="H138" s="1337"/>
      <c r="I138" s="1337"/>
      <c r="J138" s="1337"/>
      <c r="K138" s="1337"/>
      <c r="L138" s="1337"/>
      <c r="M138" s="1337"/>
      <c r="N138" s="1337"/>
      <c r="O138" s="1337"/>
      <c r="P138" s="1397"/>
      <c r="Q138" s="99"/>
      <c r="R138" s="1337"/>
      <c r="S138" s="1337"/>
      <c r="T138" s="1337"/>
      <c r="U138" s="1337"/>
      <c r="V138" s="1337"/>
      <c r="W138" s="1337"/>
      <c r="X138" s="1337"/>
      <c r="Y138" s="1337"/>
      <c r="Z138" s="1337"/>
      <c r="AA138" s="1337"/>
      <c r="AB138" s="1337"/>
      <c r="AC138" s="1339"/>
      <c r="AD138" s="1027">
        <v>126</v>
      </c>
      <c r="AE138" s="1398"/>
      <c r="AF138" s="1042"/>
      <c r="AG138" s="1042"/>
      <c r="AH138" s="1042"/>
      <c r="AI138" s="1042"/>
      <c r="AJ138" s="1042"/>
      <c r="AK138" s="1042"/>
      <c r="AL138" s="1042"/>
      <c r="AM138" s="1042"/>
      <c r="AN138" s="1042"/>
      <c r="AO138" s="1042"/>
      <c r="AP138" s="1043"/>
      <c r="AQ138" s="99">
        <v>796.30909199999996</v>
      </c>
      <c r="AR138" s="1398"/>
      <c r="AS138" s="1042"/>
      <c r="AT138" s="1042"/>
      <c r="AU138" s="1042"/>
      <c r="AV138" s="1042"/>
      <c r="AW138" s="1042"/>
      <c r="AX138" s="1042"/>
      <c r="AY138" s="1042"/>
      <c r="AZ138" s="1042"/>
      <c r="BA138" s="1042"/>
      <c r="BB138" s="1042"/>
      <c r="BC138" s="1106"/>
      <c r="BD138" s="99">
        <f>SUM(BD139:BD141)</f>
        <v>346.63885000000005</v>
      </c>
      <c r="BE138" s="1485">
        <f t="shared" ref="BE138:BP138" si="415">SUM(BE139:BE141)</f>
        <v>29.537113999999999</v>
      </c>
      <c r="BF138" s="1337">
        <f t="shared" si="415"/>
        <v>9.5788270000000004</v>
      </c>
      <c r="BG138" s="1337">
        <f t="shared" si="415"/>
        <v>4.9108499999999999</v>
      </c>
      <c r="BH138" s="1337">
        <f t="shared" si="415"/>
        <v>0</v>
      </c>
      <c r="BI138" s="1337">
        <f t="shared" si="415"/>
        <v>1.418175</v>
      </c>
      <c r="BJ138" s="1337">
        <f t="shared" si="415"/>
        <v>23.383115</v>
      </c>
      <c r="BK138" s="1337">
        <f t="shared" si="415"/>
        <v>2.9771000000000001</v>
      </c>
      <c r="BL138" s="1337">
        <f t="shared" si="415"/>
        <v>25.729054999999999</v>
      </c>
      <c r="BM138" s="1337">
        <f t="shared" si="415"/>
        <v>11.01545</v>
      </c>
      <c r="BN138" s="1337">
        <f t="shared" si="415"/>
        <v>6.8844500000000002</v>
      </c>
      <c r="BO138" s="1337">
        <f t="shared" si="415"/>
        <v>3.4658500000000001</v>
      </c>
      <c r="BP138" s="1337">
        <f t="shared" si="415"/>
        <v>227.73886400000001</v>
      </c>
      <c r="BQ138" s="99">
        <f>SUM(BQ139:BQ141)</f>
        <v>4243.5113970000002</v>
      </c>
      <c r="BR138" s="1779">
        <f t="shared" ref="BR138:CC138" si="416">SUM(BR139:BR141)</f>
        <v>70.35645199999999</v>
      </c>
      <c r="BS138" s="1779">
        <f t="shared" si="416"/>
        <v>244.98310899999998</v>
      </c>
      <c r="BT138" s="1779">
        <f t="shared" si="416"/>
        <v>113.649337</v>
      </c>
      <c r="BU138" s="1779">
        <f t="shared" si="416"/>
        <v>768.87108199999989</v>
      </c>
      <c r="BV138" s="1779">
        <f t="shared" si="416"/>
        <v>217.99804200000003</v>
      </c>
      <c r="BW138" s="1779">
        <f t="shared" si="416"/>
        <v>124.99824100000001</v>
      </c>
      <c r="BX138" s="1779">
        <f t="shared" si="416"/>
        <v>208.85908699999999</v>
      </c>
      <c r="BY138" s="1779">
        <f t="shared" si="416"/>
        <v>299.84795900000006</v>
      </c>
      <c r="BZ138" s="1779">
        <f t="shared" si="416"/>
        <v>501.10819900000001</v>
      </c>
      <c r="CA138" s="1779">
        <f t="shared" si="416"/>
        <v>423.569278</v>
      </c>
      <c r="CB138" s="1779">
        <f t="shared" si="416"/>
        <v>692.33138099999996</v>
      </c>
      <c r="CC138" s="1780">
        <f t="shared" si="416"/>
        <v>576.93922999999995</v>
      </c>
      <c r="CD138" s="2011">
        <f>SUM(CD139:CD141)</f>
        <v>4642.5858740000003</v>
      </c>
      <c r="CE138" s="1928">
        <f t="shared" ref="CE138:CP138" si="417">SUM(CE139:CE141)</f>
        <v>466.59154400000006</v>
      </c>
      <c r="CF138" s="1928">
        <f t="shared" si="417"/>
        <v>828.90091700000005</v>
      </c>
      <c r="CG138" s="1928">
        <f t="shared" si="417"/>
        <v>144.30924399999998</v>
      </c>
      <c r="CH138" s="1928">
        <f t="shared" si="417"/>
        <v>562.74242400000003</v>
      </c>
      <c r="CI138" s="1928">
        <f t="shared" si="417"/>
        <v>187.54223999999999</v>
      </c>
      <c r="CJ138" s="1928">
        <f t="shared" si="417"/>
        <v>281.03056399999997</v>
      </c>
      <c r="CK138" s="1928">
        <f t="shared" si="417"/>
        <v>476.26143500000001</v>
      </c>
      <c r="CL138" s="1928">
        <f t="shared" si="417"/>
        <v>176.75392200000002</v>
      </c>
      <c r="CM138" s="1928">
        <f t="shared" si="417"/>
        <v>476.16375399999998</v>
      </c>
      <c r="CN138" s="1928">
        <f t="shared" si="417"/>
        <v>537.6129370000001</v>
      </c>
      <c r="CO138" s="1928">
        <f t="shared" si="417"/>
        <v>243.93865500000001</v>
      </c>
      <c r="CP138" s="2917">
        <f t="shared" si="417"/>
        <v>260.73823800000002</v>
      </c>
      <c r="CQ138" s="2011">
        <f>SUM(CQ139:CQ141)</f>
        <v>4224.4488555000007</v>
      </c>
      <c r="CR138" s="1709">
        <f t="shared" ref="CR138:DC138" si="418">SUM(CR139:CR141)</f>
        <v>313.20680283333331</v>
      </c>
      <c r="CS138" s="1709">
        <f t="shared" si="418"/>
        <v>342.59953233333334</v>
      </c>
      <c r="CT138" s="1709">
        <f t="shared" si="418"/>
        <v>312.74952983333333</v>
      </c>
      <c r="CU138" s="1709">
        <f t="shared" si="418"/>
        <v>524.42166533333329</v>
      </c>
      <c r="CV138" s="1709">
        <f t="shared" si="418"/>
        <v>319.24225783333333</v>
      </c>
      <c r="CW138" s="1709">
        <f t="shared" si="418"/>
        <v>329.6377123333333</v>
      </c>
      <c r="CX138" s="1709">
        <f t="shared" si="418"/>
        <v>386.88606583333336</v>
      </c>
      <c r="CY138" s="1709">
        <f t="shared" si="418"/>
        <v>339.04225783333334</v>
      </c>
      <c r="CZ138" s="1709">
        <f t="shared" si="418"/>
        <v>339.84225783333335</v>
      </c>
      <c r="DA138" s="1709">
        <f t="shared" si="418"/>
        <v>338.84225783333335</v>
      </c>
      <c r="DB138" s="1709">
        <f t="shared" si="418"/>
        <v>338.74225783333333</v>
      </c>
      <c r="DC138" s="2012">
        <f t="shared" si="418"/>
        <v>339.23625783333335</v>
      </c>
      <c r="DD138" s="2587"/>
      <c r="DE138" s="2587"/>
      <c r="DF138" s="2587"/>
      <c r="DG138" s="2975">
        <f>BQ138/BD138-1</f>
        <v>11.241880553780973</v>
      </c>
      <c r="DH138" s="1913">
        <f>CD138/BQ138-1</f>
        <v>9.4043455917693697E-2</v>
      </c>
      <c r="DI138" s="1913">
        <f>CQ138/CD138-1</f>
        <v>-9.0065543179654206E-2</v>
      </c>
      <c r="DJ138" s="1913"/>
      <c r="DK138" s="1884"/>
      <c r="DN138" s="2603"/>
      <c r="DO138" s="2603"/>
      <c r="DP138" s="2603"/>
    </row>
    <row r="139" spans="1:121">
      <c r="B139" s="40" t="s">
        <v>120</v>
      </c>
      <c r="C139" s="41"/>
      <c r="D139" s="66"/>
      <c r="E139" s="1340"/>
      <c r="F139" s="1340"/>
      <c r="G139" s="1340"/>
      <c r="H139" s="1340"/>
      <c r="I139" s="1340"/>
      <c r="J139" s="1340"/>
      <c r="K139" s="1340"/>
      <c r="L139" s="1340"/>
      <c r="M139" s="1340"/>
      <c r="N139" s="1340"/>
      <c r="O139" s="1340"/>
      <c r="P139" s="1399"/>
      <c r="Q139" s="64"/>
      <c r="R139" s="1340"/>
      <c r="S139" s="1340"/>
      <c r="T139" s="1340"/>
      <c r="U139" s="1340"/>
      <c r="V139" s="1340"/>
      <c r="W139" s="1340"/>
      <c r="X139" s="1340"/>
      <c r="Y139" s="1340"/>
      <c r="Z139" s="1340"/>
      <c r="AA139" s="1340"/>
      <c r="AB139" s="1340"/>
      <c r="AC139" s="1341"/>
      <c r="AD139" s="1028"/>
      <c r="AE139" s="1400"/>
      <c r="AF139" s="1044"/>
      <c r="AG139" s="1044"/>
      <c r="AH139" s="1044"/>
      <c r="AI139" s="1044"/>
      <c r="AJ139" s="1044"/>
      <c r="AK139" s="1044"/>
      <c r="AL139" s="1044"/>
      <c r="AM139" s="1044"/>
      <c r="AN139" s="1044"/>
      <c r="AO139" s="1044"/>
      <c r="AP139" s="1045"/>
      <c r="AQ139" s="64"/>
      <c r="AR139" s="1400"/>
      <c r="AS139" s="1044"/>
      <c r="AT139" s="1044"/>
      <c r="AU139" s="1044"/>
      <c r="AV139" s="1044"/>
      <c r="AW139" s="1044"/>
      <c r="AX139" s="1044"/>
      <c r="AY139" s="1044"/>
      <c r="AZ139" s="1044"/>
      <c r="BA139" s="1044"/>
      <c r="BB139" s="1044"/>
      <c r="BC139" s="1107"/>
      <c r="BD139" s="64"/>
      <c r="BE139" s="1486"/>
      <c r="BF139" s="1340"/>
      <c r="BG139" s="1340"/>
      <c r="BH139" s="1340"/>
      <c r="BI139" s="1340"/>
      <c r="BJ139" s="1340"/>
      <c r="BK139" s="1340"/>
      <c r="BL139" s="1340"/>
      <c r="BM139" s="1340"/>
      <c r="BN139" s="1340"/>
      <c r="BO139" s="1340"/>
      <c r="BP139" s="1340"/>
      <c r="BQ139" s="64">
        <f>SUM(BR139:CC139)</f>
        <v>3392.275944</v>
      </c>
      <c r="BR139" s="1781">
        <f>유통플랫폼!R13</f>
        <v>39.372726999999998</v>
      </c>
      <c r="BS139" s="1781">
        <f>유통플랫폼!S13</f>
        <v>215.75265899999999</v>
      </c>
      <c r="BT139" s="1781">
        <f>유통플랫폼!T13</f>
        <v>61.535329999999995</v>
      </c>
      <c r="BU139" s="1781">
        <f>유통플랫폼!U13</f>
        <v>426.54704499999997</v>
      </c>
      <c r="BV139" s="1781">
        <f>유통플랫폼!V13</f>
        <v>166.40772600000003</v>
      </c>
      <c r="BW139" s="1781">
        <f>유통플랫폼!W13</f>
        <v>81.197386000000009</v>
      </c>
      <c r="BX139" s="1781">
        <f>유통플랫폼!X13</f>
        <v>158.00278699999998</v>
      </c>
      <c r="BY139" s="1781">
        <f>유통플랫폼!Y13</f>
        <v>252.05904500000003</v>
      </c>
      <c r="BZ139" s="1781">
        <f>유통플랫폼!Z13</f>
        <v>462.36797200000001</v>
      </c>
      <c r="CA139" s="1781">
        <f>유통플랫폼!AA13</f>
        <v>354.18676399999998</v>
      </c>
      <c r="CB139" s="1781">
        <f>유통플랫폼!AB13</f>
        <v>646.10815200000002</v>
      </c>
      <c r="CC139" s="1782">
        <f>유통플랫폼!AC13</f>
        <v>528.73835099999997</v>
      </c>
      <c r="CD139" s="1710">
        <f>SUM(CE139:CP139)</f>
        <v>3314.5778679999999</v>
      </c>
      <c r="CE139" s="1930">
        <f>유통플랫폼!AE13</f>
        <v>403.13889400000005</v>
      </c>
      <c r="CF139" s="1930">
        <f>유통플랫폼!AF13</f>
        <v>779.63336800000002</v>
      </c>
      <c r="CG139" s="1930">
        <f>유통플랫폼!AG13</f>
        <v>87.665234999999996</v>
      </c>
      <c r="CH139" s="1930">
        <f>유통플랫폼!AH13</f>
        <v>234.74600900000002</v>
      </c>
      <c r="CI139" s="1930">
        <f>유통플랫폼!AI13</f>
        <v>137.503355</v>
      </c>
      <c r="CJ139" s="1930">
        <f>유통플랫폼!AJ13</f>
        <v>236.17353199999997</v>
      </c>
      <c r="CK139" s="1930">
        <f>유통플랫폼!AK13</f>
        <v>256.02793600000001</v>
      </c>
      <c r="CL139" s="1930">
        <f>유통플랫폼!AL13</f>
        <v>85.627912000000009</v>
      </c>
      <c r="CM139" s="1930">
        <f>유통플랫폼!AM13</f>
        <v>370.956909</v>
      </c>
      <c r="CN139" s="1930">
        <f>유통플랫폼!AN13</f>
        <v>393.48022200000003</v>
      </c>
      <c r="CO139" s="1930">
        <f>유통플랫폼!AO13</f>
        <v>156.69422800000001</v>
      </c>
      <c r="CP139" s="2918">
        <f>유통플랫폼!AP13</f>
        <v>172.93026800000001</v>
      </c>
      <c r="CQ139" s="1710">
        <f>SUM(CR139:DC139)</f>
        <v>3129.8454575000005</v>
      </c>
      <c r="CR139" s="1711">
        <f>유통플랫폼!AR13</f>
        <v>253.56060583333331</v>
      </c>
      <c r="CS139" s="1711">
        <f>유통플랫폼!AS13</f>
        <v>282.13333533333332</v>
      </c>
      <c r="CT139" s="1711">
        <f>유통플랫폼!AT13</f>
        <v>252.3833328333333</v>
      </c>
      <c r="CU139" s="1711">
        <f>유통플랫폼!AU13</f>
        <v>258.92424233333332</v>
      </c>
      <c r="CV139" s="1711">
        <f>유통플랫폼!AV13</f>
        <v>259.05606083333333</v>
      </c>
      <c r="CW139" s="1711">
        <f>유통플랫폼!AW13</f>
        <v>269.4515153333333</v>
      </c>
      <c r="CX139" s="1711">
        <f>유통플랫폼!AX13</f>
        <v>259.05606083333333</v>
      </c>
      <c r="CY139" s="1711">
        <f>유통플랫폼!AY13</f>
        <v>259.05606083333333</v>
      </c>
      <c r="CZ139" s="1711">
        <f>유통플랫폼!AZ13</f>
        <v>259.05606083333333</v>
      </c>
      <c r="DA139" s="1711">
        <f>유통플랫폼!BA13</f>
        <v>259.05606083333333</v>
      </c>
      <c r="DB139" s="1711">
        <f>유통플랫폼!BB13</f>
        <v>259.05606083333333</v>
      </c>
      <c r="DC139" s="2013">
        <f>유통플랫폼!BC13</f>
        <v>259.05606083333333</v>
      </c>
      <c r="DD139" s="25"/>
      <c r="DE139" s="25"/>
      <c r="DF139" s="25"/>
      <c r="DG139" s="2975"/>
      <c r="DH139" s="1913">
        <f>CD139/BQ139-1</f>
        <v>-2.2904409099568257E-2</v>
      </c>
      <c r="DI139" s="1913">
        <f>CQ139/CD139-1</f>
        <v>-5.5733314423976998E-2</v>
      </c>
      <c r="DJ139" s="1913"/>
      <c r="DK139" s="1884"/>
      <c r="DL139" s="2718"/>
      <c r="DM139" s="2718"/>
      <c r="DN139" s="2603"/>
    </row>
    <row r="140" spans="1:121">
      <c r="B140" s="40" t="s">
        <v>121</v>
      </c>
      <c r="C140" s="42"/>
      <c r="D140" s="1401"/>
      <c r="E140" s="1342"/>
      <c r="F140" s="1342"/>
      <c r="G140" s="1342"/>
      <c r="H140" s="1342"/>
      <c r="I140" s="1342"/>
      <c r="J140" s="1342"/>
      <c r="K140" s="1342"/>
      <c r="L140" s="1342"/>
      <c r="M140" s="1342"/>
      <c r="N140" s="1342"/>
      <c r="O140" s="1342"/>
      <c r="P140" s="1402"/>
      <c r="Q140" s="64"/>
      <c r="R140" s="1342"/>
      <c r="S140" s="1342"/>
      <c r="T140" s="1342"/>
      <c r="U140" s="1342"/>
      <c r="V140" s="1342"/>
      <c r="W140" s="1342"/>
      <c r="X140" s="1342"/>
      <c r="Y140" s="1342"/>
      <c r="Z140" s="1342"/>
      <c r="AA140" s="1342"/>
      <c r="AB140" s="1342"/>
      <c r="AC140" s="1343"/>
      <c r="AD140" s="1028"/>
      <c r="AE140" s="1403"/>
      <c r="AF140" s="1046"/>
      <c r="AG140" s="1046"/>
      <c r="AH140" s="1046"/>
      <c r="AI140" s="1046"/>
      <c r="AJ140" s="1046"/>
      <c r="AK140" s="1046"/>
      <c r="AL140" s="1046"/>
      <c r="AM140" s="1046"/>
      <c r="AN140" s="1046"/>
      <c r="AO140" s="1046"/>
      <c r="AP140" s="1047"/>
      <c r="AQ140" s="64"/>
      <c r="AR140" s="1403"/>
      <c r="AS140" s="1046"/>
      <c r="AT140" s="1046"/>
      <c r="AU140" s="1046"/>
      <c r="AV140" s="1046"/>
      <c r="AW140" s="1046"/>
      <c r="AX140" s="1046"/>
      <c r="AY140" s="1046"/>
      <c r="AZ140" s="1046"/>
      <c r="BA140" s="1046"/>
      <c r="BB140" s="1046"/>
      <c r="BC140" s="1108"/>
      <c r="BD140" s="64"/>
      <c r="BE140" s="1487"/>
      <c r="BF140" s="1342"/>
      <c r="BG140" s="1342"/>
      <c r="BH140" s="1342"/>
      <c r="BI140" s="1342"/>
      <c r="BJ140" s="1342"/>
      <c r="BK140" s="1342"/>
      <c r="BL140" s="1342"/>
      <c r="BM140" s="1342"/>
      <c r="BN140" s="1342"/>
      <c r="BO140" s="1342"/>
      <c r="BP140" s="1342"/>
      <c r="BQ140" s="64"/>
      <c r="BR140" s="1783"/>
      <c r="BS140" s="1783"/>
      <c r="BT140" s="1783"/>
      <c r="BU140" s="1783"/>
      <c r="BV140" s="1783"/>
      <c r="BW140" s="1783"/>
      <c r="BX140" s="1783"/>
      <c r="BY140" s="1783"/>
      <c r="BZ140" s="1783"/>
      <c r="CA140" s="1783"/>
      <c r="CB140" s="1783"/>
      <c r="CC140" s="1784"/>
      <c r="CD140" s="1710"/>
      <c r="CE140" s="1932"/>
      <c r="CF140" s="1932"/>
      <c r="CG140" s="1932"/>
      <c r="CH140" s="1932"/>
      <c r="CI140" s="1932"/>
      <c r="CJ140" s="1932"/>
      <c r="CK140" s="1932"/>
      <c r="CL140" s="1932"/>
      <c r="CM140" s="1932"/>
      <c r="CN140" s="1932"/>
      <c r="CO140" s="1932"/>
      <c r="CP140" s="2919"/>
      <c r="CQ140" s="1710"/>
      <c r="CR140" s="1712"/>
      <c r="CS140" s="1712"/>
      <c r="CT140" s="1712"/>
      <c r="CU140" s="1712"/>
      <c r="CV140" s="1712"/>
      <c r="CW140" s="1712"/>
      <c r="CX140" s="1712"/>
      <c r="CY140" s="1712"/>
      <c r="CZ140" s="1712"/>
      <c r="DA140" s="1712"/>
      <c r="DB140" s="1712"/>
      <c r="DC140" s="2014"/>
      <c r="DD140" s="2588"/>
      <c r="DE140" s="2588"/>
      <c r="DF140" s="2588"/>
      <c r="DG140" s="2975"/>
      <c r="DH140" s="1913"/>
      <c r="DI140" s="2980"/>
      <c r="DJ140" s="2980"/>
      <c r="DK140" s="1884"/>
      <c r="DN140" s="2605"/>
      <c r="DO140" s="2605"/>
      <c r="DP140" s="2605"/>
    </row>
    <row r="141" spans="1:121">
      <c r="B141" s="40" t="s">
        <v>122</v>
      </c>
      <c r="C141" s="41"/>
      <c r="D141" s="1404"/>
      <c r="E141" s="1340"/>
      <c r="F141" s="1340"/>
      <c r="G141" s="1340"/>
      <c r="H141" s="1340"/>
      <c r="I141" s="1340"/>
      <c r="J141" s="1340"/>
      <c r="K141" s="1340"/>
      <c r="L141" s="1340"/>
      <c r="M141" s="1340"/>
      <c r="N141" s="1340"/>
      <c r="O141" s="1340"/>
      <c r="P141" s="1399"/>
      <c r="Q141" s="64"/>
      <c r="R141" s="1340"/>
      <c r="S141" s="1340"/>
      <c r="T141" s="1340"/>
      <c r="U141" s="1340"/>
      <c r="V141" s="1340"/>
      <c r="W141" s="1340"/>
      <c r="X141" s="1340"/>
      <c r="Y141" s="1340"/>
      <c r="Z141" s="1340"/>
      <c r="AA141" s="1340"/>
      <c r="AB141" s="1340"/>
      <c r="AC141" s="1341"/>
      <c r="AD141" s="1028">
        <v>126</v>
      </c>
      <c r="AE141" s="1400"/>
      <c r="AF141" s="1044"/>
      <c r="AG141" s="1044"/>
      <c r="AH141" s="1044"/>
      <c r="AI141" s="1044"/>
      <c r="AJ141" s="1044"/>
      <c r="AK141" s="1044"/>
      <c r="AL141" s="1044"/>
      <c r="AM141" s="1044"/>
      <c r="AN141" s="1044"/>
      <c r="AO141" s="1044"/>
      <c r="AP141" s="1045"/>
      <c r="AQ141" s="64">
        <v>796.30909199999996</v>
      </c>
      <c r="AR141" s="1400"/>
      <c r="AS141" s="1044"/>
      <c r="AT141" s="1044"/>
      <c r="AU141" s="1044"/>
      <c r="AV141" s="1044"/>
      <c r="AW141" s="1044"/>
      <c r="AX141" s="1044"/>
      <c r="AY141" s="1044"/>
      <c r="AZ141" s="1044"/>
      <c r="BA141" s="1044"/>
      <c r="BB141" s="1044"/>
      <c r="BC141" s="1107"/>
      <c r="BD141" s="64">
        <f>SUM(BE141:BP141)</f>
        <v>346.63885000000005</v>
      </c>
      <c r="BE141" s="1486">
        <f>유통플랫폼!E11+유통플랫폼!E14</f>
        <v>29.537113999999999</v>
      </c>
      <c r="BF141" s="1340">
        <f>유통플랫폼!F11+유통플랫폼!F14</f>
        <v>9.5788270000000004</v>
      </c>
      <c r="BG141" s="1340">
        <f>유통플랫폼!G11+유통플랫폼!G14</f>
        <v>4.9108499999999999</v>
      </c>
      <c r="BH141" s="1340">
        <f>유통플랫폼!H11+유통플랫폼!H14</f>
        <v>0</v>
      </c>
      <c r="BI141" s="1340">
        <f>유통플랫폼!I11+유통플랫폼!I14</f>
        <v>1.418175</v>
      </c>
      <c r="BJ141" s="1340">
        <f>유통플랫폼!J11+유통플랫폼!J14</f>
        <v>23.383115</v>
      </c>
      <c r="BK141" s="1340">
        <f>유통플랫폼!K11+유통플랫폼!K14</f>
        <v>2.9771000000000001</v>
      </c>
      <c r="BL141" s="1340">
        <f>유통플랫폼!L11+유통플랫폼!L14</f>
        <v>25.729054999999999</v>
      </c>
      <c r="BM141" s="1340">
        <f>유통플랫폼!M11+유통플랫폼!M14</f>
        <v>11.01545</v>
      </c>
      <c r="BN141" s="1340">
        <f>유통플랫폼!N11+유통플랫폼!N14</f>
        <v>6.8844500000000002</v>
      </c>
      <c r="BO141" s="1340">
        <f>유통플랫폼!O11+유통플랫폼!O14</f>
        <v>3.4658500000000001</v>
      </c>
      <c r="BP141" s="1340">
        <f>유통플랫폼!P11+유통플랫폼!P14</f>
        <v>227.73886400000001</v>
      </c>
      <c r="BQ141" s="64">
        <f>SUM(BR141:CC141)</f>
        <v>851.23545300000001</v>
      </c>
      <c r="BR141" s="1781">
        <f>유통플랫폼!R11+유통플랫폼!R14</f>
        <v>30.983725</v>
      </c>
      <c r="BS141" s="1781">
        <f>유통플랫폼!S11+유통플랫폼!S14</f>
        <v>29.230449999999998</v>
      </c>
      <c r="BT141" s="1781">
        <f>유통플랫폼!T11+유통플랫폼!T14</f>
        <v>52.114007000000001</v>
      </c>
      <c r="BU141" s="1781">
        <f>유통플랫폼!U11+유통플랫폼!U14</f>
        <v>342.32403699999998</v>
      </c>
      <c r="BV141" s="1781">
        <f>유통플랫폼!V11+유통플랫폼!V14</f>
        <v>51.590316000000001</v>
      </c>
      <c r="BW141" s="1781">
        <f>유통플랫폼!W11+유통플랫폼!W14</f>
        <v>43.800854999999999</v>
      </c>
      <c r="BX141" s="1781">
        <f>유통플랫폼!X11+유통플랫폼!X14</f>
        <v>50.856299999999997</v>
      </c>
      <c r="BY141" s="1781">
        <f>유통플랫폼!Y11+유통플랫폼!Y14</f>
        <v>47.788914000000005</v>
      </c>
      <c r="BZ141" s="1781">
        <f>유통플랫폼!Z11+유통플랫폼!Z14</f>
        <v>38.740226999999997</v>
      </c>
      <c r="CA141" s="1781">
        <f>유통플랫폼!AA11+유통플랫폼!AA14</f>
        <v>69.382514</v>
      </c>
      <c r="CB141" s="1781">
        <f>유통플랫폼!AB11+유통플랫폼!AB14</f>
        <v>46.223229000000003</v>
      </c>
      <c r="CC141" s="1782">
        <f>유통플랫폼!AC11+유통플랫폼!AC14</f>
        <v>48.200879</v>
      </c>
      <c r="CD141" s="1710">
        <f>SUM(CE141:CP141)</f>
        <v>1328.0080060000003</v>
      </c>
      <c r="CE141" s="1930">
        <f>유통플랫폼!AE11+유통플랫폼!AE14</f>
        <v>63.452649999999998</v>
      </c>
      <c r="CF141" s="1930">
        <f>유통플랫폼!AF11+유통플랫폼!AF14</f>
        <v>49.267549000000002</v>
      </c>
      <c r="CG141" s="1930">
        <f>유통플랫폼!AG11+유통플랫폼!AG14</f>
        <v>56.644008999999997</v>
      </c>
      <c r="CH141" s="1930">
        <f>유통플랫폼!AH11+유통플랫폼!AH14</f>
        <v>327.99641499999996</v>
      </c>
      <c r="CI141" s="1930">
        <f>유통플랫폼!AI11+유통플랫폼!AI14</f>
        <v>50.038884999999993</v>
      </c>
      <c r="CJ141" s="1930">
        <f>유통플랫폼!AJ11+유통플랫폼!AJ14</f>
        <v>44.857032000000004</v>
      </c>
      <c r="CK141" s="1930">
        <f>유통플랫폼!AK11+유통플랫폼!AK14</f>
        <v>220.23349899999999</v>
      </c>
      <c r="CL141" s="1930">
        <f>유통플랫폼!AL11+유통플랫폼!AL14</f>
        <v>91.126010000000008</v>
      </c>
      <c r="CM141" s="1930">
        <f>유통플랫폼!AM11+유통플랫폼!AM14</f>
        <v>105.206845</v>
      </c>
      <c r="CN141" s="1930">
        <f>유통플랫폼!AN11+유통플랫폼!AN14</f>
        <v>144.13271500000002</v>
      </c>
      <c r="CO141" s="1930">
        <f>유통플랫폼!AO11+유통플랫폼!AO14</f>
        <v>87.244427000000002</v>
      </c>
      <c r="CP141" s="2918">
        <f>유통플랫폼!AP11+유통플랫폼!AP14</f>
        <v>87.807969999999997</v>
      </c>
      <c r="CQ141" s="1710">
        <f>SUM(CR141:DC141)</f>
        <v>1094.603398</v>
      </c>
      <c r="CR141" s="1711">
        <f>유통플랫폼!AR11+유통플랫폼!AR14</f>
        <v>59.646197000000001</v>
      </c>
      <c r="CS141" s="1711">
        <f>유통플랫폼!AS11+유통플랫폼!AS14</f>
        <v>60.466197000000001</v>
      </c>
      <c r="CT141" s="1711">
        <f>유통플랫폼!AT11+유통플랫폼!AT14</f>
        <v>60.366197</v>
      </c>
      <c r="CU141" s="1711">
        <f>유통플랫폼!AU11+유통플랫폼!AU14</f>
        <v>265.49742300000003</v>
      </c>
      <c r="CV141" s="1711">
        <f>유통플랫폼!AV11+유통플랫폼!AV14</f>
        <v>60.186197</v>
      </c>
      <c r="CW141" s="1711">
        <f>유통플랫폼!AW11+유통플랫폼!AW14</f>
        <v>60.186197</v>
      </c>
      <c r="CX141" s="1711">
        <f>유통플랫폼!AX11+유통플랫폼!AX14</f>
        <v>127.83000500000001</v>
      </c>
      <c r="CY141" s="1711">
        <f>유통플랫폼!AY11+유통플랫폼!AY14</f>
        <v>79.986197000000004</v>
      </c>
      <c r="CZ141" s="1711">
        <f>유통플랫폼!AZ11+유통플랫폼!AZ14</f>
        <v>80.786197000000001</v>
      </c>
      <c r="DA141" s="1711">
        <f>유통플랫폼!BA11+유통플랫폼!BA14</f>
        <v>79.786197000000001</v>
      </c>
      <c r="DB141" s="1711">
        <f>유통플랫폼!BB11+유통플랫폼!BB14</f>
        <v>79.686196999999993</v>
      </c>
      <c r="DC141" s="2013">
        <f>유통플랫폼!BC11+유통플랫폼!BC14</f>
        <v>80.180197000000007</v>
      </c>
      <c r="DD141" s="25"/>
      <c r="DE141" s="25"/>
      <c r="DF141" s="25"/>
      <c r="DG141" s="2975"/>
      <c r="DH141" s="1913">
        <f t="shared" ref="DH141:DH146" si="419">CD141/BQ141-1</f>
        <v>0.56009480258336963</v>
      </c>
      <c r="DI141" s="1913">
        <f t="shared" ref="DI141:DI146" si="420">CQ141/CD141-1</f>
        <v>-0.1757554223660307</v>
      </c>
      <c r="DJ141" s="1913"/>
      <c r="DK141" s="1884"/>
    </row>
    <row r="142" spans="1:121">
      <c r="B142" s="30" t="s">
        <v>63</v>
      </c>
      <c r="C142" s="31"/>
      <c r="D142" s="32"/>
      <c r="E142" s="417"/>
      <c r="F142" s="417"/>
      <c r="G142" s="417"/>
      <c r="H142" s="417"/>
      <c r="I142" s="417"/>
      <c r="J142" s="417"/>
      <c r="K142" s="417"/>
      <c r="L142" s="417"/>
      <c r="M142" s="417"/>
      <c r="N142" s="417"/>
      <c r="O142" s="417"/>
      <c r="P142" s="1024"/>
      <c r="Q142" s="1031"/>
      <c r="R142" s="417"/>
      <c r="S142" s="417"/>
      <c r="T142" s="417"/>
      <c r="U142" s="417"/>
      <c r="V142" s="417"/>
      <c r="W142" s="417"/>
      <c r="X142" s="417"/>
      <c r="Y142" s="417"/>
      <c r="Z142" s="417"/>
      <c r="AA142" s="417"/>
      <c r="AB142" s="417"/>
      <c r="AC142" s="1036"/>
      <c r="AD142" s="1025">
        <v>13017.119999999999</v>
      </c>
      <c r="AE142" s="1037"/>
      <c r="AF142" s="1038"/>
      <c r="AG142" s="1038"/>
      <c r="AH142" s="1038"/>
      <c r="AI142" s="1038"/>
      <c r="AJ142" s="1038"/>
      <c r="AK142" s="1038"/>
      <c r="AL142" s="1038"/>
      <c r="AM142" s="1038"/>
      <c r="AN142" s="1038"/>
      <c r="AO142" s="1038"/>
      <c r="AP142" s="1039"/>
      <c r="AQ142" s="1031">
        <v>14027.251256</v>
      </c>
      <c r="AR142" s="1037"/>
      <c r="AS142" s="1038"/>
      <c r="AT142" s="1038"/>
      <c r="AU142" s="1038"/>
      <c r="AV142" s="1038"/>
      <c r="AW142" s="1038"/>
      <c r="AX142" s="1038"/>
      <c r="AY142" s="1038"/>
      <c r="AZ142" s="1038"/>
      <c r="BA142" s="1038"/>
      <c r="BB142" s="1038"/>
      <c r="BC142" s="1102"/>
      <c r="BD142" s="1031">
        <f>SUM(BE142:BP142)</f>
        <v>23602.168418999998</v>
      </c>
      <c r="BE142" s="1029">
        <f>유통플랫폼!E16+유통플랫폼!E17</f>
        <v>1746.9150059999999</v>
      </c>
      <c r="BF142" s="417">
        <f>유통플랫폼!F16+유통플랫폼!F17</f>
        <v>1840.7651679999999</v>
      </c>
      <c r="BG142" s="417">
        <f>유통플랫폼!G16+유통플랫폼!G17</f>
        <v>488.24343799999997</v>
      </c>
      <c r="BH142" s="417">
        <f>유통플랫폼!H16+유통플랫폼!H17</f>
        <v>2258.026484</v>
      </c>
      <c r="BI142" s="417">
        <f>유통플랫폼!I16+유통플랫폼!I17</f>
        <v>4158.5298469999998</v>
      </c>
      <c r="BJ142" s="417">
        <f>유통플랫폼!J16+유통플랫폼!J17</f>
        <v>615.46439599999997</v>
      </c>
      <c r="BK142" s="417">
        <f>유통플랫폼!K16+유통플랫폼!K17</f>
        <v>479.665978</v>
      </c>
      <c r="BL142" s="417">
        <f>유통플랫폼!L16+유통플랫폼!L17</f>
        <v>1873.3260270000001</v>
      </c>
      <c r="BM142" s="417">
        <f>유통플랫폼!M16+유통플랫폼!M17</f>
        <v>3229.0250930000002</v>
      </c>
      <c r="BN142" s="417">
        <f>유통플랫폼!N16+유통플랫폼!N17</f>
        <v>2465.0812089999999</v>
      </c>
      <c r="BO142" s="417">
        <f>유통플랫폼!O16+유통플랫폼!O17</f>
        <v>1114.79483</v>
      </c>
      <c r="BP142" s="417">
        <f>유통플랫폼!P16+유통플랫폼!P17</f>
        <v>3332.3309429999999</v>
      </c>
      <c r="BQ142" s="1031">
        <f>SUM(BR142:CC142)</f>
        <v>31004.261993</v>
      </c>
      <c r="BR142" s="417">
        <f>유통플랫폼!R16+유통플랫폼!R17</f>
        <v>252.8409</v>
      </c>
      <c r="BS142" s="417">
        <f>유통플랫폼!S16+유통플랫폼!S17</f>
        <v>1447.1772980000001</v>
      </c>
      <c r="BT142" s="417">
        <f>유통플랫폼!T16+유통플랫폼!T17</f>
        <v>2475.575229</v>
      </c>
      <c r="BU142" s="417">
        <f>유통플랫폼!U16+유통플랫폼!U17</f>
        <v>4183.053363</v>
      </c>
      <c r="BV142" s="417">
        <f>유통플랫폼!V16+유통플랫폼!V17</f>
        <v>2158.8081899999997</v>
      </c>
      <c r="BW142" s="417">
        <f>유통플랫폼!W16+유통플랫폼!W17</f>
        <v>459.14977499999998</v>
      </c>
      <c r="BX142" s="417">
        <f>유통플랫폼!X16+유통플랫폼!X17</f>
        <v>1029.6501619999999</v>
      </c>
      <c r="BY142" s="417">
        <f>유통플랫폼!Y16+유통플랫폼!Y17</f>
        <v>4147.1622749999997</v>
      </c>
      <c r="BZ142" s="417">
        <f>유통플랫폼!Z16+유통플랫폼!Z17</f>
        <v>4290.1396480000003</v>
      </c>
      <c r="CA142" s="417">
        <f>유통플랫폼!AA16+유통플랫폼!AA17</f>
        <v>5410.2007460000004</v>
      </c>
      <c r="CB142" s="417">
        <f>유통플랫폼!AB16+유통플랫폼!AB17</f>
        <v>3237.0101710000004</v>
      </c>
      <c r="CC142" s="1334">
        <f>유통플랫폼!AC16+유통플랫폼!AC17</f>
        <v>1913.494236</v>
      </c>
      <c r="CD142" s="1031">
        <f>SUM(CE142:CP142)</f>
        <v>42348.181294000002</v>
      </c>
      <c r="CE142" s="1708">
        <f>유통플랫폼!AE16+유통플랫폼!AE17</f>
        <v>1942.7652639999999</v>
      </c>
      <c r="CF142" s="1708">
        <f>유통플랫폼!AF16+유통플랫폼!AF17</f>
        <v>4297.8762630000001</v>
      </c>
      <c r="CG142" s="1708">
        <f>유통플랫폼!AG16+유통플랫폼!AG17</f>
        <v>4168.4545209999997</v>
      </c>
      <c r="CH142" s="1708">
        <f>유통플랫폼!AH16+유통플랫폼!AH17</f>
        <v>2454.6552649999999</v>
      </c>
      <c r="CI142" s="1708">
        <f>유통플랫폼!AI16+유통플랫폼!AI17</f>
        <v>3454.8292750000001</v>
      </c>
      <c r="CJ142" s="1708">
        <f>유통플랫폼!AJ16+유통플랫폼!AJ17</f>
        <v>3551.3904950000001</v>
      </c>
      <c r="CK142" s="1708">
        <f>유통플랫폼!AK16+유통플랫폼!AK17</f>
        <v>4449.341359</v>
      </c>
      <c r="CL142" s="1708">
        <f>유통플랫폼!AL16+유통플랫폼!AL17</f>
        <v>4670.3138090000002</v>
      </c>
      <c r="CM142" s="1708">
        <f>유통플랫폼!AM16+유통플랫폼!AM17</f>
        <v>4491.2160599999997</v>
      </c>
      <c r="CN142" s="1708">
        <f>유통플랫폼!AN16+유통플랫폼!AN17</f>
        <v>3372.6886880000002</v>
      </c>
      <c r="CO142" s="1708">
        <f>유통플랫폼!AO16+유통플랫폼!AO17</f>
        <v>3828.6432770000001</v>
      </c>
      <c r="CP142" s="1024">
        <f>유통플랫폼!AP16+유통플랫폼!AP17</f>
        <v>1666.0070179999998</v>
      </c>
      <c r="CQ142" s="1031">
        <f>SUM(CR142:DC142)</f>
        <v>45810.45366510949</v>
      </c>
      <c r="CR142" s="1708">
        <f>유통플랫폼!AR16+유통플랫폼!AR17</f>
        <v>2517.181423220396</v>
      </c>
      <c r="CS142" s="1708">
        <f>유통플랫폼!AS16+유통플랫폼!AS17</f>
        <v>4646.9352468066772</v>
      </c>
      <c r="CT142" s="1708">
        <f>유통플랫폼!AT16+유통플랫폼!AT17</f>
        <v>4985.5294999421076</v>
      </c>
      <c r="CU142" s="1708">
        <f>유통플랫폼!AU16+유통플랫폼!AU17</f>
        <v>3393.0126756234163</v>
      </c>
      <c r="CV142" s="1708">
        <f>유통플랫폼!AV16+유통플랫폼!AV17</f>
        <v>4805.8137004637592</v>
      </c>
      <c r="CW142" s="1708">
        <f>유통플랫폼!AW16+유통플랫폼!AW17</f>
        <v>4660.9293876695774</v>
      </c>
      <c r="CX142" s="1708">
        <f>유통플랫폼!AX16+유통플랫폼!AX17</f>
        <v>3466.1862957270855</v>
      </c>
      <c r="CY142" s="1708">
        <f>유통플랫폼!AY16+유통플랫폼!AY17</f>
        <v>3465.1995043228749</v>
      </c>
      <c r="CZ142" s="1708">
        <f>유통플랫폼!AZ16+유통플랫폼!AZ17</f>
        <v>3465.1995043228749</v>
      </c>
      <c r="DA142" s="1708">
        <f>유통플랫폼!BA16+유통플랫폼!BA17</f>
        <v>3465.1995043228749</v>
      </c>
      <c r="DB142" s="1708">
        <f>유통플랫폼!BB16+유통플랫폼!BB17</f>
        <v>3475.0674183649644</v>
      </c>
      <c r="DC142" s="1024">
        <f>유통플랫폼!BC16+유통플랫폼!BC17</f>
        <v>3464.1995043228771</v>
      </c>
      <c r="DD142" s="2587"/>
      <c r="DE142" s="2587"/>
      <c r="DF142" s="2587"/>
      <c r="DG142" s="2975">
        <f>BQ142/BD142-1</f>
        <v>0.31361921678523563</v>
      </c>
      <c r="DH142" s="1913">
        <f t="shared" si="419"/>
        <v>0.36588257780692146</v>
      </c>
      <c r="DI142" s="1913">
        <f t="shared" si="420"/>
        <v>8.1757286034855881E-2</v>
      </c>
      <c r="DJ142" s="1913"/>
      <c r="DK142" s="1884"/>
      <c r="DO142" s="2603"/>
    </row>
    <row r="143" spans="1:121">
      <c r="B143" s="30" t="s">
        <v>64</v>
      </c>
      <c r="C143" s="31"/>
      <c r="D143" s="32"/>
      <c r="E143" s="417"/>
      <c r="F143" s="417"/>
      <c r="G143" s="417"/>
      <c r="H143" s="417"/>
      <c r="I143" s="417"/>
      <c r="J143" s="417"/>
      <c r="K143" s="417"/>
      <c r="L143" s="417"/>
      <c r="M143" s="417"/>
      <c r="N143" s="417"/>
      <c r="O143" s="417"/>
      <c r="P143" s="1024"/>
      <c r="Q143" s="1031"/>
      <c r="R143" s="417"/>
      <c r="S143" s="417"/>
      <c r="T143" s="417"/>
      <c r="U143" s="417"/>
      <c r="V143" s="417"/>
      <c r="W143" s="417"/>
      <c r="X143" s="417"/>
      <c r="Y143" s="417"/>
      <c r="Z143" s="417"/>
      <c r="AA143" s="417"/>
      <c r="AB143" s="417"/>
      <c r="AC143" s="1036"/>
      <c r="AD143" s="1025">
        <f>AD136-AD142</f>
        <v>1306.880000000001</v>
      </c>
      <c r="AE143" s="1037"/>
      <c r="AF143" s="1038"/>
      <c r="AG143" s="1038"/>
      <c r="AH143" s="1038"/>
      <c r="AI143" s="1038"/>
      <c r="AJ143" s="1038"/>
      <c r="AK143" s="1038"/>
      <c r="AL143" s="1038"/>
      <c r="AM143" s="1038"/>
      <c r="AN143" s="1038"/>
      <c r="AO143" s="1038"/>
      <c r="AP143" s="1039"/>
      <c r="AQ143" s="1031">
        <f>AQ136-AQ142</f>
        <v>2434.8883860000024</v>
      </c>
      <c r="AR143" s="1037"/>
      <c r="AS143" s="1038"/>
      <c r="AT143" s="1038"/>
      <c r="AU143" s="1038"/>
      <c r="AV143" s="1038"/>
      <c r="AW143" s="1038"/>
      <c r="AX143" s="1038"/>
      <c r="AY143" s="1038"/>
      <c r="AZ143" s="1038"/>
      <c r="BA143" s="1038"/>
      <c r="BB143" s="1038"/>
      <c r="BC143" s="1102"/>
      <c r="BD143" s="1031">
        <f>BD136-BD142</f>
        <v>3133.1758580000023</v>
      </c>
      <c r="BE143" s="1029">
        <f t="shared" ref="BE143:BR143" si="421">BE136-BE142</f>
        <v>145.92102800000021</v>
      </c>
      <c r="BF143" s="417">
        <f t="shared" si="421"/>
        <v>192.74698600000033</v>
      </c>
      <c r="BG143" s="417">
        <f t="shared" si="421"/>
        <v>148.55214999999998</v>
      </c>
      <c r="BH143" s="417">
        <f t="shared" si="421"/>
        <v>187.9807880000003</v>
      </c>
      <c r="BI143" s="417">
        <f t="shared" si="421"/>
        <v>328.43233299999974</v>
      </c>
      <c r="BJ143" s="417">
        <f t="shared" si="421"/>
        <v>250.55327200000011</v>
      </c>
      <c r="BK143" s="417">
        <f t="shared" si="421"/>
        <v>158.26132099999995</v>
      </c>
      <c r="BL143" s="417">
        <f t="shared" si="421"/>
        <v>434.90902800000003</v>
      </c>
      <c r="BM143" s="417">
        <f t="shared" si="421"/>
        <v>314.00927599999932</v>
      </c>
      <c r="BN143" s="417">
        <f t="shared" si="421"/>
        <v>529.09947099999954</v>
      </c>
      <c r="BO143" s="417">
        <f t="shared" si="421"/>
        <v>-93.795446000000084</v>
      </c>
      <c r="BP143" s="417">
        <f t="shared" si="421"/>
        <v>536.5056510000004</v>
      </c>
      <c r="BQ143" s="1031">
        <f>BQ136-BQ142</f>
        <v>8952.9598150000165</v>
      </c>
      <c r="BR143" s="417">
        <f t="shared" si="421"/>
        <v>93.704202000000038</v>
      </c>
      <c r="BS143" s="417">
        <f t="shared" ref="BS143:CC143" si="422">BS136-BS142</f>
        <v>259.86897199999976</v>
      </c>
      <c r="BT143" s="417">
        <f t="shared" si="422"/>
        <v>306.0446079999997</v>
      </c>
      <c r="BU143" s="417">
        <f t="shared" si="422"/>
        <v>1701.0409689999997</v>
      </c>
      <c r="BV143" s="417">
        <f t="shared" si="422"/>
        <v>562.68963100000065</v>
      </c>
      <c r="BW143" s="417">
        <f t="shared" si="422"/>
        <v>365.50228800000002</v>
      </c>
      <c r="BX143" s="417">
        <f t="shared" si="422"/>
        <v>348.00920100000008</v>
      </c>
      <c r="BY143" s="417">
        <f t="shared" si="422"/>
        <v>1110.7719589999997</v>
      </c>
      <c r="BZ143" s="417">
        <f t="shared" si="422"/>
        <v>1572.5816139999997</v>
      </c>
      <c r="CA143" s="417">
        <f t="shared" si="422"/>
        <v>1302.2174959999984</v>
      </c>
      <c r="CB143" s="417">
        <f t="shared" si="422"/>
        <v>461.84932700000672</v>
      </c>
      <c r="CC143" s="1334">
        <f t="shared" si="422"/>
        <v>868.67954800000007</v>
      </c>
      <c r="CD143" s="1031">
        <f>CD136-CD142</f>
        <v>13310.242731999992</v>
      </c>
      <c r="CE143" s="1708">
        <f t="shared" ref="CE143:CP143" si="423">CE136-CE142</f>
        <v>764.54118500000027</v>
      </c>
      <c r="CF143" s="1708">
        <f t="shared" si="423"/>
        <v>2327.8263699999998</v>
      </c>
      <c r="CG143" s="1708">
        <f t="shared" si="423"/>
        <v>672.14997600000061</v>
      </c>
      <c r="CH143" s="1708">
        <f t="shared" si="423"/>
        <v>1146.435735</v>
      </c>
      <c r="CI143" s="1708">
        <f t="shared" si="423"/>
        <v>800.01559400000042</v>
      </c>
      <c r="CJ143" s="1708">
        <f t="shared" si="423"/>
        <v>1204.2406429999996</v>
      </c>
      <c r="CK143" s="1708">
        <f t="shared" si="423"/>
        <v>1220.5217630000006</v>
      </c>
      <c r="CL143" s="1708">
        <f t="shared" si="423"/>
        <v>1149.6017309999997</v>
      </c>
      <c r="CM143" s="1708">
        <f t="shared" si="423"/>
        <v>1212.4863299999997</v>
      </c>
      <c r="CN143" s="1708">
        <f t="shared" si="423"/>
        <v>1238.9164530000007</v>
      </c>
      <c r="CO143" s="1708">
        <f t="shared" si="423"/>
        <v>1604.198574</v>
      </c>
      <c r="CP143" s="1024">
        <f t="shared" si="423"/>
        <v>-30.691621999999825</v>
      </c>
      <c r="CQ143" s="1031">
        <f>CQ136-CQ142</f>
        <v>13969.792897890511</v>
      </c>
      <c r="CR143" s="1708">
        <f t="shared" ref="CR143:DC143" si="424">CR136-CR142</f>
        <v>772.31808589019511</v>
      </c>
      <c r="CS143" s="1708">
        <f t="shared" si="424"/>
        <v>2003.1889900931073</v>
      </c>
      <c r="CT143" s="1708">
        <f t="shared" si="424"/>
        <v>976.43266394359034</v>
      </c>
      <c r="CU143" s="1708">
        <f t="shared" si="424"/>
        <v>1134.1726245353661</v>
      </c>
      <c r="CV143" s="1708">
        <f t="shared" si="424"/>
        <v>1170.9279641806015</v>
      </c>
      <c r="CW143" s="1708">
        <f t="shared" si="424"/>
        <v>1559.8223518107698</v>
      </c>
      <c r="CX143" s="1708">
        <f t="shared" si="424"/>
        <v>1099.2648690763212</v>
      </c>
      <c r="CY143" s="1708">
        <f t="shared" si="424"/>
        <v>1052.4078524805323</v>
      </c>
      <c r="CZ143" s="1708">
        <f t="shared" si="424"/>
        <v>1053.2078524805315</v>
      </c>
      <c r="DA143" s="1708">
        <f t="shared" si="424"/>
        <v>1052.2078524805315</v>
      </c>
      <c r="DB143" s="1708">
        <f t="shared" si="424"/>
        <v>1042.2399384384426</v>
      </c>
      <c r="DC143" s="1024">
        <f t="shared" si="424"/>
        <v>1053.6018524805295</v>
      </c>
      <c r="DD143" s="2587"/>
      <c r="DE143" s="2587"/>
      <c r="DF143" s="2587"/>
      <c r="DG143" s="2975"/>
      <c r="DH143" s="1913">
        <f t="shared" si="419"/>
        <v>0.486686303416628</v>
      </c>
      <c r="DI143" s="1913">
        <f t="shared" si="420"/>
        <v>4.9552076485040564E-2</v>
      </c>
      <c r="DJ143" s="1913"/>
      <c r="DK143" s="1884"/>
    </row>
    <row r="144" spans="1:121">
      <c r="B144" s="30" t="s">
        <v>65</v>
      </c>
      <c r="C144" s="31"/>
      <c r="D144" s="32"/>
      <c r="E144" s="417"/>
      <c r="F144" s="417"/>
      <c r="G144" s="417"/>
      <c r="H144" s="417"/>
      <c r="I144" s="417"/>
      <c r="J144" s="417"/>
      <c r="K144" s="417"/>
      <c r="L144" s="417"/>
      <c r="M144" s="417"/>
      <c r="N144" s="417"/>
      <c r="O144" s="417"/>
      <c r="P144" s="1024"/>
      <c r="Q144" s="1031"/>
      <c r="R144" s="417"/>
      <c r="S144" s="417"/>
      <c r="T144" s="417"/>
      <c r="U144" s="417"/>
      <c r="V144" s="417"/>
      <c r="W144" s="417"/>
      <c r="X144" s="417"/>
      <c r="Y144" s="417"/>
      <c r="Z144" s="417"/>
      <c r="AA144" s="417"/>
      <c r="AB144" s="417"/>
      <c r="AC144" s="1036"/>
      <c r="AD144" s="1029">
        <f>AD145+AD152+AD156+AD159+AD162</f>
        <v>1177.5672200000001</v>
      </c>
      <c r="AE144" s="1037"/>
      <c r="AF144" s="1038"/>
      <c r="AG144" s="1038"/>
      <c r="AH144" s="1038"/>
      <c r="AI144" s="1038"/>
      <c r="AJ144" s="1038"/>
      <c r="AK144" s="1038"/>
      <c r="AL144" s="1038"/>
      <c r="AM144" s="1038"/>
      <c r="AN144" s="1038"/>
      <c r="AO144" s="1038"/>
      <c r="AP144" s="1102"/>
      <c r="AQ144" s="1100">
        <f>AQ145+AQ152+AQ156+AQ159+AQ162</f>
        <v>1169.8456480000002</v>
      </c>
      <c r="AR144" s="1103"/>
      <c r="AS144" s="1038"/>
      <c r="AT144" s="1038"/>
      <c r="AU144" s="1038"/>
      <c r="AV144" s="1038"/>
      <c r="AW144" s="1038"/>
      <c r="AX144" s="1038"/>
      <c r="AY144" s="1038"/>
      <c r="AZ144" s="1038"/>
      <c r="BA144" s="1038"/>
      <c r="BB144" s="1038"/>
      <c r="BC144" s="1102"/>
      <c r="BD144" s="1031">
        <f>BD145+BD152+BD156+BD159+BD162</f>
        <v>2118.1778439999998</v>
      </c>
      <c r="BE144" s="1029">
        <f>BE145+BE152+BE156+BE159+BE162</f>
        <v>146.70846799999998</v>
      </c>
      <c r="BF144" s="417">
        <f t="shared" ref="BF144:BP144" si="425">BF145+BF152+BF156+BF159+BF162</f>
        <v>125.30678300000001</v>
      </c>
      <c r="BG144" s="417">
        <f t="shared" si="425"/>
        <v>118.484284</v>
      </c>
      <c r="BH144" s="417">
        <f t="shared" si="425"/>
        <v>95.211671999999993</v>
      </c>
      <c r="BI144" s="417">
        <f t="shared" si="425"/>
        <v>98.581171999999995</v>
      </c>
      <c r="BJ144" s="417">
        <f t="shared" si="425"/>
        <v>311.56390299999998</v>
      </c>
      <c r="BK144" s="417">
        <f t="shared" si="425"/>
        <v>160.28347200000002</v>
      </c>
      <c r="BL144" s="417">
        <f t="shared" si="425"/>
        <v>282.928878</v>
      </c>
      <c r="BM144" s="417">
        <f t="shared" si="425"/>
        <v>143.60056900000001</v>
      </c>
      <c r="BN144" s="417">
        <f t="shared" si="425"/>
        <v>200.452395</v>
      </c>
      <c r="BO144" s="417">
        <f t="shared" si="425"/>
        <v>273.46596899999997</v>
      </c>
      <c r="BP144" s="417">
        <f t="shared" si="425"/>
        <v>161.59027900000001</v>
      </c>
      <c r="BQ144" s="1031">
        <f>BQ145+BQ152+BQ156+BQ159+BQ162</f>
        <v>7106.6053930000044</v>
      </c>
      <c r="BR144" s="417">
        <f>BR145+BR152+BR156+BR159+BR162</f>
        <v>350.24960299999998</v>
      </c>
      <c r="BS144" s="417">
        <f t="shared" ref="BS144:CC144" si="426">BS145+BS152+BS156+BS159+BS162</f>
        <v>747.15186800000004</v>
      </c>
      <c r="BT144" s="417">
        <f t="shared" si="426"/>
        <v>402.73981800000001</v>
      </c>
      <c r="BU144" s="417">
        <f t="shared" si="426"/>
        <v>715.42411100000004</v>
      </c>
      <c r="BV144" s="417">
        <f t="shared" si="426"/>
        <v>232.01930199999998</v>
      </c>
      <c r="BW144" s="417">
        <f t="shared" si="426"/>
        <v>349.20259599999997</v>
      </c>
      <c r="BX144" s="417">
        <f t="shared" si="426"/>
        <v>1348.282882</v>
      </c>
      <c r="BY144" s="417">
        <f t="shared" si="426"/>
        <v>649.535301</v>
      </c>
      <c r="BZ144" s="417">
        <f t="shared" si="426"/>
        <v>449.28754300000003</v>
      </c>
      <c r="CA144" s="417">
        <f t="shared" si="426"/>
        <v>647.15588600000001</v>
      </c>
      <c r="CB144" s="417">
        <f t="shared" si="426"/>
        <v>413.95341299999995</v>
      </c>
      <c r="CC144" s="1334">
        <f t="shared" si="426"/>
        <v>801.60307000000478</v>
      </c>
      <c r="CD144" s="1031">
        <f>CD145+CD152+CD156+CD159+CD162</f>
        <v>7715.3954549999999</v>
      </c>
      <c r="CE144" s="1708">
        <f>CE145+CE152+CE156+CE159+CE162</f>
        <v>662.51442200000076</v>
      </c>
      <c r="CF144" s="1708">
        <f t="shared" ref="CF144:CP144" si="427">CF145+CF152+CF156+CF159+CF162</f>
        <v>848.84491700000001</v>
      </c>
      <c r="CG144" s="1708">
        <f t="shared" si="427"/>
        <v>644.85324300000002</v>
      </c>
      <c r="CH144" s="1708">
        <f t="shared" si="427"/>
        <v>662.34118699999999</v>
      </c>
      <c r="CI144" s="1708">
        <f t="shared" si="427"/>
        <v>601.31452300000001</v>
      </c>
      <c r="CJ144" s="1708">
        <f t="shared" si="427"/>
        <v>591.34496799999999</v>
      </c>
      <c r="CK144" s="1708">
        <f t="shared" si="427"/>
        <v>835.77176299999996</v>
      </c>
      <c r="CL144" s="1708">
        <f t="shared" si="427"/>
        <v>625.18442700000003</v>
      </c>
      <c r="CM144" s="1708">
        <f t="shared" si="427"/>
        <v>568.847534</v>
      </c>
      <c r="CN144" s="1708">
        <f t="shared" si="427"/>
        <v>660.71598200000005</v>
      </c>
      <c r="CO144" s="1708">
        <f t="shared" si="427"/>
        <v>431.92005600000005</v>
      </c>
      <c r="CP144" s="1024">
        <f t="shared" si="427"/>
        <v>581.74243300000001</v>
      </c>
      <c r="CQ144" s="1031">
        <f>CQ145+CQ152+CQ156+CQ159+CQ162</f>
        <v>6936.0766073635077</v>
      </c>
      <c r="CR144" s="1708">
        <f>CR145+CR152+CR156+CR159+CR162</f>
        <v>573.00483702332065</v>
      </c>
      <c r="CS144" s="1708">
        <f t="shared" ref="CS144:DC144" si="428">CS145+CS152+CS156+CS159+CS162</f>
        <v>620.87535278066798</v>
      </c>
      <c r="CT144" s="1708">
        <f t="shared" si="428"/>
        <v>619.49712098337204</v>
      </c>
      <c r="CU144" s="1708">
        <f t="shared" si="428"/>
        <v>592.65375920563656</v>
      </c>
      <c r="CV144" s="1708">
        <f t="shared" si="428"/>
        <v>564.65203468759876</v>
      </c>
      <c r="CW144" s="1708">
        <f t="shared" si="428"/>
        <v>569.15105726184356</v>
      </c>
      <c r="CX144" s="1708">
        <f t="shared" si="428"/>
        <v>571.20707423684462</v>
      </c>
      <c r="CY144" s="1708">
        <f t="shared" si="428"/>
        <v>562.95707423684462</v>
      </c>
      <c r="CZ144" s="1708">
        <f t="shared" si="428"/>
        <v>562.95707423684462</v>
      </c>
      <c r="DA144" s="1708">
        <f t="shared" si="428"/>
        <v>571.20707423684462</v>
      </c>
      <c r="DB144" s="1708">
        <f t="shared" si="428"/>
        <v>562.95707423684462</v>
      </c>
      <c r="DC144" s="1024">
        <f t="shared" si="428"/>
        <v>564.95707423684462</v>
      </c>
      <c r="DD144" s="2587"/>
      <c r="DE144" s="2587"/>
      <c r="DF144" s="2587"/>
      <c r="DG144" s="2975"/>
      <c r="DH144" s="1913">
        <f t="shared" si="419"/>
        <v>8.566538147730185E-2</v>
      </c>
      <c r="DI144" s="1913">
        <f t="shared" si="420"/>
        <v>-0.10100828300789833</v>
      </c>
      <c r="DJ144" s="1913"/>
      <c r="DK144" s="1884"/>
      <c r="DN144" s="2603"/>
    </row>
    <row r="145" spans="2:119">
      <c r="B145" s="33" t="s">
        <v>66</v>
      </c>
      <c r="C145" s="34"/>
      <c r="D145" s="35"/>
      <c r="E145" s="1335"/>
      <c r="F145" s="1335"/>
      <c r="G145" s="1335"/>
      <c r="H145" s="1335"/>
      <c r="I145" s="1335"/>
      <c r="J145" s="1335"/>
      <c r="K145" s="1335"/>
      <c r="L145" s="1335"/>
      <c r="M145" s="1335"/>
      <c r="N145" s="1335"/>
      <c r="O145" s="1335"/>
      <c r="P145" s="1073"/>
      <c r="Q145" s="1345"/>
      <c r="R145" s="1335"/>
      <c r="S145" s="1335"/>
      <c r="T145" s="1335"/>
      <c r="U145" s="1335"/>
      <c r="V145" s="1335"/>
      <c r="W145" s="1335"/>
      <c r="X145" s="1335"/>
      <c r="Y145" s="1335"/>
      <c r="Z145" s="1335"/>
      <c r="AA145" s="1335"/>
      <c r="AB145" s="1335"/>
      <c r="AC145" s="1074"/>
      <c r="AD145" s="1026">
        <v>26.3</v>
      </c>
      <c r="AE145" s="1395"/>
      <c r="AF145" s="1040"/>
      <c r="AG145" s="1040"/>
      <c r="AH145" s="1040"/>
      <c r="AI145" s="1040"/>
      <c r="AJ145" s="1040"/>
      <c r="AK145" s="1040"/>
      <c r="AL145" s="1040"/>
      <c r="AM145" s="1040"/>
      <c r="AN145" s="1040"/>
      <c r="AO145" s="1040"/>
      <c r="AP145" s="1041"/>
      <c r="AQ145" s="1345">
        <f>SUM(AQ146:AQ151)</f>
        <v>259.35546499999998</v>
      </c>
      <c r="AR145" s="1395"/>
      <c r="AS145" s="1040"/>
      <c r="AT145" s="1040"/>
      <c r="AU145" s="1040"/>
      <c r="AV145" s="1040"/>
      <c r="AW145" s="1040"/>
      <c r="AX145" s="1040"/>
      <c r="AY145" s="1040"/>
      <c r="AZ145" s="1040"/>
      <c r="BA145" s="1040"/>
      <c r="BB145" s="1040"/>
      <c r="BC145" s="1105"/>
      <c r="BD145" s="1345">
        <f t="shared" ref="BD145:BP145" si="429">SUM(BD146:BD151)</f>
        <v>45.616850000000007</v>
      </c>
      <c r="BE145" s="1488">
        <f t="shared" si="429"/>
        <v>25.718829000000003</v>
      </c>
      <c r="BF145" s="1489">
        <f t="shared" si="429"/>
        <v>13.61589</v>
      </c>
      <c r="BG145" s="1489">
        <f t="shared" si="429"/>
        <v>6.2821309999999997</v>
      </c>
      <c r="BH145" s="1489">
        <f t="shared" si="429"/>
        <v>0</v>
      </c>
      <c r="BI145" s="1489">
        <f t="shared" si="429"/>
        <v>0</v>
      </c>
      <c r="BJ145" s="1489">
        <f t="shared" si="429"/>
        <v>0</v>
      </c>
      <c r="BK145" s="1489">
        <f t="shared" si="429"/>
        <v>0</v>
      </c>
      <c r="BL145" s="1489">
        <f t="shared" si="429"/>
        <v>0</v>
      </c>
      <c r="BM145" s="1489">
        <f t="shared" si="429"/>
        <v>0</v>
      </c>
      <c r="BN145" s="1489">
        <f t="shared" si="429"/>
        <v>0</v>
      </c>
      <c r="BO145" s="1489">
        <f t="shared" si="429"/>
        <v>0</v>
      </c>
      <c r="BP145" s="1490">
        <f t="shared" si="429"/>
        <v>0</v>
      </c>
      <c r="BQ145" s="1345">
        <f t="shared" ref="BQ145:BR145" si="430">SUM(BQ146:BQ151)</f>
        <v>1080.6173260000137</v>
      </c>
      <c r="BR145" s="1785">
        <f t="shared" si="430"/>
        <v>103.883219</v>
      </c>
      <c r="BS145" s="1786">
        <f t="shared" ref="BS145:CE145" si="431">SUM(BS146:BS151)</f>
        <v>76.235184000000004</v>
      </c>
      <c r="BT145" s="1786">
        <f t="shared" si="431"/>
        <v>132.457041</v>
      </c>
      <c r="BU145" s="1786">
        <f t="shared" si="431"/>
        <v>79.748802000000012</v>
      </c>
      <c r="BV145" s="1786">
        <f t="shared" si="431"/>
        <v>71.233840000000001</v>
      </c>
      <c r="BW145" s="1786">
        <f t="shared" si="431"/>
        <v>75.768398000000005</v>
      </c>
      <c r="BX145" s="1786">
        <f t="shared" si="431"/>
        <v>110.158502</v>
      </c>
      <c r="BY145" s="1786">
        <f t="shared" si="431"/>
        <v>75.679218000000006</v>
      </c>
      <c r="BZ145" s="1786">
        <f t="shared" si="431"/>
        <v>91.013060999999993</v>
      </c>
      <c r="CA145" s="1786">
        <f t="shared" si="431"/>
        <v>92.956863999999996</v>
      </c>
      <c r="CB145" s="1786">
        <f t="shared" si="431"/>
        <v>73.858534000000006</v>
      </c>
      <c r="CC145" s="1787">
        <f t="shared" si="431"/>
        <v>97.624663000013598</v>
      </c>
      <c r="CD145" s="1345">
        <f t="shared" si="431"/>
        <v>1492.2124379999998</v>
      </c>
      <c r="CE145" s="1785">
        <f t="shared" si="431"/>
        <v>138.82435600000002</v>
      </c>
      <c r="CF145" s="1786">
        <f t="shared" ref="CF145:CR145" si="432">SUM(CF146:CF151)</f>
        <v>102.92909400000001</v>
      </c>
      <c r="CG145" s="1786">
        <f t="shared" si="432"/>
        <v>209.83563800000002</v>
      </c>
      <c r="CH145" s="1786">
        <f t="shared" si="432"/>
        <v>111.383112</v>
      </c>
      <c r="CI145" s="1786">
        <f t="shared" si="432"/>
        <v>98.552649000000002</v>
      </c>
      <c r="CJ145" s="1786">
        <f t="shared" si="432"/>
        <v>107.745441</v>
      </c>
      <c r="CK145" s="1786">
        <f t="shared" si="432"/>
        <v>146.357283</v>
      </c>
      <c r="CL145" s="1786">
        <f t="shared" si="432"/>
        <v>95.551669000000004</v>
      </c>
      <c r="CM145" s="1786">
        <f t="shared" si="432"/>
        <v>128.414646</v>
      </c>
      <c r="CN145" s="1786">
        <f t="shared" si="432"/>
        <v>131.126002</v>
      </c>
      <c r="CO145" s="1786">
        <f t="shared" si="432"/>
        <v>107.33620800000001</v>
      </c>
      <c r="CP145" s="2915">
        <f t="shared" si="432"/>
        <v>114.15634</v>
      </c>
      <c r="CQ145" s="1345">
        <f t="shared" si="432"/>
        <v>1722.2871263224745</v>
      </c>
      <c r="CR145" s="801">
        <f t="shared" si="432"/>
        <v>152.55728831049657</v>
      </c>
      <c r="CS145" s="802">
        <f t="shared" ref="CS145:DC145" si="433">SUM(CS146:CS151)</f>
        <v>144.10809728059962</v>
      </c>
      <c r="CT145" s="802">
        <f t="shared" si="433"/>
        <v>172.13645086165207</v>
      </c>
      <c r="CU145" s="802">
        <f t="shared" si="433"/>
        <v>144.96474080399372</v>
      </c>
      <c r="CV145" s="802">
        <f t="shared" si="433"/>
        <v>143.41950002416596</v>
      </c>
      <c r="CW145" s="802">
        <f t="shared" si="433"/>
        <v>137.87157843450956</v>
      </c>
      <c r="CX145" s="802">
        <f t="shared" si="433"/>
        <v>137.87157843450956</v>
      </c>
      <c r="CY145" s="802">
        <f t="shared" si="433"/>
        <v>137.87157843450956</v>
      </c>
      <c r="CZ145" s="802">
        <f t="shared" si="433"/>
        <v>137.87157843450956</v>
      </c>
      <c r="DA145" s="802">
        <f t="shared" si="433"/>
        <v>137.87157843450956</v>
      </c>
      <c r="DB145" s="802">
        <f t="shared" si="433"/>
        <v>137.87157843450956</v>
      </c>
      <c r="DC145" s="2016">
        <f t="shared" si="433"/>
        <v>137.87157843450956</v>
      </c>
      <c r="DD145" s="2587"/>
      <c r="DE145" s="2587"/>
      <c r="DF145" s="2587"/>
      <c r="DG145" s="2975"/>
      <c r="DH145" s="1913">
        <f t="shared" si="419"/>
        <v>0.38088886981253234</v>
      </c>
      <c r="DI145" s="1913">
        <f t="shared" si="420"/>
        <v>0.15418360178718382</v>
      </c>
      <c r="DJ145" s="1913"/>
      <c r="DK145" s="1884"/>
      <c r="DL145" s="2718"/>
      <c r="DM145" s="2718"/>
      <c r="DN145" s="2603"/>
      <c r="DO145" s="2603"/>
    </row>
    <row r="146" spans="2:119" hidden="1">
      <c r="B146" s="40" t="s">
        <v>67</v>
      </c>
      <c r="C146" s="41"/>
      <c r="D146" s="1404"/>
      <c r="E146" s="1340"/>
      <c r="F146" s="1340"/>
      <c r="G146" s="1340"/>
      <c r="H146" s="1340"/>
      <c r="I146" s="1340"/>
      <c r="J146" s="1340"/>
      <c r="K146" s="1340"/>
      <c r="L146" s="1340"/>
      <c r="M146" s="1340"/>
      <c r="N146" s="1340"/>
      <c r="O146" s="1340"/>
      <c r="P146" s="1399"/>
      <c r="Q146" s="64"/>
      <c r="R146" s="1340"/>
      <c r="S146" s="1340"/>
      <c r="T146" s="1340"/>
      <c r="U146" s="1340"/>
      <c r="V146" s="1340"/>
      <c r="W146" s="1340"/>
      <c r="X146" s="1340"/>
      <c r="Y146" s="1340"/>
      <c r="Z146" s="1340"/>
      <c r="AA146" s="1340"/>
      <c r="AB146" s="1340"/>
      <c r="AC146" s="1341"/>
      <c r="AD146" s="1028"/>
      <c r="AE146" s="1479">
        <f t="shared" ref="AE146:BC146" si="434">AE145</f>
        <v>0</v>
      </c>
      <c r="AF146" s="1044">
        <f t="shared" si="434"/>
        <v>0</v>
      </c>
      <c r="AG146" s="1044">
        <f t="shared" si="434"/>
        <v>0</v>
      </c>
      <c r="AH146" s="1044">
        <f t="shared" si="434"/>
        <v>0</v>
      </c>
      <c r="AI146" s="1044">
        <f t="shared" si="434"/>
        <v>0</v>
      </c>
      <c r="AJ146" s="1044">
        <f t="shared" si="434"/>
        <v>0</v>
      </c>
      <c r="AK146" s="1044">
        <f t="shared" si="434"/>
        <v>0</v>
      </c>
      <c r="AL146" s="1044">
        <f t="shared" si="434"/>
        <v>0</v>
      </c>
      <c r="AM146" s="1044">
        <f t="shared" si="434"/>
        <v>0</v>
      </c>
      <c r="AN146" s="1044">
        <f t="shared" si="434"/>
        <v>0</v>
      </c>
      <c r="AO146" s="1044">
        <f t="shared" si="434"/>
        <v>0</v>
      </c>
      <c r="AP146" s="1478">
        <f t="shared" si="434"/>
        <v>0</v>
      </c>
      <c r="AQ146" s="64"/>
      <c r="AR146" s="1479">
        <f t="shared" si="434"/>
        <v>0</v>
      </c>
      <c r="AS146" s="1044">
        <f t="shared" si="434"/>
        <v>0</v>
      </c>
      <c r="AT146" s="1044">
        <f t="shared" si="434"/>
        <v>0</v>
      </c>
      <c r="AU146" s="1044">
        <f t="shared" si="434"/>
        <v>0</v>
      </c>
      <c r="AV146" s="1044">
        <f t="shared" si="434"/>
        <v>0</v>
      </c>
      <c r="AW146" s="1044">
        <f t="shared" si="434"/>
        <v>0</v>
      </c>
      <c r="AX146" s="1044">
        <f t="shared" si="434"/>
        <v>0</v>
      </c>
      <c r="AY146" s="1044">
        <f t="shared" si="434"/>
        <v>0</v>
      </c>
      <c r="AZ146" s="1044">
        <f t="shared" si="434"/>
        <v>0</v>
      </c>
      <c r="BA146" s="1044">
        <f t="shared" si="434"/>
        <v>0</v>
      </c>
      <c r="BB146" s="1044">
        <f t="shared" si="434"/>
        <v>0</v>
      </c>
      <c r="BC146" s="1107">
        <f t="shared" si="434"/>
        <v>0</v>
      </c>
      <c r="BD146" s="64"/>
      <c r="BE146" s="314"/>
      <c r="BF146" s="341"/>
      <c r="BG146" s="341"/>
      <c r="BH146" s="341"/>
      <c r="BI146" s="341"/>
      <c r="BJ146" s="341"/>
      <c r="BK146" s="341"/>
      <c r="BL146" s="341"/>
      <c r="BM146" s="341"/>
      <c r="BN146" s="341"/>
      <c r="BO146" s="341"/>
      <c r="BP146" s="1491"/>
      <c r="BQ146" s="64"/>
      <c r="BR146" s="1788"/>
      <c r="BS146" s="1789"/>
      <c r="BT146" s="1789"/>
      <c r="BU146" s="1789"/>
      <c r="BV146" s="1789"/>
      <c r="BW146" s="1789"/>
      <c r="BX146" s="1789"/>
      <c r="BY146" s="1789"/>
      <c r="BZ146" s="1789"/>
      <c r="CA146" s="1789"/>
      <c r="CB146" s="1789"/>
      <c r="CC146" s="1790"/>
      <c r="CD146" s="1710"/>
      <c r="CE146" s="2008"/>
      <c r="CF146" s="1789"/>
      <c r="CG146" s="1789"/>
      <c r="CH146" s="1789"/>
      <c r="CI146" s="1789"/>
      <c r="CJ146" s="1789"/>
      <c r="CK146" s="1789"/>
      <c r="CL146" s="1789"/>
      <c r="CM146" s="1789"/>
      <c r="CN146" s="1789"/>
      <c r="CO146" s="1789"/>
      <c r="CP146" s="5"/>
      <c r="CQ146" s="1710"/>
      <c r="CR146" s="2017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5"/>
      <c r="DD146" s="25"/>
      <c r="DE146" s="25"/>
      <c r="DF146" s="25"/>
      <c r="DG146" s="2975" t="e">
        <f>BQ146/BD146-1</f>
        <v>#DIV/0!</v>
      </c>
      <c r="DH146" s="1913" t="e">
        <f t="shared" si="419"/>
        <v>#DIV/0!</v>
      </c>
      <c r="DI146" s="1913" t="e">
        <f t="shared" si="420"/>
        <v>#DIV/0!</v>
      </c>
      <c r="DJ146" s="1913"/>
      <c r="DK146" s="1884"/>
    </row>
    <row r="147" spans="2:119">
      <c r="B147" s="40" t="s">
        <v>759</v>
      </c>
      <c r="C147" s="42"/>
      <c r="D147" s="1401"/>
      <c r="E147" s="1405"/>
      <c r="F147" s="1405"/>
      <c r="G147" s="1405"/>
      <c r="H147" s="1405"/>
      <c r="I147" s="1405"/>
      <c r="J147" s="1405"/>
      <c r="K147" s="1405"/>
      <c r="L147" s="1405"/>
      <c r="M147" s="1405"/>
      <c r="N147" s="1405"/>
      <c r="O147" s="1405"/>
      <c r="P147" s="1406"/>
      <c r="Q147" s="64"/>
      <c r="R147" s="1405"/>
      <c r="S147" s="1405"/>
      <c r="T147" s="1405"/>
      <c r="U147" s="1405"/>
      <c r="V147" s="1405"/>
      <c r="W147" s="1405"/>
      <c r="X147" s="1405"/>
      <c r="Y147" s="1405"/>
      <c r="Z147" s="1405"/>
      <c r="AA147" s="1405"/>
      <c r="AB147" s="1405"/>
      <c r="AC147" s="1407"/>
      <c r="AD147" s="1028">
        <v>26.3</v>
      </c>
      <c r="AE147" s="1408"/>
      <c r="AF147" s="1044"/>
      <c r="AG147" s="1044"/>
      <c r="AH147" s="1044"/>
      <c r="AI147" s="1044"/>
      <c r="AJ147" s="1044"/>
      <c r="AK147" s="1044"/>
      <c r="AL147" s="1044"/>
      <c r="AM147" s="1044"/>
      <c r="AN147" s="1044"/>
      <c r="AO147" s="1044"/>
      <c r="AP147" s="1045"/>
      <c r="AQ147" s="64">
        <v>215.40294999999998</v>
      </c>
      <c r="AR147" s="1408"/>
      <c r="AS147" s="1044"/>
      <c r="AT147" s="1044"/>
      <c r="AU147" s="1044"/>
      <c r="AV147" s="1044"/>
      <c r="AW147" s="1044"/>
      <c r="AX147" s="1044"/>
      <c r="AY147" s="1044"/>
      <c r="AZ147" s="1044"/>
      <c r="BA147" s="1044"/>
      <c r="BB147" s="1044"/>
      <c r="BC147" s="1107"/>
      <c r="BD147" s="64">
        <f>SUM(BE147:BP147)</f>
        <v>45.616850000000007</v>
      </c>
      <c r="BE147" s="314">
        <f>유통플랫폼!E18</f>
        <v>25.718829000000003</v>
      </c>
      <c r="BF147" s="341">
        <f>유통플랫폼!F18</f>
        <v>13.61589</v>
      </c>
      <c r="BG147" s="341">
        <f>유통플랫폼!G18</f>
        <v>6.2821309999999997</v>
      </c>
      <c r="BH147" s="341">
        <f>유통플랫폼!H18</f>
        <v>0</v>
      </c>
      <c r="BI147" s="341">
        <f>유통플랫폼!I18</f>
        <v>0</v>
      </c>
      <c r="BJ147" s="341">
        <f>유통플랫폼!J18</f>
        <v>0</v>
      </c>
      <c r="BK147" s="341">
        <f>유통플랫폼!K18</f>
        <v>0</v>
      </c>
      <c r="BL147" s="341">
        <f>유통플랫폼!L18</f>
        <v>0</v>
      </c>
      <c r="BM147" s="341">
        <f>유통플랫폼!M18</f>
        <v>0</v>
      </c>
      <c r="BN147" s="341">
        <f>유통플랫폼!N18</f>
        <v>0</v>
      </c>
      <c r="BO147" s="341">
        <f>유통플랫폼!O18</f>
        <v>0</v>
      </c>
      <c r="BP147" s="1492">
        <f>유통플랫폼!P18</f>
        <v>0</v>
      </c>
      <c r="BQ147" s="64">
        <f>SUM(BR147:CC147)</f>
        <v>1080.6173260000137</v>
      </c>
      <c r="BR147" s="1788">
        <f>유통플랫폼!R18</f>
        <v>103.883219</v>
      </c>
      <c r="BS147" s="1789">
        <f>유통플랫폼!S18</f>
        <v>76.235184000000004</v>
      </c>
      <c r="BT147" s="1789">
        <f>유통플랫폼!T18</f>
        <v>132.457041</v>
      </c>
      <c r="BU147" s="1789">
        <f>유통플랫폼!U18</f>
        <v>79.748802000000012</v>
      </c>
      <c r="BV147" s="1789">
        <f>유통플랫폼!V18</f>
        <v>71.233840000000001</v>
      </c>
      <c r="BW147" s="1789">
        <f>유통플랫폼!W18</f>
        <v>75.768398000000005</v>
      </c>
      <c r="BX147" s="1789">
        <f>유통플랫폼!X18</f>
        <v>110.158502</v>
      </c>
      <c r="BY147" s="1789">
        <f>유통플랫폼!Y18</f>
        <v>75.679218000000006</v>
      </c>
      <c r="BZ147" s="1789">
        <f>유통플랫폼!Z18</f>
        <v>91.013060999999993</v>
      </c>
      <c r="CA147" s="1789">
        <f>유통플랫폼!AA18</f>
        <v>92.956863999999996</v>
      </c>
      <c r="CB147" s="1789">
        <f>유통플랫폼!AB18</f>
        <v>73.858534000000006</v>
      </c>
      <c r="CC147" s="1790">
        <f>유통플랫폼!AC18</f>
        <v>97.624663000013598</v>
      </c>
      <c r="CD147" s="1710">
        <f>SUM(CE147:CP147)</f>
        <v>1492.2124379999998</v>
      </c>
      <c r="CE147" s="2008">
        <f>유통플랫폼!AE18</f>
        <v>138.82435600000002</v>
      </c>
      <c r="CF147" s="1789">
        <f>유통플랫폼!AF18</f>
        <v>102.92909400000001</v>
      </c>
      <c r="CG147" s="1789">
        <f>유통플랫폼!AG18</f>
        <v>209.83563800000002</v>
      </c>
      <c r="CH147" s="1789">
        <f>유통플랫폼!AH18</f>
        <v>111.383112</v>
      </c>
      <c r="CI147" s="1789">
        <f>유통플랫폼!AI18</f>
        <v>98.552649000000002</v>
      </c>
      <c r="CJ147" s="1789">
        <f>유통플랫폼!AJ18</f>
        <v>107.745441</v>
      </c>
      <c r="CK147" s="1789">
        <f>유통플랫폼!AK18</f>
        <v>146.357283</v>
      </c>
      <c r="CL147" s="1789">
        <f>유통플랫폼!AL18</f>
        <v>95.551669000000004</v>
      </c>
      <c r="CM147" s="1789">
        <f>유통플랫폼!AM18</f>
        <v>128.414646</v>
      </c>
      <c r="CN147" s="1789">
        <f>유통플랫폼!AN18</f>
        <v>131.126002</v>
      </c>
      <c r="CO147" s="1789">
        <f>유통플랫폼!AO18</f>
        <v>107.33620800000001</v>
      </c>
      <c r="CP147" s="2913">
        <f>유통플랫폼!AP18</f>
        <v>114.15634</v>
      </c>
      <c r="CQ147" s="1710">
        <f>SUM(CR147:DC147)</f>
        <v>1722.2871263224745</v>
      </c>
      <c r="CR147" s="2017">
        <f>유통플랫폼!AR18</f>
        <v>152.55728831049657</v>
      </c>
      <c r="CS147" s="4">
        <f>유통플랫폼!AS18</f>
        <v>144.10809728059962</v>
      </c>
      <c r="CT147" s="4">
        <f>유통플랫폼!AT18</f>
        <v>172.13645086165207</v>
      </c>
      <c r="CU147" s="4">
        <f>유통플랫폼!AU18</f>
        <v>144.96474080399372</v>
      </c>
      <c r="CV147" s="4">
        <f>유통플랫폼!AV18</f>
        <v>143.41950002416596</v>
      </c>
      <c r="CW147" s="4">
        <f>유통플랫폼!AW18</f>
        <v>137.87157843450956</v>
      </c>
      <c r="CX147" s="4">
        <f>유통플랫폼!AX18</f>
        <v>137.87157843450956</v>
      </c>
      <c r="CY147" s="4">
        <f>유통플랫폼!AY18</f>
        <v>137.87157843450956</v>
      </c>
      <c r="CZ147" s="4">
        <f>유통플랫폼!AZ18</f>
        <v>137.87157843450956</v>
      </c>
      <c r="DA147" s="4">
        <f>유통플랫폼!BA18</f>
        <v>137.87157843450956</v>
      </c>
      <c r="DB147" s="4">
        <f>유통플랫폼!BB18</f>
        <v>137.87157843450956</v>
      </c>
      <c r="DC147" s="5">
        <f>유통플랫폼!BC18</f>
        <v>137.87157843450956</v>
      </c>
      <c r="DD147" s="25"/>
      <c r="DE147" s="25"/>
      <c r="DF147" s="25"/>
      <c r="DG147" s="2975"/>
      <c r="DH147" s="1913"/>
      <c r="DI147" s="1913"/>
      <c r="DJ147" s="1913"/>
      <c r="DK147" s="1884"/>
    </row>
    <row r="148" spans="2:119">
      <c r="B148" s="40" t="s">
        <v>466</v>
      </c>
      <c r="C148" s="42"/>
      <c r="D148" s="797"/>
      <c r="E148" s="1405"/>
      <c r="F148" s="1405"/>
      <c r="G148" s="1405"/>
      <c r="H148" s="1405"/>
      <c r="I148" s="1405"/>
      <c r="J148" s="1405"/>
      <c r="K148" s="1405"/>
      <c r="L148" s="1405"/>
      <c r="M148" s="1405"/>
      <c r="N148" s="1405"/>
      <c r="O148" s="1405"/>
      <c r="P148" s="1406"/>
      <c r="Q148" s="64"/>
      <c r="R148" s="1405"/>
      <c r="S148" s="1405"/>
      <c r="T148" s="1405"/>
      <c r="U148" s="1405"/>
      <c r="V148" s="1405"/>
      <c r="W148" s="1405"/>
      <c r="X148" s="1405"/>
      <c r="Y148" s="1405"/>
      <c r="Z148" s="1405"/>
      <c r="AA148" s="1405"/>
      <c r="AB148" s="1405"/>
      <c r="AC148" s="1407"/>
      <c r="AD148" s="1028"/>
      <c r="AE148" s="1408"/>
      <c r="AF148" s="1044"/>
      <c r="AG148" s="1044"/>
      <c r="AH148" s="1044"/>
      <c r="AI148" s="1044"/>
      <c r="AJ148" s="1044"/>
      <c r="AK148" s="1044"/>
      <c r="AL148" s="1044"/>
      <c r="AM148" s="1044"/>
      <c r="AN148" s="1044"/>
      <c r="AO148" s="1044"/>
      <c r="AP148" s="1045"/>
      <c r="AQ148" s="64"/>
      <c r="AR148" s="1408"/>
      <c r="AS148" s="1044"/>
      <c r="AT148" s="1044"/>
      <c r="AU148" s="1044"/>
      <c r="AV148" s="1044"/>
      <c r="AW148" s="1044"/>
      <c r="AX148" s="1044"/>
      <c r="AY148" s="1044"/>
      <c r="AZ148" s="1044"/>
      <c r="BA148" s="1044"/>
      <c r="BB148" s="1044"/>
      <c r="BC148" s="1107"/>
      <c r="BD148" s="64"/>
      <c r="BE148" s="314"/>
      <c r="BF148" s="341"/>
      <c r="BG148" s="341"/>
      <c r="BH148" s="341"/>
      <c r="BI148" s="341"/>
      <c r="BJ148" s="341"/>
      <c r="BK148" s="341"/>
      <c r="BL148" s="341"/>
      <c r="BM148" s="341"/>
      <c r="BN148" s="341"/>
      <c r="BO148" s="341"/>
      <c r="BP148" s="1492"/>
      <c r="BQ148" s="64"/>
      <c r="BR148" s="1788"/>
      <c r="BS148" s="1789"/>
      <c r="BT148" s="1789"/>
      <c r="BU148" s="1789"/>
      <c r="BV148" s="1789"/>
      <c r="BW148" s="1789"/>
      <c r="BX148" s="1789"/>
      <c r="BY148" s="1789"/>
      <c r="BZ148" s="1789"/>
      <c r="CA148" s="1789"/>
      <c r="CB148" s="1789"/>
      <c r="CC148" s="1790"/>
      <c r="CD148" s="1710"/>
      <c r="CE148" s="2008"/>
      <c r="CF148" s="1789"/>
      <c r="CG148" s="1789"/>
      <c r="CH148" s="1789"/>
      <c r="CI148" s="1789"/>
      <c r="CJ148" s="1789"/>
      <c r="CK148" s="1789"/>
      <c r="CL148" s="1789"/>
      <c r="CM148" s="1789"/>
      <c r="CN148" s="1789"/>
      <c r="CO148" s="1789"/>
      <c r="CP148" s="2913"/>
      <c r="CQ148" s="1710"/>
      <c r="CR148" s="2017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5"/>
      <c r="DD148" s="25"/>
      <c r="DE148" s="25"/>
      <c r="DF148" s="25"/>
      <c r="DG148" s="2975"/>
      <c r="DH148" s="1913"/>
      <c r="DI148" s="1913"/>
      <c r="DJ148" s="1913"/>
      <c r="DK148" s="1884"/>
    </row>
    <row r="149" spans="2:119">
      <c r="B149" s="40" t="s">
        <v>69</v>
      </c>
      <c r="C149" s="41"/>
      <c r="D149" s="1404"/>
      <c r="E149" s="1405"/>
      <c r="F149" s="1405"/>
      <c r="G149" s="1405"/>
      <c r="H149" s="1405"/>
      <c r="I149" s="1405"/>
      <c r="J149" s="1405"/>
      <c r="K149" s="1405"/>
      <c r="L149" s="1405"/>
      <c r="M149" s="1405"/>
      <c r="N149" s="1405"/>
      <c r="O149" s="1405"/>
      <c r="P149" s="1406"/>
      <c r="Q149" s="64"/>
      <c r="R149" s="1405"/>
      <c r="S149" s="1405"/>
      <c r="T149" s="1405"/>
      <c r="U149" s="1405"/>
      <c r="V149" s="1405"/>
      <c r="W149" s="1405"/>
      <c r="X149" s="1405"/>
      <c r="Y149" s="1405"/>
      <c r="Z149" s="1405"/>
      <c r="AA149" s="1405"/>
      <c r="AB149" s="1405"/>
      <c r="AC149" s="1407"/>
      <c r="AD149" s="1028"/>
      <c r="AE149" s="1408"/>
      <c r="AF149" s="1044"/>
      <c r="AG149" s="1044"/>
      <c r="AH149" s="1044"/>
      <c r="AI149" s="1044"/>
      <c r="AJ149" s="1044"/>
      <c r="AK149" s="1044"/>
      <c r="AL149" s="1044"/>
      <c r="AM149" s="1044"/>
      <c r="AN149" s="1044"/>
      <c r="AO149" s="1044"/>
      <c r="AP149" s="1045"/>
      <c r="AQ149" s="64"/>
      <c r="AR149" s="1408"/>
      <c r="AS149" s="1044"/>
      <c r="AT149" s="1044"/>
      <c r="AU149" s="1044"/>
      <c r="AV149" s="1044"/>
      <c r="AW149" s="1044"/>
      <c r="AX149" s="1044"/>
      <c r="AY149" s="1044"/>
      <c r="AZ149" s="1044"/>
      <c r="BA149" s="1044"/>
      <c r="BB149" s="1044"/>
      <c r="BC149" s="1107"/>
      <c r="BD149" s="64"/>
      <c r="BE149" s="314"/>
      <c r="BF149" s="341"/>
      <c r="BG149" s="341"/>
      <c r="BH149" s="341"/>
      <c r="BI149" s="341"/>
      <c r="BJ149" s="341"/>
      <c r="BK149" s="341"/>
      <c r="BL149" s="341"/>
      <c r="BM149" s="341"/>
      <c r="BN149" s="341"/>
      <c r="BO149" s="341"/>
      <c r="BP149" s="1492"/>
      <c r="BQ149" s="64"/>
      <c r="BR149" s="1788"/>
      <c r="BS149" s="1789"/>
      <c r="BT149" s="1789"/>
      <c r="BU149" s="1789"/>
      <c r="BV149" s="1789"/>
      <c r="BW149" s="1789"/>
      <c r="BX149" s="1789"/>
      <c r="BY149" s="1789"/>
      <c r="BZ149" s="1789"/>
      <c r="CA149" s="1789"/>
      <c r="CB149" s="1789"/>
      <c r="CC149" s="1790"/>
      <c r="CD149" s="1710"/>
      <c r="CE149" s="2008"/>
      <c r="CF149" s="1789"/>
      <c r="CG149" s="1789"/>
      <c r="CH149" s="1789"/>
      <c r="CI149" s="1789"/>
      <c r="CJ149" s="1789"/>
      <c r="CK149" s="1789"/>
      <c r="CL149" s="1789"/>
      <c r="CM149" s="1789"/>
      <c r="CN149" s="1789"/>
      <c r="CO149" s="1789"/>
      <c r="CP149" s="2913"/>
      <c r="CQ149" s="1710"/>
      <c r="CR149" s="2017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5"/>
      <c r="DD149" s="25"/>
      <c r="DE149" s="25"/>
      <c r="DF149" s="25"/>
      <c r="DG149" s="2975"/>
      <c r="DH149" s="1913"/>
      <c r="DI149" s="1913"/>
      <c r="DJ149" s="1913"/>
      <c r="DK149" s="1884"/>
    </row>
    <row r="150" spans="2:119">
      <c r="B150" s="40" t="s">
        <v>70</v>
      </c>
      <c r="C150" s="41"/>
      <c r="D150" s="1404"/>
      <c r="E150" s="1405"/>
      <c r="F150" s="1405"/>
      <c r="G150" s="1405"/>
      <c r="H150" s="1405"/>
      <c r="I150" s="1405"/>
      <c r="J150" s="1405"/>
      <c r="K150" s="1405"/>
      <c r="L150" s="1405"/>
      <c r="M150" s="1405"/>
      <c r="N150" s="1405"/>
      <c r="O150" s="1405"/>
      <c r="P150" s="1406"/>
      <c r="Q150" s="64"/>
      <c r="R150" s="1405"/>
      <c r="S150" s="1405"/>
      <c r="T150" s="1405"/>
      <c r="U150" s="1405"/>
      <c r="V150" s="1405"/>
      <c r="W150" s="1405"/>
      <c r="X150" s="1405"/>
      <c r="Y150" s="1405"/>
      <c r="Z150" s="1405"/>
      <c r="AA150" s="1405"/>
      <c r="AB150" s="1405"/>
      <c r="AC150" s="1407"/>
      <c r="AD150" s="1028"/>
      <c r="AE150" s="1408"/>
      <c r="AF150" s="1044"/>
      <c r="AG150" s="1044"/>
      <c r="AH150" s="1044"/>
      <c r="AI150" s="1044"/>
      <c r="AJ150" s="1044"/>
      <c r="AK150" s="1044"/>
      <c r="AL150" s="1044"/>
      <c r="AM150" s="1044"/>
      <c r="AN150" s="1044"/>
      <c r="AO150" s="1044"/>
      <c r="AP150" s="1045"/>
      <c r="AQ150" s="64">
        <v>15.853403999999999</v>
      </c>
      <c r="AR150" s="1408"/>
      <c r="AS150" s="1044"/>
      <c r="AT150" s="1044"/>
      <c r="AU150" s="1044"/>
      <c r="AV150" s="1044"/>
      <c r="AW150" s="1044"/>
      <c r="AX150" s="1044"/>
      <c r="AY150" s="1044"/>
      <c r="AZ150" s="1044"/>
      <c r="BA150" s="1044"/>
      <c r="BB150" s="1044"/>
      <c r="BC150" s="1107"/>
      <c r="BD150" s="64"/>
      <c r="BE150" s="314"/>
      <c r="BF150" s="341"/>
      <c r="BG150" s="341"/>
      <c r="BH150" s="341"/>
      <c r="BI150" s="341"/>
      <c r="BJ150" s="341"/>
      <c r="BK150" s="341"/>
      <c r="BL150" s="341"/>
      <c r="BM150" s="341"/>
      <c r="BN150" s="341"/>
      <c r="BO150" s="341"/>
      <c r="BP150" s="1492"/>
      <c r="BQ150" s="64"/>
      <c r="BR150" s="1788"/>
      <c r="BS150" s="1789"/>
      <c r="BT150" s="1789"/>
      <c r="BU150" s="1789"/>
      <c r="BV150" s="1789"/>
      <c r="BW150" s="1789"/>
      <c r="BX150" s="1789"/>
      <c r="BY150" s="1789"/>
      <c r="BZ150" s="1789"/>
      <c r="CA150" s="1789"/>
      <c r="CB150" s="1789"/>
      <c r="CC150" s="1790"/>
      <c r="CD150" s="1710"/>
      <c r="CE150" s="2008"/>
      <c r="CF150" s="1789"/>
      <c r="CG150" s="1789"/>
      <c r="CH150" s="1789"/>
      <c r="CI150" s="1789"/>
      <c r="CJ150" s="1789"/>
      <c r="CK150" s="1789"/>
      <c r="CL150" s="1789"/>
      <c r="CM150" s="1789"/>
      <c r="CN150" s="1789"/>
      <c r="CO150" s="1789"/>
      <c r="CP150" s="2913"/>
      <c r="CQ150" s="1710"/>
      <c r="CR150" s="2017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5"/>
      <c r="DD150" s="25"/>
      <c r="DE150" s="25"/>
      <c r="DF150" s="25"/>
      <c r="DG150" s="2975"/>
      <c r="DH150" s="1913"/>
      <c r="DI150" s="1913"/>
      <c r="DJ150" s="1913"/>
      <c r="DK150" s="1884"/>
    </row>
    <row r="151" spans="2:119">
      <c r="B151" s="43" t="s">
        <v>71</v>
      </c>
      <c r="C151" s="44"/>
      <c r="D151" s="45"/>
      <c r="E151" s="1346"/>
      <c r="F151" s="1346"/>
      <c r="G151" s="1346"/>
      <c r="H151" s="1346"/>
      <c r="I151" s="1346"/>
      <c r="J151" s="1346"/>
      <c r="K151" s="1346"/>
      <c r="L151" s="1346"/>
      <c r="M151" s="1346"/>
      <c r="N151" s="1346"/>
      <c r="O151" s="1346"/>
      <c r="P151" s="1409"/>
      <c r="Q151" s="1349"/>
      <c r="R151" s="1346"/>
      <c r="S151" s="1346"/>
      <c r="T151" s="1346"/>
      <c r="U151" s="1346"/>
      <c r="V151" s="1346"/>
      <c r="W151" s="1346"/>
      <c r="X151" s="1346"/>
      <c r="Y151" s="1346"/>
      <c r="Z151" s="1346"/>
      <c r="AA151" s="1346"/>
      <c r="AB151" s="1346"/>
      <c r="AC151" s="1350"/>
      <c r="AD151" s="1030"/>
      <c r="AE151" s="1410"/>
      <c r="AF151" s="1048"/>
      <c r="AG151" s="1048"/>
      <c r="AH151" s="1048"/>
      <c r="AI151" s="1048"/>
      <c r="AJ151" s="1048"/>
      <c r="AK151" s="1048"/>
      <c r="AL151" s="1048"/>
      <c r="AM151" s="1048"/>
      <c r="AN151" s="1048"/>
      <c r="AO151" s="1048"/>
      <c r="AP151" s="1049"/>
      <c r="AQ151" s="1411">
        <v>28.099111000000001</v>
      </c>
      <c r="AR151" s="1410"/>
      <c r="AS151" s="1048"/>
      <c r="AT151" s="1048"/>
      <c r="AU151" s="1048"/>
      <c r="AV151" s="1048"/>
      <c r="AW151" s="1048"/>
      <c r="AX151" s="1048"/>
      <c r="AY151" s="1048"/>
      <c r="AZ151" s="1048"/>
      <c r="BA151" s="1048"/>
      <c r="BB151" s="1048"/>
      <c r="BC151" s="1110"/>
      <c r="BD151" s="1411"/>
      <c r="BE151" s="1493"/>
      <c r="BF151" s="1494"/>
      <c r="BG151" s="1494"/>
      <c r="BH151" s="1494"/>
      <c r="BI151" s="1494"/>
      <c r="BJ151" s="1494"/>
      <c r="BK151" s="1494"/>
      <c r="BL151" s="1494"/>
      <c r="BM151" s="1494"/>
      <c r="BN151" s="1494"/>
      <c r="BO151" s="1494"/>
      <c r="BP151" s="1495"/>
      <c r="BQ151" s="1411"/>
      <c r="BR151" s="1791"/>
      <c r="BS151" s="1792"/>
      <c r="BT151" s="1792"/>
      <c r="BU151" s="1792"/>
      <c r="BV151" s="1792"/>
      <c r="BW151" s="1792"/>
      <c r="BX151" s="1792"/>
      <c r="BY151" s="1792"/>
      <c r="BZ151" s="1792"/>
      <c r="CA151" s="1792"/>
      <c r="CB151" s="1792"/>
      <c r="CC151" s="1793"/>
      <c r="CD151" s="2018"/>
      <c r="CE151" s="2009"/>
      <c r="CF151" s="1792"/>
      <c r="CG151" s="1792"/>
      <c r="CH151" s="1792"/>
      <c r="CI151" s="1792"/>
      <c r="CJ151" s="1792"/>
      <c r="CK151" s="1792"/>
      <c r="CL151" s="1792"/>
      <c r="CM151" s="1792"/>
      <c r="CN151" s="1792"/>
      <c r="CO151" s="1792"/>
      <c r="CP151" s="2914"/>
      <c r="CQ151" s="2018"/>
      <c r="CR151" s="2019"/>
      <c r="CS151" s="803"/>
      <c r="CT151" s="803"/>
      <c r="CU151" s="803"/>
      <c r="CV151" s="803"/>
      <c r="CW151" s="803"/>
      <c r="CX151" s="803"/>
      <c r="CY151" s="803"/>
      <c r="CZ151" s="803"/>
      <c r="DA151" s="803"/>
      <c r="DB151" s="803"/>
      <c r="DC151" s="2020"/>
      <c r="DD151" s="25"/>
      <c r="DE151" s="25"/>
      <c r="DF151" s="25"/>
      <c r="DG151" s="2975"/>
      <c r="DH151" s="1913"/>
      <c r="DI151" s="1913"/>
      <c r="DJ151" s="1913"/>
      <c r="DK151" s="1884"/>
    </row>
    <row r="152" spans="2:119">
      <c r="B152" s="46" t="s">
        <v>72</v>
      </c>
      <c r="C152" s="34"/>
      <c r="D152" s="35"/>
      <c r="E152" s="1335"/>
      <c r="F152" s="1335"/>
      <c r="G152" s="1335"/>
      <c r="H152" s="1335"/>
      <c r="I152" s="1335"/>
      <c r="J152" s="1335"/>
      <c r="K152" s="1335"/>
      <c r="L152" s="1335"/>
      <c r="M152" s="1335"/>
      <c r="N152" s="1335"/>
      <c r="O152" s="1335"/>
      <c r="P152" s="1073"/>
      <c r="Q152" s="1345"/>
      <c r="R152" s="1335"/>
      <c r="S152" s="1335"/>
      <c r="T152" s="1335"/>
      <c r="U152" s="1335"/>
      <c r="V152" s="1335"/>
      <c r="W152" s="1335"/>
      <c r="X152" s="1335"/>
      <c r="Y152" s="1335"/>
      <c r="Z152" s="1335"/>
      <c r="AA152" s="1335"/>
      <c r="AB152" s="1335"/>
      <c r="AC152" s="1074"/>
      <c r="AD152" s="1026">
        <v>1000.48</v>
      </c>
      <c r="AE152" s="1395"/>
      <c r="AF152" s="1040"/>
      <c r="AG152" s="1040"/>
      <c r="AH152" s="1040"/>
      <c r="AI152" s="1040"/>
      <c r="AJ152" s="1040"/>
      <c r="AK152" s="1040"/>
      <c r="AL152" s="1040"/>
      <c r="AM152" s="1040"/>
      <c r="AN152" s="1040"/>
      <c r="AO152" s="1040"/>
      <c r="AP152" s="1041"/>
      <c r="AQ152" s="1345">
        <f>SUM(AQ153:AQ155)</f>
        <v>42.597529999999999</v>
      </c>
      <c r="AR152" s="1395"/>
      <c r="AS152" s="1040"/>
      <c r="AT152" s="1040"/>
      <c r="AU152" s="1040"/>
      <c r="AV152" s="1040"/>
      <c r="AW152" s="1040"/>
      <c r="AX152" s="1040"/>
      <c r="AY152" s="1040"/>
      <c r="AZ152" s="1040"/>
      <c r="BA152" s="1040"/>
      <c r="BB152" s="1040"/>
      <c r="BC152" s="1105"/>
      <c r="BD152" s="1345">
        <f>SUM(BD153:BD155)</f>
        <v>0.33</v>
      </c>
      <c r="BE152" s="1488">
        <f t="shared" ref="BE152:BP152" si="435">SUM(BE153:BE155)</f>
        <v>0</v>
      </c>
      <c r="BF152" s="1489">
        <f t="shared" si="435"/>
        <v>0.33</v>
      </c>
      <c r="BG152" s="1489">
        <f t="shared" si="435"/>
        <v>0</v>
      </c>
      <c r="BH152" s="1489">
        <f t="shared" si="435"/>
        <v>0</v>
      </c>
      <c r="BI152" s="1489">
        <f t="shared" si="435"/>
        <v>0</v>
      </c>
      <c r="BJ152" s="1489">
        <f t="shared" si="435"/>
        <v>0</v>
      </c>
      <c r="BK152" s="1489">
        <f t="shared" si="435"/>
        <v>0</v>
      </c>
      <c r="BL152" s="1489">
        <f t="shared" si="435"/>
        <v>0</v>
      </c>
      <c r="BM152" s="1489">
        <f t="shared" si="435"/>
        <v>0</v>
      </c>
      <c r="BN152" s="1489">
        <f t="shared" si="435"/>
        <v>0</v>
      </c>
      <c r="BO152" s="1489">
        <f t="shared" si="435"/>
        <v>0</v>
      </c>
      <c r="BP152" s="1490">
        <f t="shared" si="435"/>
        <v>0</v>
      </c>
      <c r="BQ152" s="1345">
        <f>SUM(BQ153:BQ155)</f>
        <v>701.07038299999999</v>
      </c>
      <c r="BR152" s="1785">
        <f t="shared" ref="BR152:CC152" si="436">SUM(BR153:BR155)</f>
        <v>14.575546000000001</v>
      </c>
      <c r="BS152" s="1786">
        <f t="shared" si="436"/>
        <v>2.9087749999999999</v>
      </c>
      <c r="BT152" s="1786">
        <f t="shared" si="436"/>
        <v>30.869992</v>
      </c>
      <c r="BU152" s="1786">
        <f t="shared" si="436"/>
        <v>387.39</v>
      </c>
      <c r="BV152" s="1786">
        <f t="shared" si="436"/>
        <v>0</v>
      </c>
      <c r="BW152" s="1786">
        <f t="shared" si="436"/>
        <v>26.520121</v>
      </c>
      <c r="BX152" s="1786">
        <f t="shared" si="436"/>
        <v>35.642580000000002</v>
      </c>
      <c r="BY152" s="1786">
        <f t="shared" si="436"/>
        <v>0</v>
      </c>
      <c r="BZ152" s="1786">
        <f t="shared" si="436"/>
        <v>5.6392050000000005</v>
      </c>
      <c r="CA152" s="1786">
        <f t="shared" si="436"/>
        <v>151.896367</v>
      </c>
      <c r="CB152" s="1786">
        <f t="shared" si="436"/>
        <v>12.986239000000001</v>
      </c>
      <c r="CC152" s="1787">
        <f t="shared" si="436"/>
        <v>32.641558000000003</v>
      </c>
      <c r="CD152" s="1345">
        <f>SUM(CD153:CD155)</f>
        <v>612.48977900000057</v>
      </c>
      <c r="CE152" s="1785">
        <f t="shared" ref="CE152:CP152" si="437">SUM(CE153:CE155)</f>
        <v>40.335403000000639</v>
      </c>
      <c r="CF152" s="1786">
        <f t="shared" si="437"/>
        <v>138.96257400000002</v>
      </c>
      <c r="CG152" s="1786">
        <f t="shared" si="437"/>
        <v>26.669159000000001</v>
      </c>
      <c r="CH152" s="1786">
        <f t="shared" si="437"/>
        <v>16.094412999999999</v>
      </c>
      <c r="CI152" s="1786">
        <f t="shared" si="437"/>
        <v>17.143045000000004</v>
      </c>
      <c r="CJ152" s="1786">
        <f t="shared" si="437"/>
        <v>18.099584</v>
      </c>
      <c r="CK152" s="1786">
        <f t="shared" si="437"/>
        <v>56.597795000000005</v>
      </c>
      <c r="CL152" s="1786">
        <f t="shared" si="437"/>
        <v>85.826022999999978</v>
      </c>
      <c r="CM152" s="1786">
        <f t="shared" si="437"/>
        <v>45.567276</v>
      </c>
      <c r="CN152" s="1786">
        <f t="shared" si="437"/>
        <v>90.283509000000009</v>
      </c>
      <c r="CO152" s="1786">
        <f t="shared" si="437"/>
        <v>48.076235000000004</v>
      </c>
      <c r="CP152" s="2915">
        <f t="shared" si="437"/>
        <v>28.834762999999999</v>
      </c>
      <c r="CQ152" s="1345">
        <f>SUM(CQ153:CQ155)</f>
        <v>927.97255228315669</v>
      </c>
      <c r="CR152" s="801">
        <f t="shared" ref="CR152:DC152" si="438">SUM(CR153:CR155)</f>
        <v>69.096069121017351</v>
      </c>
      <c r="CS152" s="802">
        <f t="shared" si="438"/>
        <v>146.23872675808136</v>
      </c>
      <c r="CT152" s="802">
        <f t="shared" si="438"/>
        <v>72.27951453427319</v>
      </c>
      <c r="CU152" s="802">
        <f t="shared" si="438"/>
        <v>69.705213792033092</v>
      </c>
      <c r="CV152" s="802">
        <f t="shared" si="438"/>
        <v>69.473037672983921</v>
      </c>
      <c r="CW152" s="802">
        <f t="shared" si="438"/>
        <v>70.992798629252562</v>
      </c>
      <c r="CX152" s="802">
        <f t="shared" si="438"/>
        <v>72.050398629252555</v>
      </c>
      <c r="CY152" s="802">
        <f t="shared" si="438"/>
        <v>72.050398629252555</v>
      </c>
      <c r="CZ152" s="802">
        <f t="shared" si="438"/>
        <v>72.050398629252555</v>
      </c>
      <c r="DA152" s="802">
        <f t="shared" si="438"/>
        <v>72.050398629252555</v>
      </c>
      <c r="DB152" s="802">
        <f t="shared" si="438"/>
        <v>70.992798629252562</v>
      </c>
      <c r="DC152" s="2016">
        <f t="shared" si="438"/>
        <v>70.992798629252562</v>
      </c>
      <c r="DD152" s="2587"/>
      <c r="DE152" s="2587"/>
      <c r="DF152" s="2587"/>
      <c r="DG152" s="2975"/>
      <c r="DH152" s="1913">
        <f>CD152/BQ152-1</f>
        <v>-0.12635051508087947</v>
      </c>
      <c r="DI152" s="1913">
        <f>CQ152/CD152-1</f>
        <v>0.51508251092489798</v>
      </c>
      <c r="DJ152" s="1913"/>
      <c r="DK152" s="1884"/>
    </row>
    <row r="153" spans="2:119">
      <c r="B153" s="40" t="s">
        <v>73</v>
      </c>
      <c r="C153" s="41"/>
      <c r="D153" s="1404"/>
      <c r="E153" s="1405"/>
      <c r="F153" s="1405"/>
      <c r="G153" s="1405"/>
      <c r="H153" s="1405"/>
      <c r="I153" s="1405"/>
      <c r="J153" s="1405"/>
      <c r="K153" s="1405"/>
      <c r="L153" s="1405"/>
      <c r="M153" s="1405"/>
      <c r="N153" s="1405"/>
      <c r="O153" s="1405"/>
      <c r="P153" s="1406"/>
      <c r="Q153" s="64"/>
      <c r="R153" s="1405"/>
      <c r="S153" s="1405"/>
      <c r="T153" s="1405"/>
      <c r="U153" s="1405"/>
      <c r="V153" s="1405"/>
      <c r="W153" s="1405"/>
      <c r="X153" s="1405"/>
      <c r="Y153" s="1405"/>
      <c r="Z153" s="1405"/>
      <c r="AA153" s="1405"/>
      <c r="AB153" s="1405"/>
      <c r="AC153" s="1407"/>
      <c r="AD153" s="1028"/>
      <c r="AE153" s="1408"/>
      <c r="AF153" s="1044"/>
      <c r="AG153" s="1044"/>
      <c r="AH153" s="1044"/>
      <c r="AI153" s="1044"/>
      <c r="AJ153" s="1044"/>
      <c r="AK153" s="1044"/>
      <c r="AL153" s="1044"/>
      <c r="AM153" s="1044"/>
      <c r="AN153" s="1044"/>
      <c r="AO153" s="1044"/>
      <c r="AP153" s="1045"/>
      <c r="AQ153" s="64"/>
      <c r="AR153" s="1408"/>
      <c r="AS153" s="1044"/>
      <c r="AT153" s="1044"/>
      <c r="AU153" s="1044"/>
      <c r="AV153" s="1044"/>
      <c r="AW153" s="1044"/>
      <c r="AX153" s="1044"/>
      <c r="AY153" s="1044"/>
      <c r="AZ153" s="1044"/>
      <c r="BA153" s="1044"/>
      <c r="BB153" s="1044"/>
      <c r="BC153" s="1107"/>
      <c r="BD153" s="64"/>
      <c r="BE153" s="314"/>
      <c r="BF153" s="341"/>
      <c r="BG153" s="341"/>
      <c r="BH153" s="341"/>
      <c r="BI153" s="341"/>
      <c r="BJ153" s="341"/>
      <c r="BK153" s="341"/>
      <c r="BL153" s="341"/>
      <c r="BM153" s="341"/>
      <c r="BN153" s="341"/>
      <c r="BO153" s="341"/>
      <c r="BP153" s="1492"/>
      <c r="BQ153" s="64"/>
      <c r="BR153" s="1788"/>
      <c r="BS153" s="1789"/>
      <c r="BT153" s="1789"/>
      <c r="BU153" s="1789"/>
      <c r="BV153" s="1789"/>
      <c r="BW153" s="1789"/>
      <c r="BX153" s="1789"/>
      <c r="BY153" s="1789"/>
      <c r="BZ153" s="1789"/>
      <c r="CA153" s="1789"/>
      <c r="CB153" s="1789"/>
      <c r="CC153" s="1790"/>
      <c r="CD153" s="1710"/>
      <c r="CE153" s="2008"/>
      <c r="CF153" s="1789"/>
      <c r="CG153" s="1789"/>
      <c r="CH153" s="1789"/>
      <c r="CI153" s="1789"/>
      <c r="CJ153" s="1789"/>
      <c r="CK153" s="1789"/>
      <c r="CL153" s="1789"/>
      <c r="CM153" s="1789"/>
      <c r="CN153" s="1789"/>
      <c r="CO153" s="1789"/>
      <c r="CP153" s="2913"/>
      <c r="CQ153" s="1710"/>
      <c r="CR153" s="2017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5"/>
      <c r="DD153" s="25"/>
      <c r="DE153" s="25"/>
      <c r="DF153" s="25"/>
      <c r="DG153" s="2975"/>
      <c r="DH153" s="1913"/>
      <c r="DI153" s="1913"/>
      <c r="DJ153" s="1913"/>
      <c r="DK153" s="1884"/>
    </row>
    <row r="154" spans="2:119">
      <c r="B154" s="40" t="s">
        <v>74</v>
      </c>
      <c r="C154" s="41"/>
      <c r="D154" s="1404"/>
      <c r="E154" s="1405"/>
      <c r="F154" s="1405"/>
      <c r="G154" s="1405"/>
      <c r="H154" s="1405"/>
      <c r="I154" s="1405"/>
      <c r="J154" s="1405"/>
      <c r="K154" s="1405"/>
      <c r="L154" s="1405"/>
      <c r="M154" s="1405"/>
      <c r="N154" s="1405"/>
      <c r="O154" s="1405"/>
      <c r="P154" s="1406"/>
      <c r="Q154" s="64"/>
      <c r="R154" s="1405"/>
      <c r="S154" s="1405"/>
      <c r="T154" s="1405"/>
      <c r="U154" s="1405"/>
      <c r="V154" s="1405"/>
      <c r="W154" s="1405"/>
      <c r="X154" s="1405"/>
      <c r="Y154" s="1405"/>
      <c r="Z154" s="1405"/>
      <c r="AA154" s="1405"/>
      <c r="AB154" s="1405"/>
      <c r="AC154" s="1407"/>
      <c r="AD154" s="1028">
        <v>0.48</v>
      </c>
      <c r="AE154" s="1408"/>
      <c r="AF154" s="1044"/>
      <c r="AG154" s="1044"/>
      <c r="AH154" s="1044"/>
      <c r="AI154" s="1044"/>
      <c r="AJ154" s="1044"/>
      <c r="AK154" s="1044"/>
      <c r="AL154" s="1044"/>
      <c r="AM154" s="1044"/>
      <c r="AN154" s="1044"/>
      <c r="AO154" s="1044"/>
      <c r="AP154" s="1045"/>
      <c r="AQ154" s="64">
        <v>42.597529999999999</v>
      </c>
      <c r="AR154" s="1408"/>
      <c r="AS154" s="1044"/>
      <c r="AT154" s="1044"/>
      <c r="AU154" s="1044"/>
      <c r="AV154" s="1044"/>
      <c r="AW154" s="1044"/>
      <c r="AX154" s="1044"/>
      <c r="AY154" s="1044"/>
      <c r="AZ154" s="1044"/>
      <c r="BA154" s="1044"/>
      <c r="BB154" s="1044"/>
      <c r="BC154" s="1107"/>
      <c r="BD154" s="64"/>
      <c r="BE154" s="314"/>
      <c r="BF154" s="341"/>
      <c r="BG154" s="341"/>
      <c r="BH154" s="341"/>
      <c r="BI154" s="341"/>
      <c r="BJ154" s="341"/>
      <c r="BK154" s="341"/>
      <c r="BL154" s="341"/>
      <c r="BM154" s="341"/>
      <c r="BN154" s="341"/>
      <c r="BO154" s="341"/>
      <c r="BP154" s="1492"/>
      <c r="BQ154" s="64">
        <f>SUM(BR154:CC154)</f>
        <v>671.43676400000004</v>
      </c>
      <c r="BR154" s="2008">
        <f>유통플랫폼!R24</f>
        <v>14.575546000000001</v>
      </c>
      <c r="BS154" s="1789">
        <f>유통플랫폼!S24</f>
        <v>2.9087749999999999</v>
      </c>
      <c r="BT154" s="1789">
        <f>유통플랫폼!T24</f>
        <v>30.869992</v>
      </c>
      <c r="BU154" s="1789">
        <f>유통플랫폼!U24</f>
        <v>387.39</v>
      </c>
      <c r="BV154" s="1789">
        <f>유통플랫폼!V24</f>
        <v>0</v>
      </c>
      <c r="BW154" s="1789">
        <f>유통플랫폼!W24</f>
        <v>26.520121</v>
      </c>
      <c r="BX154" s="1789">
        <f>유통플랫폼!X24</f>
        <v>18.450600000000001</v>
      </c>
      <c r="BY154" s="1789">
        <f>유통플랫폼!Y24</f>
        <v>0</v>
      </c>
      <c r="BZ154" s="1789">
        <f>유통플랫폼!Z24</f>
        <v>5.6392050000000005</v>
      </c>
      <c r="CA154" s="1789">
        <f>유통플랫폼!AA24</f>
        <v>149.40992700000001</v>
      </c>
      <c r="CB154" s="1789">
        <f>유통플랫폼!AB24</f>
        <v>7.2174450000000006</v>
      </c>
      <c r="CC154" s="1790">
        <f>유통플랫폼!AC24</f>
        <v>28.455153000000003</v>
      </c>
      <c r="CD154" s="1710">
        <f>SUM(CE154:CP154)</f>
        <v>612.48977900000057</v>
      </c>
      <c r="CE154" s="2008">
        <f>유통플랫폼!AE24</f>
        <v>40.335403000000639</v>
      </c>
      <c r="CF154" s="1789">
        <f>유통플랫폼!AF24</f>
        <v>138.96257400000002</v>
      </c>
      <c r="CG154" s="1789">
        <f>유통플랫폼!AG24</f>
        <v>26.669159000000001</v>
      </c>
      <c r="CH154" s="1789">
        <f>유통플랫폼!AH24</f>
        <v>16.094412999999999</v>
      </c>
      <c r="CI154" s="1789">
        <f>유통플랫폼!AI24</f>
        <v>17.143045000000004</v>
      </c>
      <c r="CJ154" s="1789">
        <f>유통플랫폼!AJ24</f>
        <v>18.099584</v>
      </c>
      <c r="CK154" s="1789">
        <f>유통플랫폼!AK24</f>
        <v>56.597795000000005</v>
      </c>
      <c r="CL154" s="1789">
        <f>유통플랫폼!AL24</f>
        <v>85.826022999999978</v>
      </c>
      <c r="CM154" s="1789">
        <f>유통플랫폼!AM24</f>
        <v>45.567276</v>
      </c>
      <c r="CN154" s="1789">
        <f>유통플랫폼!AN24</f>
        <v>90.283509000000009</v>
      </c>
      <c r="CO154" s="1789">
        <f>유통플랫폼!AO24</f>
        <v>48.076235000000004</v>
      </c>
      <c r="CP154" s="2913">
        <f>유통플랫폼!AP24</f>
        <v>28.834762999999999</v>
      </c>
      <c r="CQ154" s="1710">
        <f>SUM(CR154:DC154)</f>
        <v>927.97255228315669</v>
      </c>
      <c r="CR154" s="2017">
        <f>유통플랫폼!AR24</f>
        <v>69.096069121017351</v>
      </c>
      <c r="CS154" s="4">
        <f>유통플랫폼!AS24</f>
        <v>146.23872675808136</v>
      </c>
      <c r="CT154" s="4">
        <f>유통플랫폼!AT24</f>
        <v>72.27951453427319</v>
      </c>
      <c r="CU154" s="4">
        <f>유통플랫폼!AU24</f>
        <v>69.705213792033092</v>
      </c>
      <c r="CV154" s="4">
        <f>유통플랫폼!AV24</f>
        <v>69.473037672983921</v>
      </c>
      <c r="CW154" s="4">
        <f>유통플랫폼!AW24</f>
        <v>70.992798629252562</v>
      </c>
      <c r="CX154" s="4">
        <f>유통플랫폼!AX24</f>
        <v>72.050398629252555</v>
      </c>
      <c r="CY154" s="4">
        <f>유통플랫폼!AY24</f>
        <v>72.050398629252555</v>
      </c>
      <c r="CZ154" s="4">
        <f>유통플랫폼!AZ24</f>
        <v>72.050398629252555</v>
      </c>
      <c r="DA154" s="4">
        <f>유통플랫폼!BA24</f>
        <v>72.050398629252555</v>
      </c>
      <c r="DB154" s="4">
        <f>유통플랫폼!BB24</f>
        <v>70.992798629252562</v>
      </c>
      <c r="DC154" s="5">
        <f>유통플랫폼!BC24</f>
        <v>70.992798629252562</v>
      </c>
      <c r="DD154" s="25"/>
      <c r="DE154" s="25"/>
      <c r="DF154" s="25"/>
      <c r="DG154" s="2975"/>
      <c r="DH154" s="1913">
        <f>CD154/BQ154-1</f>
        <v>-8.7792310699268628E-2</v>
      </c>
      <c r="DI154" s="1913">
        <f>CQ154/CD154-1</f>
        <v>0.51508251092489798</v>
      </c>
      <c r="DJ154" s="1913"/>
      <c r="DK154" s="1884"/>
    </row>
    <row r="155" spans="2:119">
      <c r="B155" s="43" t="s">
        <v>75</v>
      </c>
      <c r="C155" s="44"/>
      <c r="D155" s="45"/>
      <c r="E155" s="1346"/>
      <c r="F155" s="1346"/>
      <c r="G155" s="1346"/>
      <c r="H155" s="1346"/>
      <c r="I155" s="1346"/>
      <c r="J155" s="1346"/>
      <c r="K155" s="1346"/>
      <c r="L155" s="1346"/>
      <c r="M155" s="1346"/>
      <c r="N155" s="1346"/>
      <c r="O155" s="1346"/>
      <c r="P155" s="1409"/>
      <c r="Q155" s="1349"/>
      <c r="R155" s="1346"/>
      <c r="S155" s="1346"/>
      <c r="T155" s="1346"/>
      <c r="U155" s="1346"/>
      <c r="V155" s="1346"/>
      <c r="W155" s="1346"/>
      <c r="X155" s="1346"/>
      <c r="Y155" s="1346"/>
      <c r="Z155" s="1346"/>
      <c r="AA155" s="1346"/>
      <c r="AB155" s="1346"/>
      <c r="AC155" s="1350"/>
      <c r="AD155" s="1030">
        <f>AD152</f>
        <v>1000.48</v>
      </c>
      <c r="AE155" s="1475">
        <f t="shared" ref="AE155:BC155" si="439">AE152</f>
        <v>0</v>
      </c>
      <c r="AF155" s="1048">
        <f t="shared" si="439"/>
        <v>0</v>
      </c>
      <c r="AG155" s="1048">
        <f t="shared" si="439"/>
        <v>0</v>
      </c>
      <c r="AH155" s="1048">
        <f t="shared" si="439"/>
        <v>0</v>
      </c>
      <c r="AI155" s="1048">
        <f t="shared" si="439"/>
        <v>0</v>
      </c>
      <c r="AJ155" s="1048">
        <f t="shared" si="439"/>
        <v>0</v>
      </c>
      <c r="AK155" s="1048">
        <f t="shared" si="439"/>
        <v>0</v>
      </c>
      <c r="AL155" s="1048">
        <f t="shared" si="439"/>
        <v>0</v>
      </c>
      <c r="AM155" s="1048">
        <f t="shared" si="439"/>
        <v>0</v>
      </c>
      <c r="AN155" s="1048">
        <f t="shared" si="439"/>
        <v>0</v>
      </c>
      <c r="AO155" s="1048">
        <f t="shared" si="439"/>
        <v>0</v>
      </c>
      <c r="AP155" s="1476">
        <f t="shared" si="439"/>
        <v>0</v>
      </c>
      <c r="AQ155" s="1349"/>
      <c r="AR155" s="1475">
        <f t="shared" si="439"/>
        <v>0</v>
      </c>
      <c r="AS155" s="1048">
        <f t="shared" si="439"/>
        <v>0</v>
      </c>
      <c r="AT155" s="1048">
        <f t="shared" si="439"/>
        <v>0</v>
      </c>
      <c r="AU155" s="1048">
        <f t="shared" si="439"/>
        <v>0</v>
      </c>
      <c r="AV155" s="1048">
        <f t="shared" si="439"/>
        <v>0</v>
      </c>
      <c r="AW155" s="1048">
        <f t="shared" si="439"/>
        <v>0</v>
      </c>
      <c r="AX155" s="1048">
        <f t="shared" si="439"/>
        <v>0</v>
      </c>
      <c r="AY155" s="1048">
        <f t="shared" si="439"/>
        <v>0</v>
      </c>
      <c r="AZ155" s="1048">
        <f t="shared" si="439"/>
        <v>0</v>
      </c>
      <c r="BA155" s="1048">
        <f t="shared" si="439"/>
        <v>0</v>
      </c>
      <c r="BB155" s="1048">
        <f t="shared" si="439"/>
        <v>0</v>
      </c>
      <c r="BC155" s="1110">
        <f t="shared" si="439"/>
        <v>0</v>
      </c>
      <c r="BD155" s="1349">
        <f>SUM(BE155:BP155)</f>
        <v>0.33</v>
      </c>
      <c r="BE155" s="1493">
        <f>유통플랫폼!E24</f>
        <v>0</v>
      </c>
      <c r="BF155" s="1494">
        <f>유통플랫폼!F24</f>
        <v>0.33</v>
      </c>
      <c r="BG155" s="1494">
        <f>유통플랫폼!G24</f>
        <v>0</v>
      </c>
      <c r="BH155" s="1494">
        <f>유통플랫폼!H24</f>
        <v>0</v>
      </c>
      <c r="BI155" s="1494">
        <f>유통플랫폼!I24</f>
        <v>0</v>
      </c>
      <c r="BJ155" s="1494">
        <f>유통플랫폼!J24</f>
        <v>0</v>
      </c>
      <c r="BK155" s="1494">
        <f>유통플랫폼!K24</f>
        <v>0</v>
      </c>
      <c r="BL155" s="1494">
        <f>유통플랫폼!L24</f>
        <v>0</v>
      </c>
      <c r="BM155" s="1494">
        <f>유통플랫폼!M24</f>
        <v>0</v>
      </c>
      <c r="BN155" s="1494">
        <f>유통플랫폼!N24</f>
        <v>0</v>
      </c>
      <c r="BO155" s="1494">
        <f>유통플랫폼!O24</f>
        <v>0</v>
      </c>
      <c r="BP155" s="1496">
        <f>유통플랫폼!P24</f>
        <v>0</v>
      </c>
      <c r="BQ155" s="1349">
        <f>SUM(BR155:CC155)</f>
        <v>29.633619000000003</v>
      </c>
      <c r="BR155" s="2009">
        <f>유통플랫폼!R23</f>
        <v>0</v>
      </c>
      <c r="BS155" s="1792">
        <f>유통플랫폼!S23</f>
        <v>0</v>
      </c>
      <c r="BT155" s="1792">
        <f>유통플랫폼!T23</f>
        <v>0</v>
      </c>
      <c r="BU155" s="1792">
        <f>유통플랫폼!U23</f>
        <v>0</v>
      </c>
      <c r="BV155" s="1792">
        <f>유통플랫폼!V23</f>
        <v>0</v>
      </c>
      <c r="BW155" s="1792">
        <f>유통플랫폼!W23</f>
        <v>0</v>
      </c>
      <c r="BX155" s="1792">
        <f>유통플랫폼!X23</f>
        <v>17.191980000000001</v>
      </c>
      <c r="BY155" s="1792">
        <f>유통플랫폼!Y23</f>
        <v>0</v>
      </c>
      <c r="BZ155" s="1792">
        <f>유통플랫폼!Z23</f>
        <v>0</v>
      </c>
      <c r="CA155" s="1792">
        <f>유통플랫폼!AA23</f>
        <v>2.48644</v>
      </c>
      <c r="CB155" s="1792">
        <f>유통플랫폼!AB23</f>
        <v>5.7687939999999998</v>
      </c>
      <c r="CC155" s="1793">
        <f>유통플랫폼!AC23</f>
        <v>4.1864049999999997</v>
      </c>
      <c r="CD155" s="1349">
        <f>SUM(CE155:CP155)</f>
        <v>0</v>
      </c>
      <c r="CE155" s="2009">
        <f>유통플랫폼!AE23</f>
        <v>0</v>
      </c>
      <c r="CF155" s="1792">
        <f>유통플랫폼!AF23</f>
        <v>0</v>
      </c>
      <c r="CG155" s="1792">
        <f>유통플랫폼!AG23</f>
        <v>0</v>
      </c>
      <c r="CH155" s="1792">
        <f>유통플랫폼!AH23</f>
        <v>0</v>
      </c>
      <c r="CI155" s="1792">
        <f>유통플랫폼!AI23</f>
        <v>0</v>
      </c>
      <c r="CJ155" s="1792">
        <f>유통플랫폼!AJ23</f>
        <v>0</v>
      </c>
      <c r="CK155" s="1792">
        <f>유통플랫폼!AK23</f>
        <v>0</v>
      </c>
      <c r="CL155" s="1792">
        <f>유통플랫폼!AL23</f>
        <v>0</v>
      </c>
      <c r="CM155" s="1792">
        <f>유통플랫폼!AM23</f>
        <v>0</v>
      </c>
      <c r="CN155" s="1792">
        <f>유통플랫폼!AN23</f>
        <v>0</v>
      </c>
      <c r="CO155" s="1792">
        <f>유통플랫폼!AO23</f>
        <v>0</v>
      </c>
      <c r="CP155" s="2914">
        <f>유통플랫폼!AP23</f>
        <v>0</v>
      </c>
      <c r="CQ155" s="1349">
        <f>SUM(CR155:DC155)</f>
        <v>0</v>
      </c>
      <c r="CR155" s="2019">
        <f>유통플랫폼!AR23</f>
        <v>0</v>
      </c>
      <c r="CS155" s="803">
        <f>유통플랫폼!AS23</f>
        <v>0</v>
      </c>
      <c r="CT155" s="803">
        <f>유통플랫폼!AT23</f>
        <v>0</v>
      </c>
      <c r="CU155" s="803">
        <f>유통플랫폼!AU23</f>
        <v>0</v>
      </c>
      <c r="CV155" s="803">
        <f>유통플랫폼!AV23</f>
        <v>0</v>
      </c>
      <c r="CW155" s="803">
        <f>유통플랫폼!AW23</f>
        <v>0</v>
      </c>
      <c r="CX155" s="803">
        <f>유통플랫폼!AX23</f>
        <v>0</v>
      </c>
      <c r="CY155" s="803">
        <f>유통플랫폼!AY23</f>
        <v>0</v>
      </c>
      <c r="CZ155" s="803">
        <f>유통플랫폼!AZ23</f>
        <v>0</v>
      </c>
      <c r="DA155" s="803">
        <f>유통플랫폼!BA23</f>
        <v>0</v>
      </c>
      <c r="DB155" s="803">
        <f>유통플랫폼!BB23</f>
        <v>0</v>
      </c>
      <c r="DC155" s="2020">
        <f>유통플랫폼!BC23</f>
        <v>0</v>
      </c>
      <c r="DD155" s="25"/>
      <c r="DE155" s="25"/>
      <c r="DF155" s="25"/>
      <c r="DG155" s="2975"/>
      <c r="DH155" s="1913"/>
      <c r="DI155" s="1913"/>
      <c r="DJ155" s="1913"/>
      <c r="DK155" s="1884"/>
    </row>
    <row r="156" spans="2:119">
      <c r="B156" s="46" t="s">
        <v>76</v>
      </c>
      <c r="C156" s="34"/>
      <c r="D156" s="35"/>
      <c r="E156" s="1335"/>
      <c r="F156" s="1335"/>
      <c r="G156" s="1335"/>
      <c r="H156" s="1335"/>
      <c r="I156" s="1335"/>
      <c r="J156" s="1335"/>
      <c r="K156" s="1335"/>
      <c r="L156" s="1335"/>
      <c r="M156" s="1335"/>
      <c r="N156" s="1335"/>
      <c r="O156" s="1335"/>
      <c r="P156" s="1073"/>
      <c r="Q156" s="1345"/>
      <c r="R156" s="1335"/>
      <c r="S156" s="1335"/>
      <c r="T156" s="1335"/>
      <c r="U156" s="1335"/>
      <c r="V156" s="1335"/>
      <c r="W156" s="1335"/>
      <c r="X156" s="1335"/>
      <c r="Y156" s="1335"/>
      <c r="Z156" s="1335"/>
      <c r="AA156" s="1335"/>
      <c r="AB156" s="1335"/>
      <c r="AC156" s="1074"/>
      <c r="AD156" s="1026">
        <v>6.9380000000000006</v>
      </c>
      <c r="AE156" s="1395"/>
      <c r="AF156" s="1040"/>
      <c r="AG156" s="1040"/>
      <c r="AH156" s="1040"/>
      <c r="AI156" s="1040"/>
      <c r="AJ156" s="1040"/>
      <c r="AK156" s="1040"/>
      <c r="AL156" s="1040"/>
      <c r="AM156" s="1040"/>
      <c r="AN156" s="1040"/>
      <c r="AO156" s="1040"/>
      <c r="AP156" s="1041"/>
      <c r="AQ156" s="1345">
        <f>AQ157+AQ158</f>
        <v>96.551396000000011</v>
      </c>
      <c r="AR156" s="1395"/>
      <c r="AS156" s="1040"/>
      <c r="AT156" s="1040"/>
      <c r="AU156" s="1040"/>
      <c r="AV156" s="1040"/>
      <c r="AW156" s="1040"/>
      <c r="AX156" s="1040"/>
      <c r="AY156" s="1040"/>
      <c r="AZ156" s="1040"/>
      <c r="BA156" s="1040"/>
      <c r="BB156" s="1040"/>
      <c r="BC156" s="1105"/>
      <c r="BD156" s="1345">
        <f>SUM(BD157:BD158)</f>
        <v>21.993361000000007</v>
      </c>
      <c r="BE156" s="1488">
        <f t="shared" ref="BE156:BP156" si="440">SUM(BE157:BE158)</f>
        <v>12.01191</v>
      </c>
      <c r="BF156" s="1489">
        <f t="shared" si="440"/>
        <v>2.911451</v>
      </c>
      <c r="BG156" s="1489">
        <f t="shared" si="440"/>
        <v>0.48</v>
      </c>
      <c r="BH156" s="1489">
        <f t="shared" si="440"/>
        <v>0.48</v>
      </c>
      <c r="BI156" s="1489">
        <f t="shared" si="440"/>
        <v>0.51</v>
      </c>
      <c r="BJ156" s="1489">
        <f t="shared" si="440"/>
        <v>0.91</v>
      </c>
      <c r="BK156" s="1489">
        <f t="shared" si="440"/>
        <v>0.8</v>
      </c>
      <c r="BL156" s="1489">
        <f t="shared" si="440"/>
        <v>0.8</v>
      </c>
      <c r="BM156" s="1489">
        <f t="shared" si="440"/>
        <v>0.8</v>
      </c>
      <c r="BN156" s="1489">
        <f t="shared" si="440"/>
        <v>0.64</v>
      </c>
      <c r="BO156" s="1489">
        <f t="shared" si="440"/>
        <v>0.56999999999999995</v>
      </c>
      <c r="BP156" s="1490">
        <f t="shared" si="440"/>
        <v>1.08</v>
      </c>
      <c r="BQ156" s="1345">
        <f>SUM(BQ157:BQ158)</f>
        <v>67.479812999991182</v>
      </c>
      <c r="BR156" s="1785">
        <f t="shared" ref="BR156:CC156" si="441">SUM(BR157:BR158)</f>
        <v>0.32</v>
      </c>
      <c r="BS156" s="1786">
        <f t="shared" si="441"/>
        <v>0.32</v>
      </c>
      <c r="BT156" s="1786">
        <f t="shared" si="441"/>
        <v>5.4901090000000003</v>
      </c>
      <c r="BU156" s="1786">
        <f t="shared" si="441"/>
        <v>6.3734789999999997</v>
      </c>
      <c r="BV156" s="1786">
        <f t="shared" si="441"/>
        <v>1.124433</v>
      </c>
      <c r="BW156" s="1786">
        <f t="shared" si="441"/>
        <v>7.38598</v>
      </c>
      <c r="BX156" s="1786">
        <f t="shared" si="441"/>
        <v>7.5907699999999991</v>
      </c>
      <c r="BY156" s="1786">
        <f t="shared" si="441"/>
        <v>7.9008300000000009</v>
      </c>
      <c r="BZ156" s="1786">
        <f t="shared" si="441"/>
        <v>7.9914199999999997</v>
      </c>
      <c r="CA156" s="1786">
        <f t="shared" si="441"/>
        <v>7.7090399999999999</v>
      </c>
      <c r="CB156" s="1786">
        <f t="shared" si="441"/>
        <v>7.5823099999999997</v>
      </c>
      <c r="CC156" s="1787">
        <f t="shared" si="441"/>
        <v>7.6914419999911789</v>
      </c>
      <c r="CD156" s="1345">
        <f>SUM(CD157:CD158)</f>
        <v>166.21045799999999</v>
      </c>
      <c r="CE156" s="1785">
        <f t="shared" ref="CE156:CP156" si="442">SUM(CE157:CE158)</f>
        <v>8.3630899999999997</v>
      </c>
      <c r="CF156" s="1786">
        <f t="shared" si="442"/>
        <v>8.5061900000000001</v>
      </c>
      <c r="CG156" s="1786">
        <f t="shared" si="442"/>
        <v>8.8135799999999982</v>
      </c>
      <c r="CH156" s="1786">
        <f t="shared" si="442"/>
        <v>7.9432219999999996</v>
      </c>
      <c r="CI156" s="1786">
        <f t="shared" si="442"/>
        <v>12.83286</v>
      </c>
      <c r="CJ156" s="1786">
        <f t="shared" si="442"/>
        <v>14.801856000000001</v>
      </c>
      <c r="CK156" s="1786">
        <f t="shared" si="442"/>
        <v>17.23789</v>
      </c>
      <c r="CL156" s="1786">
        <f t="shared" si="442"/>
        <v>17.515500000000003</v>
      </c>
      <c r="CM156" s="1786">
        <f t="shared" si="442"/>
        <v>18.743369999999999</v>
      </c>
      <c r="CN156" s="1786">
        <f t="shared" si="442"/>
        <v>17.45269</v>
      </c>
      <c r="CO156" s="1786">
        <f t="shared" si="442"/>
        <v>16.92849</v>
      </c>
      <c r="CP156" s="2915">
        <f t="shared" si="442"/>
        <v>17.071719999999999</v>
      </c>
      <c r="CQ156" s="1345">
        <f>SUM(CQ157:CQ158)</f>
        <v>175.40918316429511</v>
      </c>
      <c r="CR156" s="801">
        <f t="shared" ref="CR156:DC156" si="443">SUM(CR157:CR158)</f>
        <v>16.221735511334145</v>
      </c>
      <c r="CS156" s="802">
        <f t="shared" si="443"/>
        <v>16.333886898207059</v>
      </c>
      <c r="CT156" s="802">
        <f t="shared" si="443"/>
        <v>16.574792046017446</v>
      </c>
      <c r="CU156" s="802">
        <f t="shared" si="443"/>
        <v>15.665104785325674</v>
      </c>
      <c r="CV156" s="802">
        <f t="shared" si="443"/>
        <v>15.74113734854032</v>
      </c>
      <c r="CW156" s="802">
        <f t="shared" si="443"/>
        <v>13.553218082124358</v>
      </c>
      <c r="CX156" s="802">
        <f t="shared" si="443"/>
        <v>13.553218082124358</v>
      </c>
      <c r="CY156" s="802">
        <f t="shared" si="443"/>
        <v>13.553218082124358</v>
      </c>
      <c r="CZ156" s="802">
        <f t="shared" si="443"/>
        <v>13.553218082124358</v>
      </c>
      <c r="DA156" s="802">
        <f t="shared" si="443"/>
        <v>13.553218082124358</v>
      </c>
      <c r="DB156" s="802">
        <f t="shared" si="443"/>
        <v>13.553218082124358</v>
      </c>
      <c r="DC156" s="2016">
        <f t="shared" si="443"/>
        <v>13.553218082124358</v>
      </c>
      <c r="DD156" s="2587"/>
      <c r="DE156" s="2587"/>
      <c r="DF156" s="2587"/>
      <c r="DG156" s="2975"/>
      <c r="DH156" s="1913">
        <f>CD156/BQ156-1</f>
        <v>1.4631137907869083</v>
      </c>
      <c r="DI156" s="1913">
        <f>CQ156/CD156-1</f>
        <v>5.5343841025304874E-2</v>
      </c>
      <c r="DJ156" s="1913"/>
      <c r="DK156" s="1884"/>
      <c r="DN156" s="2784"/>
    </row>
    <row r="157" spans="2:119">
      <c r="B157" s="40" t="s">
        <v>77</v>
      </c>
      <c r="C157" s="41"/>
      <c r="D157" s="1404"/>
      <c r="E157" s="1405"/>
      <c r="F157" s="1405"/>
      <c r="G157" s="1405"/>
      <c r="H157" s="1405"/>
      <c r="I157" s="1405"/>
      <c r="J157" s="1405"/>
      <c r="K157" s="1405"/>
      <c r="L157" s="1405"/>
      <c r="M157" s="1405"/>
      <c r="N157" s="1405"/>
      <c r="O157" s="1405"/>
      <c r="P157" s="1406"/>
      <c r="Q157" s="64"/>
      <c r="R157" s="1405"/>
      <c r="S157" s="1405"/>
      <c r="T157" s="1405"/>
      <c r="U157" s="1405"/>
      <c r="V157" s="1405"/>
      <c r="W157" s="1405"/>
      <c r="X157" s="1405"/>
      <c r="Y157" s="1405"/>
      <c r="Z157" s="1405"/>
      <c r="AA157" s="1405"/>
      <c r="AB157" s="1405"/>
      <c r="AC157" s="1407"/>
      <c r="AD157" s="1028">
        <f>AD156</f>
        <v>6.9380000000000006</v>
      </c>
      <c r="AE157" s="1477">
        <f t="shared" ref="AE157:BC157" si="444">AE156</f>
        <v>0</v>
      </c>
      <c r="AF157" s="1044">
        <f t="shared" si="444"/>
        <v>0</v>
      </c>
      <c r="AG157" s="1044">
        <f t="shared" si="444"/>
        <v>0</v>
      </c>
      <c r="AH157" s="1044">
        <f t="shared" si="444"/>
        <v>0</v>
      </c>
      <c r="AI157" s="1044">
        <f t="shared" si="444"/>
        <v>0</v>
      </c>
      <c r="AJ157" s="1044">
        <f t="shared" si="444"/>
        <v>0</v>
      </c>
      <c r="AK157" s="1044">
        <f t="shared" si="444"/>
        <v>0</v>
      </c>
      <c r="AL157" s="1044">
        <f t="shared" si="444"/>
        <v>0</v>
      </c>
      <c r="AM157" s="1044">
        <f t="shared" si="444"/>
        <v>0</v>
      </c>
      <c r="AN157" s="1044">
        <f t="shared" si="444"/>
        <v>0</v>
      </c>
      <c r="AO157" s="1044">
        <f t="shared" si="444"/>
        <v>0</v>
      </c>
      <c r="AP157" s="1478">
        <f t="shared" si="444"/>
        <v>0</v>
      </c>
      <c r="AQ157" s="64">
        <v>77.947376000000006</v>
      </c>
      <c r="AR157" s="1477">
        <f t="shared" si="444"/>
        <v>0</v>
      </c>
      <c r="AS157" s="1044">
        <f t="shared" si="444"/>
        <v>0</v>
      </c>
      <c r="AT157" s="1044">
        <f t="shared" si="444"/>
        <v>0</v>
      </c>
      <c r="AU157" s="1044">
        <f t="shared" si="444"/>
        <v>0</v>
      </c>
      <c r="AV157" s="1044">
        <f t="shared" si="444"/>
        <v>0</v>
      </c>
      <c r="AW157" s="1044">
        <f t="shared" si="444"/>
        <v>0</v>
      </c>
      <c r="AX157" s="1044">
        <f t="shared" si="444"/>
        <v>0</v>
      </c>
      <c r="AY157" s="1044">
        <f t="shared" si="444"/>
        <v>0</v>
      </c>
      <c r="AZ157" s="1044">
        <f t="shared" si="444"/>
        <v>0</v>
      </c>
      <c r="BA157" s="1044">
        <f t="shared" si="444"/>
        <v>0</v>
      </c>
      <c r="BB157" s="1044">
        <f t="shared" si="444"/>
        <v>0</v>
      </c>
      <c r="BC157" s="1107">
        <f t="shared" si="444"/>
        <v>0</v>
      </c>
      <c r="BD157" s="64">
        <f>SUM(BE157:BP157)</f>
        <v>21.993361000000007</v>
      </c>
      <c r="BE157" s="314">
        <f>유통플랫폼!E19</f>
        <v>12.01191</v>
      </c>
      <c r="BF157" s="341">
        <f>유통플랫폼!F19</f>
        <v>2.911451</v>
      </c>
      <c r="BG157" s="341">
        <f>유통플랫폼!G19</f>
        <v>0.48</v>
      </c>
      <c r="BH157" s="341">
        <f>유통플랫폼!H19</f>
        <v>0.48</v>
      </c>
      <c r="BI157" s="341">
        <f>유통플랫폼!I19</f>
        <v>0.51</v>
      </c>
      <c r="BJ157" s="341">
        <f>유통플랫폼!J19</f>
        <v>0.91</v>
      </c>
      <c r="BK157" s="341">
        <f>유통플랫폼!K19</f>
        <v>0.8</v>
      </c>
      <c r="BL157" s="341">
        <f>유통플랫폼!L19</f>
        <v>0.8</v>
      </c>
      <c r="BM157" s="341">
        <f>유통플랫폼!M19</f>
        <v>0.8</v>
      </c>
      <c r="BN157" s="341">
        <f>유통플랫폼!N19</f>
        <v>0.64</v>
      </c>
      <c r="BO157" s="341">
        <f>유통플랫폼!O19</f>
        <v>0.56999999999999995</v>
      </c>
      <c r="BP157" s="1491">
        <f>유통플랫폼!P19</f>
        <v>1.08</v>
      </c>
      <c r="BQ157" s="64">
        <f>SUM(BR157:CC157)</f>
        <v>67.479812999991182</v>
      </c>
      <c r="BR157" s="1794">
        <f>유통플랫폼!R19</f>
        <v>0.32</v>
      </c>
      <c r="BS157" s="1789">
        <f>유통플랫폼!S19</f>
        <v>0.32</v>
      </c>
      <c r="BT157" s="1789">
        <f>유통플랫폼!T19</f>
        <v>5.4901090000000003</v>
      </c>
      <c r="BU157" s="1789">
        <f>유통플랫폼!U19</f>
        <v>6.3734789999999997</v>
      </c>
      <c r="BV157" s="1789">
        <f>유통플랫폼!V19</f>
        <v>1.124433</v>
      </c>
      <c r="BW157" s="1789">
        <f>유통플랫폼!W19</f>
        <v>7.38598</v>
      </c>
      <c r="BX157" s="1789">
        <f>유통플랫폼!X19</f>
        <v>7.5907699999999991</v>
      </c>
      <c r="BY157" s="1789">
        <f>유통플랫폼!Y19</f>
        <v>7.9008300000000009</v>
      </c>
      <c r="BZ157" s="1789">
        <f>유통플랫폼!Z19</f>
        <v>7.9914199999999997</v>
      </c>
      <c r="CA157" s="1789">
        <f>유통플랫폼!AA19</f>
        <v>7.7090399999999999</v>
      </c>
      <c r="CB157" s="1789">
        <f>유통플랫폼!AB19</f>
        <v>7.5823099999999997</v>
      </c>
      <c r="CC157" s="1790">
        <f>유통플랫폼!AC19</f>
        <v>7.6914419999911789</v>
      </c>
      <c r="CD157" s="1710">
        <f>SUM(CE157:CP157)</f>
        <v>166.21045799999999</v>
      </c>
      <c r="CE157" s="2008">
        <f>유통플랫폼!AE19</f>
        <v>8.3630899999999997</v>
      </c>
      <c r="CF157" s="1789">
        <f>유통플랫폼!AF19</f>
        <v>8.5061900000000001</v>
      </c>
      <c r="CG157" s="1789">
        <f>유통플랫폼!AG19</f>
        <v>8.8135799999999982</v>
      </c>
      <c r="CH157" s="1789">
        <f>유통플랫폼!AH19</f>
        <v>7.9432219999999996</v>
      </c>
      <c r="CI157" s="1789">
        <f>유통플랫폼!AI19</f>
        <v>12.83286</v>
      </c>
      <c r="CJ157" s="1789">
        <f>유통플랫폼!AJ19</f>
        <v>14.801856000000001</v>
      </c>
      <c r="CK157" s="1789">
        <f>유통플랫폼!AK19</f>
        <v>17.23789</v>
      </c>
      <c r="CL157" s="1789">
        <f>유통플랫폼!AL19</f>
        <v>17.515500000000003</v>
      </c>
      <c r="CM157" s="1789">
        <f>유통플랫폼!AM19</f>
        <v>18.743369999999999</v>
      </c>
      <c r="CN157" s="1789">
        <f>유통플랫폼!AN19</f>
        <v>17.45269</v>
      </c>
      <c r="CO157" s="1789">
        <f>유통플랫폼!AO19</f>
        <v>16.92849</v>
      </c>
      <c r="CP157" s="2913">
        <f>유통플랫폼!AP19</f>
        <v>17.071719999999999</v>
      </c>
      <c r="CQ157" s="1710">
        <f>SUM(CR157:DC157)</f>
        <v>175.40918316429511</v>
      </c>
      <c r="CR157" s="2017">
        <f>유통플랫폼!AR19</f>
        <v>16.221735511334145</v>
      </c>
      <c r="CS157" s="4">
        <f>유통플랫폼!AS19</f>
        <v>16.333886898207059</v>
      </c>
      <c r="CT157" s="4">
        <f>유통플랫폼!AT19</f>
        <v>16.574792046017446</v>
      </c>
      <c r="CU157" s="4">
        <f>유통플랫폼!AU19</f>
        <v>15.665104785325674</v>
      </c>
      <c r="CV157" s="4">
        <f>유통플랫폼!AV19</f>
        <v>15.74113734854032</v>
      </c>
      <c r="CW157" s="4">
        <f>유통플랫폼!AW19</f>
        <v>13.553218082124358</v>
      </c>
      <c r="CX157" s="4">
        <f>유통플랫폼!AX19</f>
        <v>13.553218082124358</v>
      </c>
      <c r="CY157" s="4">
        <f>유통플랫폼!AY19</f>
        <v>13.553218082124358</v>
      </c>
      <c r="CZ157" s="4">
        <f>유통플랫폼!AZ19</f>
        <v>13.553218082124358</v>
      </c>
      <c r="DA157" s="4">
        <f>유통플랫폼!BA19</f>
        <v>13.553218082124358</v>
      </c>
      <c r="DB157" s="4">
        <f>유통플랫폼!BB19</f>
        <v>13.553218082124358</v>
      </c>
      <c r="DC157" s="5">
        <f>유통플랫폼!BC19</f>
        <v>13.553218082124358</v>
      </c>
      <c r="DD157" s="25"/>
      <c r="DE157" s="25"/>
      <c r="DF157" s="25"/>
      <c r="DG157" s="2975"/>
      <c r="DH157" s="1913"/>
      <c r="DI157" s="1913"/>
      <c r="DJ157" s="1913"/>
      <c r="DK157" s="1884"/>
    </row>
    <row r="158" spans="2:119">
      <c r="B158" s="40" t="s">
        <v>78</v>
      </c>
      <c r="C158" s="41"/>
      <c r="D158" s="1404"/>
      <c r="E158" s="1412"/>
      <c r="F158" s="1412"/>
      <c r="G158" s="1412"/>
      <c r="H158" s="1412"/>
      <c r="I158" s="1412"/>
      <c r="J158" s="1412"/>
      <c r="K158" s="1412"/>
      <c r="L158" s="1412"/>
      <c r="M158" s="1412"/>
      <c r="N158" s="1412"/>
      <c r="O158" s="1412"/>
      <c r="P158" s="1413"/>
      <c r="Q158" s="64"/>
      <c r="R158" s="1412"/>
      <c r="S158" s="1412"/>
      <c r="T158" s="1412"/>
      <c r="U158" s="1412"/>
      <c r="V158" s="1412"/>
      <c r="W158" s="1412"/>
      <c r="X158" s="1412"/>
      <c r="Y158" s="1412"/>
      <c r="Z158" s="1412"/>
      <c r="AA158" s="1412"/>
      <c r="AB158" s="1412"/>
      <c r="AC158" s="1414"/>
      <c r="AD158" s="1028"/>
      <c r="AE158" s="1415"/>
      <c r="AF158" s="1044"/>
      <c r="AG158" s="1044"/>
      <c r="AH158" s="1044"/>
      <c r="AI158" s="1044"/>
      <c r="AJ158" s="1044"/>
      <c r="AK158" s="1044"/>
      <c r="AL158" s="1044"/>
      <c r="AM158" s="1044"/>
      <c r="AN158" s="1044"/>
      <c r="AO158" s="1044"/>
      <c r="AP158" s="1045"/>
      <c r="AQ158" s="64">
        <v>18.604019999999998</v>
      </c>
      <c r="AR158" s="1415"/>
      <c r="AS158" s="1044"/>
      <c r="AT158" s="1044"/>
      <c r="AU158" s="1044"/>
      <c r="AV158" s="1044"/>
      <c r="AW158" s="1044"/>
      <c r="AX158" s="1044"/>
      <c r="AY158" s="1044"/>
      <c r="AZ158" s="1044"/>
      <c r="BA158" s="1044"/>
      <c r="BB158" s="1044"/>
      <c r="BC158" s="1107"/>
      <c r="BD158" s="64"/>
      <c r="BE158" s="1493"/>
      <c r="BF158" s="1494"/>
      <c r="BG158" s="1494"/>
      <c r="BH158" s="1494"/>
      <c r="BI158" s="1494"/>
      <c r="BJ158" s="1494"/>
      <c r="BK158" s="1494"/>
      <c r="BL158" s="1494"/>
      <c r="BM158" s="1494"/>
      <c r="BN158" s="1494"/>
      <c r="BO158" s="1494"/>
      <c r="BP158" s="1495"/>
      <c r="BQ158" s="64"/>
      <c r="BR158" s="1791"/>
      <c r="BS158" s="1792"/>
      <c r="BT158" s="1792"/>
      <c r="BU158" s="1792"/>
      <c r="BV158" s="1792"/>
      <c r="BW158" s="1792"/>
      <c r="BX158" s="1792"/>
      <c r="BY158" s="1792"/>
      <c r="BZ158" s="1792"/>
      <c r="CA158" s="1792"/>
      <c r="CB158" s="1792"/>
      <c r="CC158" s="1793"/>
      <c r="CD158" s="1710"/>
      <c r="CE158" s="2009"/>
      <c r="CF158" s="1792"/>
      <c r="CG158" s="1792"/>
      <c r="CH158" s="1792"/>
      <c r="CI158" s="1792"/>
      <c r="CJ158" s="1792"/>
      <c r="CK158" s="1792"/>
      <c r="CL158" s="1792"/>
      <c r="CM158" s="1792"/>
      <c r="CN158" s="1792"/>
      <c r="CO158" s="1792"/>
      <c r="CP158" s="2914"/>
      <c r="CQ158" s="1710"/>
      <c r="CR158" s="2019"/>
      <c r="CS158" s="803"/>
      <c r="CT158" s="803"/>
      <c r="CU158" s="803"/>
      <c r="CV158" s="803"/>
      <c r="CW158" s="803"/>
      <c r="CX158" s="803"/>
      <c r="CY158" s="803"/>
      <c r="CZ158" s="803"/>
      <c r="DA158" s="803"/>
      <c r="DB158" s="803"/>
      <c r="DC158" s="2020"/>
      <c r="DD158" s="25"/>
      <c r="DE158" s="25"/>
      <c r="DF158" s="25"/>
      <c r="DG158" s="2975"/>
      <c r="DH158" s="1913"/>
      <c r="DI158" s="1913"/>
      <c r="DJ158" s="1913"/>
      <c r="DK158" s="1884"/>
    </row>
    <row r="159" spans="2:119">
      <c r="B159" s="46" t="s">
        <v>384</v>
      </c>
      <c r="C159" s="34"/>
      <c r="D159" s="35"/>
      <c r="E159" s="1335"/>
      <c r="F159" s="1335"/>
      <c r="G159" s="1335"/>
      <c r="H159" s="1335"/>
      <c r="I159" s="1335"/>
      <c r="J159" s="1335"/>
      <c r="K159" s="1335"/>
      <c r="L159" s="1335"/>
      <c r="M159" s="1335"/>
      <c r="N159" s="1335"/>
      <c r="O159" s="1335"/>
      <c r="P159" s="1073"/>
      <c r="Q159" s="1345"/>
      <c r="R159" s="1335"/>
      <c r="S159" s="1335"/>
      <c r="T159" s="1335"/>
      <c r="U159" s="1335"/>
      <c r="V159" s="1335"/>
      <c r="W159" s="1335"/>
      <c r="X159" s="1335"/>
      <c r="Y159" s="1335"/>
      <c r="Z159" s="1335"/>
      <c r="AA159" s="1335"/>
      <c r="AB159" s="1335"/>
      <c r="AC159" s="1074"/>
      <c r="AD159" s="1026">
        <v>21.24672</v>
      </c>
      <c r="AE159" s="1395"/>
      <c r="AF159" s="1040"/>
      <c r="AG159" s="1040"/>
      <c r="AH159" s="1040"/>
      <c r="AI159" s="1040"/>
      <c r="AJ159" s="1040"/>
      <c r="AK159" s="1040"/>
      <c r="AL159" s="1040"/>
      <c r="AM159" s="1040"/>
      <c r="AN159" s="1040"/>
      <c r="AO159" s="1040"/>
      <c r="AP159" s="1041"/>
      <c r="AQ159" s="1345"/>
      <c r="AR159" s="1395"/>
      <c r="AS159" s="1040"/>
      <c r="AT159" s="1040"/>
      <c r="AU159" s="1040"/>
      <c r="AV159" s="1040"/>
      <c r="AW159" s="1040"/>
      <c r="AX159" s="1040"/>
      <c r="AY159" s="1040"/>
      <c r="AZ159" s="1040"/>
      <c r="BA159" s="1040"/>
      <c r="BB159" s="1040"/>
      <c r="BC159" s="1105"/>
      <c r="BD159" s="1345">
        <f>SUM(BD160:BD161)</f>
        <v>207.03267700000001</v>
      </c>
      <c r="BE159" s="1488">
        <f t="shared" ref="BE159:BP159" si="445">SUM(BE160:BE161)</f>
        <v>0</v>
      </c>
      <c r="BF159" s="1489">
        <f t="shared" si="445"/>
        <v>12.96171</v>
      </c>
      <c r="BG159" s="1489">
        <f t="shared" si="445"/>
        <v>10.644247</v>
      </c>
      <c r="BH159" s="1489">
        <f t="shared" si="445"/>
        <v>9.5854400000000002</v>
      </c>
      <c r="BI159" s="1489">
        <f t="shared" si="445"/>
        <v>10.491099999999999</v>
      </c>
      <c r="BJ159" s="1489">
        <f t="shared" si="445"/>
        <v>20.64</v>
      </c>
      <c r="BK159" s="1489">
        <f t="shared" si="445"/>
        <v>28.376846</v>
      </c>
      <c r="BL159" s="1489">
        <f t="shared" si="445"/>
        <v>22.866665999999999</v>
      </c>
      <c r="BM159" s="1489">
        <f t="shared" si="445"/>
        <v>22.866665999999999</v>
      </c>
      <c r="BN159" s="1489">
        <f t="shared" si="445"/>
        <v>22.866665999999999</v>
      </c>
      <c r="BO159" s="1489">
        <f t="shared" si="445"/>
        <v>22.866665999999999</v>
      </c>
      <c r="BP159" s="1490">
        <f t="shared" si="445"/>
        <v>22.866669999999999</v>
      </c>
      <c r="BQ159" s="1345">
        <f>SUM(BQ160:BQ161)</f>
        <v>347.64317299999993</v>
      </c>
      <c r="BR159" s="1785">
        <f t="shared" ref="BR159:CC159" si="446">SUM(BR160:BR161)</f>
        <v>30.699998999999998</v>
      </c>
      <c r="BS159" s="1786">
        <f t="shared" si="446"/>
        <v>30.699998999999998</v>
      </c>
      <c r="BT159" s="1786">
        <f t="shared" si="446"/>
        <v>33.069229999999997</v>
      </c>
      <c r="BU159" s="1786">
        <f t="shared" si="446"/>
        <v>32.673940000000002</v>
      </c>
      <c r="BV159" s="1786">
        <f t="shared" si="446"/>
        <v>31.499998999999999</v>
      </c>
      <c r="BW159" s="1786">
        <f t="shared" si="446"/>
        <v>31.499998999999999</v>
      </c>
      <c r="BX159" s="1786">
        <f t="shared" si="446"/>
        <v>31.499998999999999</v>
      </c>
      <c r="BY159" s="1786">
        <f t="shared" si="446"/>
        <v>31.499998999999999</v>
      </c>
      <c r="BZ159" s="1786">
        <f t="shared" si="446"/>
        <v>31.499998999999999</v>
      </c>
      <c r="CA159" s="1786">
        <f t="shared" si="446"/>
        <v>0</v>
      </c>
      <c r="CB159" s="1786">
        <f t="shared" si="446"/>
        <v>31.499998999999999</v>
      </c>
      <c r="CC159" s="1787">
        <f t="shared" si="446"/>
        <v>31.500011000000001</v>
      </c>
      <c r="CD159" s="1345">
        <f>SUM(CD160:CD161)</f>
        <v>408.72498899999999</v>
      </c>
      <c r="CE159" s="1785">
        <f t="shared" ref="CE159:CP159" si="447">SUM(CE160:CE161)</f>
        <v>31.499998999999999</v>
      </c>
      <c r="CF159" s="1786">
        <f t="shared" si="447"/>
        <v>31.499998999999999</v>
      </c>
      <c r="CG159" s="1786">
        <f t="shared" si="447"/>
        <v>31.499998999999999</v>
      </c>
      <c r="CH159" s="1786">
        <f t="shared" si="447"/>
        <v>31.499998999999999</v>
      </c>
      <c r="CI159" s="1786">
        <f t="shared" si="447"/>
        <v>31.499998999999999</v>
      </c>
      <c r="CJ159" s="1786">
        <f t="shared" si="447"/>
        <v>31.499998999999999</v>
      </c>
      <c r="CK159" s="1786">
        <f t="shared" si="447"/>
        <v>90.424999</v>
      </c>
      <c r="CL159" s="1786">
        <f t="shared" si="447"/>
        <v>31.499998999999999</v>
      </c>
      <c r="CM159" s="1786">
        <f t="shared" si="447"/>
        <v>31.499998999999999</v>
      </c>
      <c r="CN159" s="1786">
        <f t="shared" si="447"/>
        <v>31.499998999999999</v>
      </c>
      <c r="CO159" s="1786">
        <f t="shared" si="447"/>
        <v>31.499998999999999</v>
      </c>
      <c r="CP159" s="2915">
        <f t="shared" si="447"/>
        <v>3.3</v>
      </c>
      <c r="CQ159" s="1345">
        <f>SUM(CQ160:CQ161)</f>
        <v>36.732407357154592</v>
      </c>
      <c r="CR159" s="801">
        <f t="shared" ref="CR159:DC159" si="448">SUM(CR160:CR161)</f>
        <v>3.0610339464295495</v>
      </c>
      <c r="CS159" s="802">
        <f t="shared" si="448"/>
        <v>3.0610339464295495</v>
      </c>
      <c r="CT159" s="802">
        <f t="shared" si="448"/>
        <v>3.0610339464295495</v>
      </c>
      <c r="CU159" s="802">
        <f t="shared" si="448"/>
        <v>3.0610339464295495</v>
      </c>
      <c r="CV159" s="802">
        <f t="shared" si="448"/>
        <v>3.0610339464295495</v>
      </c>
      <c r="CW159" s="802">
        <f t="shared" si="448"/>
        <v>3.0610339464295495</v>
      </c>
      <c r="CX159" s="802">
        <f t="shared" si="448"/>
        <v>3.0610339464295495</v>
      </c>
      <c r="CY159" s="802">
        <f t="shared" si="448"/>
        <v>3.0610339464295495</v>
      </c>
      <c r="CZ159" s="802">
        <f t="shared" si="448"/>
        <v>3.0610339464295495</v>
      </c>
      <c r="DA159" s="802">
        <f t="shared" si="448"/>
        <v>3.0610339464295495</v>
      </c>
      <c r="DB159" s="802">
        <f t="shared" si="448"/>
        <v>3.0610339464295495</v>
      </c>
      <c r="DC159" s="2016">
        <f t="shared" si="448"/>
        <v>3.0610339464295495</v>
      </c>
      <c r="DD159" s="2587"/>
      <c r="DE159" s="2587"/>
      <c r="DF159" s="2587"/>
      <c r="DG159" s="2975"/>
      <c r="DH159" s="1913">
        <f>CD159/BQ159-1</f>
        <v>0.17570261907602625</v>
      </c>
      <c r="DI159" s="1913">
        <f>CQ159/CD159-1</f>
        <v>-0.91012928412567751</v>
      </c>
      <c r="DJ159" s="1913"/>
      <c r="DK159" s="1884"/>
    </row>
    <row r="160" spans="2:119">
      <c r="B160" s="40" t="s">
        <v>79</v>
      </c>
      <c r="C160" s="41"/>
      <c r="D160" s="1404"/>
      <c r="E160" s="1412"/>
      <c r="F160" s="1412"/>
      <c r="G160" s="1412"/>
      <c r="H160" s="1412"/>
      <c r="I160" s="1412"/>
      <c r="J160" s="1412"/>
      <c r="K160" s="1412"/>
      <c r="L160" s="1412"/>
      <c r="M160" s="1412"/>
      <c r="N160" s="1412"/>
      <c r="O160" s="1412"/>
      <c r="P160" s="1413"/>
      <c r="Q160" s="64"/>
      <c r="R160" s="1412"/>
      <c r="S160" s="1412"/>
      <c r="T160" s="1412"/>
      <c r="U160" s="1412"/>
      <c r="V160" s="1412"/>
      <c r="W160" s="1412"/>
      <c r="X160" s="1412"/>
      <c r="Y160" s="1412"/>
      <c r="Z160" s="1412"/>
      <c r="AA160" s="1412"/>
      <c r="AB160" s="1412"/>
      <c r="AC160" s="1414"/>
      <c r="AD160" s="1028"/>
      <c r="AE160" s="1415"/>
      <c r="AF160" s="1044"/>
      <c r="AG160" s="1044"/>
      <c r="AH160" s="1044"/>
      <c r="AI160" s="1044"/>
      <c r="AJ160" s="1044"/>
      <c r="AK160" s="1044"/>
      <c r="AL160" s="1044"/>
      <c r="AM160" s="1044"/>
      <c r="AN160" s="1044"/>
      <c r="AO160" s="1044"/>
      <c r="AP160" s="1045"/>
      <c r="AQ160" s="64"/>
      <c r="AR160" s="1415"/>
      <c r="AS160" s="1044"/>
      <c r="AT160" s="1044"/>
      <c r="AU160" s="1044"/>
      <c r="AV160" s="1044"/>
      <c r="AW160" s="1044"/>
      <c r="AX160" s="1044"/>
      <c r="AY160" s="1044"/>
      <c r="AZ160" s="1044"/>
      <c r="BA160" s="1044"/>
      <c r="BB160" s="1044"/>
      <c r="BC160" s="1107"/>
      <c r="BD160" s="64">
        <f>SUM(BE160:BP160)</f>
        <v>207.03267700000001</v>
      </c>
      <c r="BE160" s="314">
        <f>유통플랫폼!E25</f>
        <v>0</v>
      </c>
      <c r="BF160" s="341">
        <f>유통플랫폼!F25</f>
        <v>12.96171</v>
      </c>
      <c r="BG160" s="341">
        <f>유통플랫폼!G25</f>
        <v>10.644247</v>
      </c>
      <c r="BH160" s="341">
        <f>유통플랫폼!H25</f>
        <v>9.5854400000000002</v>
      </c>
      <c r="BI160" s="341">
        <f>유통플랫폼!I25</f>
        <v>10.491099999999999</v>
      </c>
      <c r="BJ160" s="341">
        <f>유통플랫폼!J25</f>
        <v>20.64</v>
      </c>
      <c r="BK160" s="341">
        <f>유통플랫폼!K25</f>
        <v>28.376846</v>
      </c>
      <c r="BL160" s="341">
        <f>유통플랫폼!L25</f>
        <v>22.866665999999999</v>
      </c>
      <c r="BM160" s="341">
        <f>유통플랫폼!M25</f>
        <v>22.866665999999999</v>
      </c>
      <c r="BN160" s="341">
        <f>유통플랫폼!N25</f>
        <v>22.866665999999999</v>
      </c>
      <c r="BO160" s="341">
        <f>유통플랫폼!O25</f>
        <v>22.866665999999999</v>
      </c>
      <c r="BP160" s="1492">
        <f>유통플랫폼!P25</f>
        <v>22.866669999999999</v>
      </c>
      <c r="BQ160" s="64">
        <f>SUM(BR160:CC160)</f>
        <v>347.64317299999993</v>
      </c>
      <c r="BR160" s="1794">
        <f>유통플랫폼!R25</f>
        <v>30.699998999999998</v>
      </c>
      <c r="BS160" s="1789">
        <f>유통플랫폼!S25</f>
        <v>30.699998999999998</v>
      </c>
      <c r="BT160" s="1789">
        <f>유통플랫폼!T25</f>
        <v>33.069229999999997</v>
      </c>
      <c r="BU160" s="1789">
        <f>유통플랫폼!U25</f>
        <v>32.673940000000002</v>
      </c>
      <c r="BV160" s="1789">
        <f>유통플랫폼!V25</f>
        <v>31.499998999999999</v>
      </c>
      <c r="BW160" s="1789">
        <f>유통플랫폼!W25</f>
        <v>31.499998999999999</v>
      </c>
      <c r="BX160" s="1789">
        <f>유통플랫폼!X25</f>
        <v>31.499998999999999</v>
      </c>
      <c r="BY160" s="1789">
        <f>유통플랫폼!Y25</f>
        <v>31.499998999999999</v>
      </c>
      <c r="BZ160" s="1789">
        <f>유통플랫폼!Z25</f>
        <v>31.499998999999999</v>
      </c>
      <c r="CA160" s="1789">
        <f>유통플랫폼!AA25</f>
        <v>0</v>
      </c>
      <c r="CB160" s="1789">
        <f>유통플랫폼!AB25</f>
        <v>31.499998999999999</v>
      </c>
      <c r="CC160" s="1790">
        <f>유통플랫폼!AC25</f>
        <v>31.500011000000001</v>
      </c>
      <c r="CD160" s="1710">
        <f>SUM(CE160:CP160)</f>
        <v>408.72498899999999</v>
      </c>
      <c r="CE160" s="2008">
        <f>유통플랫폼!AE25</f>
        <v>31.499998999999999</v>
      </c>
      <c r="CF160" s="1789">
        <f>유통플랫폼!AF25</f>
        <v>31.499998999999999</v>
      </c>
      <c r="CG160" s="1789">
        <f>유통플랫폼!AG25</f>
        <v>31.499998999999999</v>
      </c>
      <c r="CH160" s="1789">
        <f>유통플랫폼!AH25</f>
        <v>31.499998999999999</v>
      </c>
      <c r="CI160" s="1789">
        <f>유통플랫폼!AI25</f>
        <v>31.499998999999999</v>
      </c>
      <c r="CJ160" s="1789">
        <f>유통플랫폼!AJ25</f>
        <v>31.499998999999999</v>
      </c>
      <c r="CK160" s="1789">
        <f>유통플랫폼!AK25</f>
        <v>90.424999</v>
      </c>
      <c r="CL160" s="1789">
        <f>유통플랫폼!AL25</f>
        <v>31.499998999999999</v>
      </c>
      <c r="CM160" s="1789">
        <f>유통플랫폼!AM25</f>
        <v>31.499998999999999</v>
      </c>
      <c r="CN160" s="1789">
        <f>유통플랫폼!AN25</f>
        <v>31.499998999999999</v>
      </c>
      <c r="CO160" s="1789">
        <f>유통플랫폼!AO25</f>
        <v>31.499998999999999</v>
      </c>
      <c r="CP160" s="2913">
        <f>유통플랫폼!AP25</f>
        <v>3.3</v>
      </c>
      <c r="CQ160" s="1710">
        <f>SUM(CR160:DC160)</f>
        <v>36.732407357154592</v>
      </c>
      <c r="CR160" s="2017">
        <f>유통플랫폼!AR25</f>
        <v>3.0610339464295495</v>
      </c>
      <c r="CS160" s="4">
        <f>유통플랫폼!AS25</f>
        <v>3.0610339464295495</v>
      </c>
      <c r="CT160" s="4">
        <f>유통플랫폼!AT25</f>
        <v>3.0610339464295495</v>
      </c>
      <c r="CU160" s="4">
        <f>유통플랫폼!AU25</f>
        <v>3.0610339464295495</v>
      </c>
      <c r="CV160" s="4">
        <f>유통플랫폼!AV25</f>
        <v>3.0610339464295495</v>
      </c>
      <c r="CW160" s="4">
        <f>유통플랫폼!AW25</f>
        <v>3.0610339464295495</v>
      </c>
      <c r="CX160" s="4">
        <f>유통플랫폼!AX25</f>
        <v>3.0610339464295495</v>
      </c>
      <c r="CY160" s="4">
        <f>유통플랫폼!AY25</f>
        <v>3.0610339464295495</v>
      </c>
      <c r="CZ160" s="4">
        <f>유통플랫폼!AZ25</f>
        <v>3.0610339464295495</v>
      </c>
      <c r="DA160" s="4">
        <f>유통플랫폼!BA25</f>
        <v>3.0610339464295495</v>
      </c>
      <c r="DB160" s="4">
        <f>유통플랫폼!BB25</f>
        <v>3.0610339464295495</v>
      </c>
      <c r="DC160" s="5">
        <f>유통플랫폼!BC25</f>
        <v>3.0610339464295495</v>
      </c>
      <c r="DD160" s="25"/>
      <c r="DE160" s="25"/>
      <c r="DF160" s="25"/>
      <c r="DG160" s="2975"/>
      <c r="DH160" s="1913"/>
      <c r="DI160" s="1913"/>
      <c r="DJ160" s="1913"/>
      <c r="DK160" s="1884"/>
    </row>
    <row r="161" spans="2:118">
      <c r="B161" s="43" t="s">
        <v>80</v>
      </c>
      <c r="C161" s="44"/>
      <c r="D161" s="45"/>
      <c r="E161" s="1346"/>
      <c r="F161" s="1346"/>
      <c r="G161" s="1346"/>
      <c r="H161" s="1346"/>
      <c r="I161" s="1346"/>
      <c r="J161" s="1346"/>
      <c r="K161" s="1346"/>
      <c r="L161" s="1346"/>
      <c r="M161" s="1346"/>
      <c r="N161" s="1346"/>
      <c r="O161" s="1346"/>
      <c r="P161" s="1409"/>
      <c r="Q161" s="1349"/>
      <c r="R161" s="1346"/>
      <c r="S161" s="1346"/>
      <c r="T161" s="1346"/>
      <c r="U161" s="1346"/>
      <c r="V161" s="1346"/>
      <c r="W161" s="1346"/>
      <c r="X161" s="1346"/>
      <c r="Y161" s="1346"/>
      <c r="Z161" s="1346"/>
      <c r="AA161" s="1346"/>
      <c r="AB161" s="1346"/>
      <c r="AC161" s="1350"/>
      <c r="AD161" s="1030">
        <f>AD159</f>
        <v>21.24672</v>
      </c>
      <c r="AE161" s="1475">
        <f t="shared" ref="AE161:BC161" si="449">AE159</f>
        <v>0</v>
      </c>
      <c r="AF161" s="1048">
        <f t="shared" si="449"/>
        <v>0</v>
      </c>
      <c r="AG161" s="1048">
        <f t="shared" si="449"/>
        <v>0</v>
      </c>
      <c r="AH161" s="1048">
        <f t="shared" si="449"/>
        <v>0</v>
      </c>
      <c r="AI161" s="1048">
        <f t="shared" si="449"/>
        <v>0</v>
      </c>
      <c r="AJ161" s="1048">
        <f t="shared" si="449"/>
        <v>0</v>
      </c>
      <c r="AK161" s="1048">
        <f t="shared" si="449"/>
        <v>0</v>
      </c>
      <c r="AL161" s="1048">
        <f t="shared" si="449"/>
        <v>0</v>
      </c>
      <c r="AM161" s="1048">
        <f t="shared" si="449"/>
        <v>0</v>
      </c>
      <c r="AN161" s="1048">
        <f t="shared" si="449"/>
        <v>0</v>
      </c>
      <c r="AO161" s="1048">
        <f t="shared" si="449"/>
        <v>0</v>
      </c>
      <c r="AP161" s="1476">
        <f t="shared" si="449"/>
        <v>0</v>
      </c>
      <c r="AQ161" s="1349"/>
      <c r="AR161" s="1475">
        <f t="shared" si="449"/>
        <v>0</v>
      </c>
      <c r="AS161" s="1048">
        <f t="shared" si="449"/>
        <v>0</v>
      </c>
      <c r="AT161" s="1048">
        <f t="shared" si="449"/>
        <v>0</v>
      </c>
      <c r="AU161" s="1048">
        <f t="shared" si="449"/>
        <v>0</v>
      </c>
      <c r="AV161" s="1048">
        <f t="shared" si="449"/>
        <v>0</v>
      </c>
      <c r="AW161" s="1048">
        <f t="shared" si="449"/>
        <v>0</v>
      </c>
      <c r="AX161" s="1048">
        <f t="shared" si="449"/>
        <v>0</v>
      </c>
      <c r="AY161" s="1048">
        <f t="shared" si="449"/>
        <v>0</v>
      </c>
      <c r="AZ161" s="1048">
        <f t="shared" si="449"/>
        <v>0</v>
      </c>
      <c r="BA161" s="1048">
        <f t="shared" si="449"/>
        <v>0</v>
      </c>
      <c r="BB161" s="1048">
        <f t="shared" si="449"/>
        <v>0</v>
      </c>
      <c r="BC161" s="1110">
        <f t="shared" si="449"/>
        <v>0</v>
      </c>
      <c r="BD161" s="64"/>
      <c r="BE161" s="1493"/>
      <c r="BF161" s="1494"/>
      <c r="BG161" s="1494"/>
      <c r="BH161" s="1494"/>
      <c r="BI161" s="1494"/>
      <c r="BJ161" s="1494"/>
      <c r="BK161" s="1494"/>
      <c r="BL161" s="1494"/>
      <c r="BM161" s="1494"/>
      <c r="BN161" s="1494"/>
      <c r="BO161" s="1494"/>
      <c r="BP161" s="1496"/>
      <c r="BQ161" s="64"/>
      <c r="BR161" s="1791"/>
      <c r="BS161" s="1792"/>
      <c r="BT161" s="1792"/>
      <c r="BU161" s="1792"/>
      <c r="BV161" s="1792"/>
      <c r="BW161" s="1792"/>
      <c r="BX161" s="1792"/>
      <c r="BY161" s="1792"/>
      <c r="BZ161" s="1792"/>
      <c r="CA161" s="1792"/>
      <c r="CB161" s="1792"/>
      <c r="CC161" s="1793"/>
      <c r="CD161" s="1710"/>
      <c r="CE161" s="2009"/>
      <c r="CF161" s="1792"/>
      <c r="CG161" s="1792"/>
      <c r="CH161" s="1792"/>
      <c r="CI161" s="1792"/>
      <c r="CJ161" s="1792"/>
      <c r="CK161" s="1792"/>
      <c r="CL161" s="1792"/>
      <c r="CM161" s="1792"/>
      <c r="CN161" s="1792"/>
      <c r="CO161" s="1792"/>
      <c r="CP161" s="2914"/>
      <c r="CQ161" s="1710"/>
      <c r="CR161" s="2019"/>
      <c r="CS161" s="803"/>
      <c r="CT161" s="803"/>
      <c r="CU161" s="803"/>
      <c r="CV161" s="803"/>
      <c r="CW161" s="803"/>
      <c r="CX161" s="803"/>
      <c r="CY161" s="803"/>
      <c r="CZ161" s="803"/>
      <c r="DA161" s="803"/>
      <c r="DB161" s="803"/>
      <c r="DC161" s="2020"/>
      <c r="DD161" s="25"/>
      <c r="DE161" s="25"/>
      <c r="DF161" s="25"/>
      <c r="DG161" s="2975"/>
      <c r="DH161" s="1913"/>
      <c r="DI161" s="1913"/>
      <c r="DJ161" s="1913"/>
      <c r="DK161" s="1884"/>
    </row>
    <row r="162" spans="2:118">
      <c r="B162" s="46" t="s">
        <v>81</v>
      </c>
      <c r="C162" s="34"/>
      <c r="D162" s="35"/>
      <c r="E162" s="1335"/>
      <c r="F162" s="1335"/>
      <c r="G162" s="1335"/>
      <c r="H162" s="1335"/>
      <c r="I162" s="1335"/>
      <c r="J162" s="1335"/>
      <c r="K162" s="1335"/>
      <c r="L162" s="1335"/>
      <c r="M162" s="1335"/>
      <c r="N162" s="1335"/>
      <c r="O162" s="1335"/>
      <c r="P162" s="1073"/>
      <c r="Q162" s="1345"/>
      <c r="R162" s="1335"/>
      <c r="S162" s="1335"/>
      <c r="T162" s="1335"/>
      <c r="U162" s="1335"/>
      <c r="V162" s="1335"/>
      <c r="W162" s="1335"/>
      <c r="X162" s="1335"/>
      <c r="Y162" s="1335"/>
      <c r="Z162" s="1335"/>
      <c r="AA162" s="1335"/>
      <c r="AB162" s="1335"/>
      <c r="AC162" s="1074"/>
      <c r="AD162" s="1026">
        <v>122.60250000000001</v>
      </c>
      <c r="AE162" s="1395"/>
      <c r="AF162" s="1040"/>
      <c r="AG162" s="1040"/>
      <c r="AH162" s="1040"/>
      <c r="AI162" s="1040"/>
      <c r="AJ162" s="1040"/>
      <c r="AK162" s="1040"/>
      <c r="AL162" s="1040"/>
      <c r="AM162" s="1040"/>
      <c r="AN162" s="1040"/>
      <c r="AO162" s="1040"/>
      <c r="AP162" s="1041"/>
      <c r="AQ162" s="1345">
        <f>SUM(AQ163:AQ175)</f>
        <v>771.34125700000016</v>
      </c>
      <c r="AR162" s="1395"/>
      <c r="AS162" s="1040"/>
      <c r="AT162" s="1040"/>
      <c r="AU162" s="1040"/>
      <c r="AV162" s="1040"/>
      <c r="AW162" s="1040"/>
      <c r="AX162" s="1040"/>
      <c r="AY162" s="1040"/>
      <c r="AZ162" s="1040"/>
      <c r="BA162" s="1040"/>
      <c r="BB162" s="1040"/>
      <c r="BC162" s="1105"/>
      <c r="BD162" s="1345">
        <f>SUM(BD163:BD175)</f>
        <v>1843.204956</v>
      </c>
      <c r="BE162" s="1488">
        <f t="shared" ref="BE162:BP162" si="450">SUM(BE163:BE175)</f>
        <v>108.977729</v>
      </c>
      <c r="BF162" s="1489">
        <f t="shared" si="450"/>
        <v>95.487732000000008</v>
      </c>
      <c r="BG162" s="1489">
        <f t="shared" si="450"/>
        <v>101.077906</v>
      </c>
      <c r="BH162" s="1489">
        <f t="shared" si="450"/>
        <v>85.146231999999998</v>
      </c>
      <c r="BI162" s="1489">
        <f t="shared" si="450"/>
        <v>87.580072000000001</v>
      </c>
      <c r="BJ162" s="1489">
        <f t="shared" si="450"/>
        <v>290.01390299999997</v>
      </c>
      <c r="BK162" s="1489">
        <f t="shared" si="450"/>
        <v>131.10662600000001</v>
      </c>
      <c r="BL162" s="1489">
        <f t="shared" si="450"/>
        <v>259.26221199999998</v>
      </c>
      <c r="BM162" s="1489">
        <f t="shared" si="450"/>
        <v>119.933903</v>
      </c>
      <c r="BN162" s="1489">
        <f t="shared" si="450"/>
        <v>176.945729</v>
      </c>
      <c r="BO162" s="1489">
        <f t="shared" si="450"/>
        <v>250.029303</v>
      </c>
      <c r="BP162" s="1490">
        <f t="shared" si="450"/>
        <v>137.643609</v>
      </c>
      <c r="BQ162" s="1345">
        <f>SUM(BQ163:BQ175)</f>
        <v>4909.7946979999997</v>
      </c>
      <c r="BR162" s="1785">
        <f t="shared" ref="BR162:CC162" si="451">SUM(BR163:BR175)</f>
        <v>200.770839</v>
      </c>
      <c r="BS162" s="1786">
        <f t="shared" si="451"/>
        <v>636.98791000000006</v>
      </c>
      <c r="BT162" s="1786">
        <f t="shared" si="451"/>
        <v>200.85344600000005</v>
      </c>
      <c r="BU162" s="1786">
        <f t="shared" si="451"/>
        <v>209.23788999999999</v>
      </c>
      <c r="BV162" s="1786">
        <f t="shared" si="451"/>
        <v>128.16102999999998</v>
      </c>
      <c r="BW162" s="1786">
        <f t="shared" si="451"/>
        <v>208.028098</v>
      </c>
      <c r="BX162" s="1786">
        <f t="shared" si="451"/>
        <v>1163.3910309999999</v>
      </c>
      <c r="BY162" s="1786">
        <f t="shared" si="451"/>
        <v>534.45525399999997</v>
      </c>
      <c r="BZ162" s="1786">
        <f t="shared" si="451"/>
        <v>313.14385800000002</v>
      </c>
      <c r="CA162" s="1786">
        <f t="shared" si="451"/>
        <v>394.59361500000006</v>
      </c>
      <c r="CB162" s="1786">
        <f t="shared" si="451"/>
        <v>288.02633099999997</v>
      </c>
      <c r="CC162" s="1787">
        <f t="shared" si="451"/>
        <v>632.14539600000001</v>
      </c>
      <c r="CD162" s="1345">
        <f>SUM(CD163:CD175)</f>
        <v>5035.757791</v>
      </c>
      <c r="CE162" s="1785">
        <f t="shared" ref="CE162:CP162" si="452">SUM(CE163:CE175)</f>
        <v>443.49157400000007</v>
      </c>
      <c r="CF162" s="1786">
        <f t="shared" si="452"/>
        <v>566.94705999999996</v>
      </c>
      <c r="CG162" s="1786">
        <f t="shared" si="452"/>
        <v>368.03486699999996</v>
      </c>
      <c r="CH162" s="1786">
        <f t="shared" si="452"/>
        <v>495.42044099999998</v>
      </c>
      <c r="CI162" s="1786">
        <f t="shared" si="452"/>
        <v>441.28597000000002</v>
      </c>
      <c r="CJ162" s="1786">
        <f t="shared" si="452"/>
        <v>419.19808799999998</v>
      </c>
      <c r="CK162" s="1786">
        <f t="shared" si="452"/>
        <v>525.15379599999994</v>
      </c>
      <c r="CL162" s="1786">
        <f t="shared" si="452"/>
        <v>394.79123600000003</v>
      </c>
      <c r="CM162" s="1786">
        <f t="shared" si="452"/>
        <v>344.62224299999997</v>
      </c>
      <c r="CN162" s="1786">
        <f t="shared" si="452"/>
        <v>390.35378200000008</v>
      </c>
      <c r="CO162" s="1786">
        <f t="shared" si="452"/>
        <v>228.07912400000001</v>
      </c>
      <c r="CP162" s="2915">
        <f t="shared" si="452"/>
        <v>418.37960999999996</v>
      </c>
      <c r="CQ162" s="1345">
        <f>SUM(CQ163:CQ175)</f>
        <v>4073.6753382364268</v>
      </c>
      <c r="CR162" s="801">
        <f t="shared" ref="CR162:DC162" si="453">SUM(CR163:CR175)</f>
        <v>332.06871013404299</v>
      </c>
      <c r="CS162" s="802">
        <f t="shared" si="453"/>
        <v>311.13360789735026</v>
      </c>
      <c r="CT162" s="802">
        <f t="shared" si="453"/>
        <v>355.44532959499986</v>
      </c>
      <c r="CU162" s="802">
        <f t="shared" si="453"/>
        <v>359.25766587785455</v>
      </c>
      <c r="CV162" s="802">
        <f t="shared" si="453"/>
        <v>332.95732569547903</v>
      </c>
      <c r="CW162" s="802">
        <f t="shared" si="453"/>
        <v>343.67242816952751</v>
      </c>
      <c r="CX162" s="802">
        <f t="shared" si="453"/>
        <v>344.67084514452864</v>
      </c>
      <c r="CY162" s="802">
        <f t="shared" si="453"/>
        <v>336.42084514452864</v>
      </c>
      <c r="CZ162" s="802">
        <f t="shared" si="453"/>
        <v>336.42084514452864</v>
      </c>
      <c r="DA162" s="802">
        <f t="shared" si="453"/>
        <v>344.67084514452864</v>
      </c>
      <c r="DB162" s="802">
        <f t="shared" si="453"/>
        <v>337.47844514452862</v>
      </c>
      <c r="DC162" s="2016">
        <f t="shared" si="453"/>
        <v>339.47844514452862</v>
      </c>
      <c r="DD162" s="2587"/>
      <c r="DE162" s="2587"/>
      <c r="DF162" s="2587"/>
      <c r="DG162" s="2975"/>
      <c r="DH162" s="1913">
        <f>CD162/BQ162-1</f>
        <v>2.5655470492750077E-2</v>
      </c>
      <c r="DI162" s="1913">
        <f>CQ162/CD162-1</f>
        <v>-0.19105018404241458</v>
      </c>
      <c r="DJ162" s="1913"/>
      <c r="DK162" s="1884"/>
    </row>
    <row r="163" spans="2:118" ht="20.25" customHeight="1">
      <c r="B163" s="40" t="s">
        <v>82</v>
      </c>
      <c r="C163" s="36"/>
      <c r="D163" s="1416"/>
      <c r="E163" s="1412"/>
      <c r="F163" s="1412"/>
      <c r="G163" s="1412"/>
      <c r="H163" s="1412"/>
      <c r="I163" s="1412"/>
      <c r="J163" s="1412"/>
      <c r="K163" s="1412"/>
      <c r="L163" s="1412"/>
      <c r="M163" s="1412"/>
      <c r="N163" s="1412"/>
      <c r="O163" s="1412"/>
      <c r="P163" s="1413"/>
      <c r="Q163" s="64"/>
      <c r="R163" s="1412"/>
      <c r="S163" s="1412"/>
      <c r="T163" s="1412"/>
      <c r="U163" s="1412"/>
      <c r="V163" s="1412"/>
      <c r="W163" s="1412"/>
      <c r="X163" s="1412"/>
      <c r="Y163" s="1412"/>
      <c r="Z163" s="1412"/>
      <c r="AA163" s="1412"/>
      <c r="AB163" s="1412"/>
      <c r="AC163" s="1414"/>
      <c r="AD163" s="1028">
        <v>122.322</v>
      </c>
      <c r="AE163" s="1415"/>
      <c r="AF163" s="1044"/>
      <c r="AG163" s="1044"/>
      <c r="AH163" s="1044"/>
      <c r="AI163" s="1044"/>
      <c r="AJ163" s="1044"/>
      <c r="AK163" s="1044"/>
      <c r="AL163" s="1044"/>
      <c r="AM163" s="1044"/>
      <c r="AN163" s="1044"/>
      <c r="AO163" s="1044"/>
      <c r="AP163" s="1045"/>
      <c r="AQ163" s="64">
        <v>750.659265</v>
      </c>
      <c r="AR163" s="1415"/>
      <c r="AS163" s="1044"/>
      <c r="AT163" s="1044"/>
      <c r="AU163" s="1044"/>
      <c r="AV163" s="1044"/>
      <c r="AW163" s="1044"/>
      <c r="AX163" s="1044"/>
      <c r="AY163" s="1044"/>
      <c r="AZ163" s="1044"/>
      <c r="BA163" s="1044"/>
      <c r="BB163" s="1044"/>
      <c r="BC163" s="1107"/>
      <c r="BD163" s="64">
        <f>SUM(BE163:BP163)</f>
        <v>1843.204956</v>
      </c>
      <c r="BE163" s="314">
        <f>유통플랫폼!E20+유통플랫폼!E21+유통플랫폼!E22</f>
        <v>108.977729</v>
      </c>
      <c r="BF163" s="341">
        <f>유통플랫폼!F20+유통플랫폼!F21+유통플랫폼!F22</f>
        <v>95.487732000000008</v>
      </c>
      <c r="BG163" s="341">
        <f>유통플랫폼!G20+유통플랫폼!G21+유통플랫폼!G22</f>
        <v>101.077906</v>
      </c>
      <c r="BH163" s="341">
        <f>유통플랫폼!H20+유통플랫폼!H21+유통플랫폼!H22</f>
        <v>85.146231999999998</v>
      </c>
      <c r="BI163" s="341">
        <f>유통플랫폼!I20+유통플랫폼!I21+유통플랫폼!I22</f>
        <v>87.580072000000001</v>
      </c>
      <c r="BJ163" s="341">
        <f>유통플랫폼!J20+유통플랫폼!J21+유통플랫폼!J22</f>
        <v>290.01390299999997</v>
      </c>
      <c r="BK163" s="341">
        <f>유통플랫폼!K20+유통플랫폼!K21+유통플랫폼!K22</f>
        <v>131.10662600000001</v>
      </c>
      <c r="BL163" s="341">
        <f>유통플랫폼!L20+유통플랫폼!L21+유통플랫폼!L22</f>
        <v>259.26221199999998</v>
      </c>
      <c r="BM163" s="341">
        <f>유통플랫폼!M20+유통플랫폼!M21+유통플랫폼!M22</f>
        <v>119.933903</v>
      </c>
      <c r="BN163" s="341">
        <f>유통플랫폼!N20+유통플랫폼!N21+유통플랫폼!N22</f>
        <v>176.945729</v>
      </c>
      <c r="BO163" s="341">
        <f>유통플랫폼!O20+유통플랫폼!O21+유통플랫폼!O22</f>
        <v>250.029303</v>
      </c>
      <c r="BP163" s="1492">
        <f>유통플랫폼!P20+유통플랫폼!P21+유통플랫폼!P22</f>
        <v>137.643609</v>
      </c>
      <c r="BQ163" s="64">
        <f>SUM(BR163:CC163)</f>
        <v>4159.7946979999997</v>
      </c>
      <c r="BR163" s="1794">
        <f>유통플랫폼!R20+유통플랫폼!R21+유통플랫폼!R22</f>
        <v>200.770839</v>
      </c>
      <c r="BS163" s="1789">
        <f>유통플랫폼!S20+유통플랫폼!S21+유통플랫폼!S22</f>
        <v>636.98791000000006</v>
      </c>
      <c r="BT163" s="1789">
        <f>유통플랫폼!T20+유통플랫폼!T21+유통플랫폼!T22</f>
        <v>200.85344600000005</v>
      </c>
      <c r="BU163" s="1789">
        <f>유통플랫폼!U20+유통플랫폼!U21+유통플랫폼!U22</f>
        <v>209.23788999999999</v>
      </c>
      <c r="BV163" s="1789">
        <f>유통플랫폼!V20+유통플랫폼!V21+유통플랫폼!V22</f>
        <v>128.16102999999998</v>
      </c>
      <c r="BW163" s="1789">
        <f>유통플랫폼!W20+유통플랫폼!W21+유통플랫폼!W22</f>
        <v>208.028098</v>
      </c>
      <c r="BX163" s="1789">
        <f>유통플랫폼!X20+유통플랫폼!X21+유통플랫폼!X22</f>
        <v>413.39103099999994</v>
      </c>
      <c r="BY163" s="1789">
        <f>유통플랫폼!Y20+유통플랫폼!Y21+유통플랫폼!Y22</f>
        <v>534.45525399999997</v>
      </c>
      <c r="BZ163" s="1789">
        <f>유통플랫폼!Z20+유통플랫폼!Z21+유통플랫폼!Z22</f>
        <v>313.14385800000002</v>
      </c>
      <c r="CA163" s="1789">
        <f>유통플랫폼!AA20+유통플랫폼!AA21+유통플랫폼!AA22</f>
        <v>394.59361500000006</v>
      </c>
      <c r="CB163" s="1789">
        <f>유통플랫폼!AB20+유통플랫폼!AB21+유통플랫폼!AB22</f>
        <v>288.02633099999997</v>
      </c>
      <c r="CC163" s="1790">
        <f>유통플랫폼!AC20+유통플랫폼!AC21+유통플랫폼!AC22</f>
        <v>632.14539600000001</v>
      </c>
      <c r="CD163" s="1710">
        <f>SUM(CE163:CP163)</f>
        <v>5032.5585510000001</v>
      </c>
      <c r="CE163" s="2008">
        <f>유통플랫폼!AE20+유통플랫폼!AE21+유통플랫폼!AE22</f>
        <v>443.49157400000007</v>
      </c>
      <c r="CF163" s="1789">
        <f>유통플랫폼!AF20+유통플랫폼!AF21+유통플랫폼!AF22</f>
        <v>566.94705999999996</v>
      </c>
      <c r="CG163" s="1789">
        <f>유통플랫폼!AG20+유통플랫폼!AG21+유통플랫폼!AG22</f>
        <v>367.61182699999995</v>
      </c>
      <c r="CH163" s="1789">
        <f>유통플랫폼!AH20+유통플랫폼!AH21+유통플랫폼!AH22</f>
        <v>495.42044099999998</v>
      </c>
      <c r="CI163" s="1789">
        <f>유통플랫폼!AI20+유통플랫폼!AI21+유통플랫폼!AI22</f>
        <v>440.88937000000004</v>
      </c>
      <c r="CJ163" s="1789">
        <f>유통플랫폼!AJ20+유통플랫폼!AJ21+유통플랫폼!AJ22</f>
        <v>418.140488</v>
      </c>
      <c r="CK163" s="1789">
        <f>유통플랫폼!AK20+유통플랫폼!AK21+유통플랫폼!AK22</f>
        <v>525.15379599999994</v>
      </c>
      <c r="CL163" s="1789">
        <f>유통플랫폼!AL20+유통플랫폼!AL21+유통플랫폼!AL22</f>
        <v>394.79123600000003</v>
      </c>
      <c r="CM163" s="1789">
        <f>유통플랫폼!AM20+유통플랫폼!AM21+유통플랫폼!AM22</f>
        <v>344.62224299999997</v>
      </c>
      <c r="CN163" s="1789">
        <f>유통플랫폼!AN20+유통플랫폼!AN21+유통플랫폼!AN22</f>
        <v>389.82498200000009</v>
      </c>
      <c r="CO163" s="1789">
        <f>유통플랫폼!AO20+유통플랫폼!AO21+유통플랫폼!AO22</f>
        <v>227.28592399999999</v>
      </c>
      <c r="CP163" s="2913">
        <f>유통플랫폼!AP20+유통플랫폼!AP21+유통플랫폼!AP22</f>
        <v>418.37960999999996</v>
      </c>
      <c r="CQ163" s="1710">
        <f>SUM(CR163:DC163)</f>
        <v>4069.6828982364268</v>
      </c>
      <c r="CR163" s="2017">
        <f>유통플랫폼!AR20+유통플랫폼!AR21+유통플랫폼!AR22</f>
        <v>332.06871013404299</v>
      </c>
      <c r="CS163" s="4">
        <f>유통플랫폼!AS20+유통플랫폼!AS21+유통플랫폼!AS22</f>
        <v>311.13360789735026</v>
      </c>
      <c r="CT163" s="4">
        <f>유통플랫폼!AT20+유통플랫폼!AT21+유통플랫폼!AT22</f>
        <v>355.02228959499985</v>
      </c>
      <c r="CU163" s="4">
        <f>유통플랫폼!AU20+유통플랫폼!AU21+유통플랫폼!AU22</f>
        <v>359.25766587785455</v>
      </c>
      <c r="CV163" s="4">
        <f>유통플랫폼!AV20+유통플랫폼!AV21+유통플랫폼!AV22</f>
        <v>332.56072569547905</v>
      </c>
      <c r="CW163" s="4">
        <f>유통플랫폼!AW20+유통플랫폼!AW21+유통플랫폼!AW22</f>
        <v>342.61482816952753</v>
      </c>
      <c r="CX163" s="4">
        <f>유통플랫폼!AX20+유통플랫폼!AX21+유통플랫폼!AX22</f>
        <v>344.67084514452864</v>
      </c>
      <c r="CY163" s="4">
        <f>유통플랫폼!AY20+유통플랫폼!AY21+유통플랫폼!AY22</f>
        <v>336.42084514452864</v>
      </c>
      <c r="CZ163" s="4">
        <f>유통플랫폼!AZ20+유통플랫폼!AZ21+유통플랫폼!AZ22</f>
        <v>336.42084514452864</v>
      </c>
      <c r="DA163" s="4">
        <f>유통플랫폼!BA20+유통플랫폼!BA21+유통플랫폼!BA22</f>
        <v>344.67084514452864</v>
      </c>
      <c r="DB163" s="4">
        <f>유통플랫폼!BB20+유통플랫폼!BB21+유통플랫폼!BB22</f>
        <v>336.42084514452864</v>
      </c>
      <c r="DC163" s="5">
        <f>유통플랫폼!BC20+유통플랫폼!BC21+유통플랫폼!BC22</f>
        <v>338.42084514452864</v>
      </c>
      <c r="DD163" s="25"/>
      <c r="DE163" s="25"/>
      <c r="DF163" s="25"/>
      <c r="DG163" s="2975"/>
      <c r="DH163" s="1913">
        <f>CD163/BQ163-1</f>
        <v>0.20980935751940333</v>
      </c>
      <c r="DI163" s="1913">
        <f>CQ163/CD163-1</f>
        <v>-0.19132924992442346</v>
      </c>
      <c r="DJ163" s="1913"/>
      <c r="DK163" s="1884"/>
      <c r="DN163" s="2784"/>
    </row>
    <row r="164" spans="2:118" ht="20.25" customHeight="1">
      <c r="B164" s="40" t="s">
        <v>83</v>
      </c>
      <c r="C164" s="41"/>
      <c r="D164" s="1404"/>
      <c r="E164" s="1412"/>
      <c r="F164" s="1412"/>
      <c r="G164" s="1412"/>
      <c r="H164" s="1412"/>
      <c r="I164" s="1412"/>
      <c r="J164" s="1412"/>
      <c r="K164" s="1412"/>
      <c r="L164" s="1412"/>
      <c r="M164" s="1412"/>
      <c r="N164" s="1412"/>
      <c r="O164" s="1412"/>
      <c r="P164" s="1413"/>
      <c r="Q164" s="64"/>
      <c r="R164" s="1412"/>
      <c r="S164" s="1412"/>
      <c r="T164" s="1412"/>
      <c r="U164" s="1412"/>
      <c r="V164" s="1412"/>
      <c r="W164" s="1412"/>
      <c r="X164" s="1412"/>
      <c r="Y164" s="1412"/>
      <c r="Z164" s="1412"/>
      <c r="AA164" s="1412"/>
      <c r="AB164" s="1412"/>
      <c r="AC164" s="1414"/>
      <c r="AD164" s="1028"/>
      <c r="AE164" s="1415"/>
      <c r="AF164" s="1044"/>
      <c r="AG164" s="1044"/>
      <c r="AH164" s="1044"/>
      <c r="AI164" s="1044"/>
      <c r="AJ164" s="1044"/>
      <c r="AK164" s="1044"/>
      <c r="AL164" s="1044"/>
      <c r="AM164" s="1044"/>
      <c r="AN164" s="1044"/>
      <c r="AO164" s="1044"/>
      <c r="AP164" s="1045"/>
      <c r="AQ164" s="64">
        <v>2.0011540000000001</v>
      </c>
      <c r="AR164" s="1415"/>
      <c r="AS164" s="1044"/>
      <c r="AT164" s="1044"/>
      <c r="AU164" s="1044"/>
      <c r="AV164" s="1044"/>
      <c r="AW164" s="1044"/>
      <c r="AX164" s="1044"/>
      <c r="AY164" s="1044"/>
      <c r="AZ164" s="1044"/>
      <c r="BA164" s="1044"/>
      <c r="BB164" s="1044"/>
      <c r="BC164" s="1107"/>
      <c r="BD164" s="64"/>
      <c r="BE164" s="314"/>
      <c r="BF164" s="341"/>
      <c r="BG164" s="341"/>
      <c r="BH164" s="341"/>
      <c r="BI164" s="341"/>
      <c r="BJ164" s="341"/>
      <c r="BK164" s="341"/>
      <c r="BL164" s="341"/>
      <c r="BM164" s="341"/>
      <c r="BN164" s="341"/>
      <c r="BO164" s="341"/>
      <c r="BP164" s="1492"/>
      <c r="BQ164" s="64"/>
      <c r="BR164" s="1794"/>
      <c r="BS164" s="1789"/>
      <c r="BT164" s="1789"/>
      <c r="BU164" s="1789"/>
      <c r="BV164" s="1789"/>
      <c r="BW164" s="1789"/>
      <c r="BX164" s="1789"/>
      <c r="BY164" s="1789"/>
      <c r="BZ164" s="1789"/>
      <c r="CA164" s="1789"/>
      <c r="CB164" s="1789"/>
      <c r="CC164" s="1790"/>
      <c r="CD164" s="1710"/>
      <c r="CE164" s="2008"/>
      <c r="CF164" s="1789"/>
      <c r="CG164" s="1789"/>
      <c r="CH164" s="1789"/>
      <c r="CI164" s="1789"/>
      <c r="CJ164" s="1789"/>
      <c r="CK164" s="1789"/>
      <c r="CL164" s="1789"/>
      <c r="CM164" s="1789"/>
      <c r="CN164" s="1789"/>
      <c r="CO164" s="1789"/>
      <c r="CP164" s="2913"/>
      <c r="CQ164" s="1710"/>
      <c r="CR164" s="2017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5"/>
      <c r="DD164" s="25"/>
      <c r="DE164" s="25"/>
      <c r="DF164" s="25"/>
      <c r="DG164" s="2975"/>
      <c r="DH164" s="1913"/>
      <c r="DI164" s="1913"/>
      <c r="DJ164" s="1913"/>
      <c r="DK164" s="1884"/>
    </row>
    <row r="165" spans="2:118" ht="20.25" customHeight="1">
      <c r="B165" s="40" t="s">
        <v>84</v>
      </c>
      <c r="C165" s="41"/>
      <c r="D165" s="1404"/>
      <c r="E165" s="1412"/>
      <c r="F165" s="1412"/>
      <c r="G165" s="1412"/>
      <c r="H165" s="1412"/>
      <c r="I165" s="1412"/>
      <c r="J165" s="1412"/>
      <c r="K165" s="1412"/>
      <c r="L165" s="1412"/>
      <c r="M165" s="1412"/>
      <c r="N165" s="1412"/>
      <c r="O165" s="1412"/>
      <c r="P165" s="1413"/>
      <c r="Q165" s="64"/>
      <c r="R165" s="1412"/>
      <c r="S165" s="1412"/>
      <c r="T165" s="1412"/>
      <c r="U165" s="1412"/>
      <c r="V165" s="1412"/>
      <c r="W165" s="1412"/>
      <c r="X165" s="1412"/>
      <c r="Y165" s="1412"/>
      <c r="Z165" s="1412"/>
      <c r="AA165" s="1412"/>
      <c r="AB165" s="1412"/>
      <c r="AC165" s="1414"/>
      <c r="AD165" s="1028">
        <v>0.28050000000000003</v>
      </c>
      <c r="AE165" s="1415"/>
      <c r="AF165" s="1044"/>
      <c r="AG165" s="1044"/>
      <c r="AH165" s="1044"/>
      <c r="AI165" s="1044"/>
      <c r="AJ165" s="1044"/>
      <c r="AK165" s="1044"/>
      <c r="AL165" s="1044"/>
      <c r="AM165" s="1044"/>
      <c r="AN165" s="1044"/>
      <c r="AO165" s="1044"/>
      <c r="AP165" s="1045"/>
      <c r="AQ165" s="64">
        <v>2.948296</v>
      </c>
      <c r="AR165" s="1415"/>
      <c r="AS165" s="1044"/>
      <c r="AT165" s="1044"/>
      <c r="AU165" s="1044"/>
      <c r="AV165" s="1044"/>
      <c r="AW165" s="1044"/>
      <c r="AX165" s="1044"/>
      <c r="AY165" s="1044"/>
      <c r="AZ165" s="1044"/>
      <c r="BA165" s="1044"/>
      <c r="BB165" s="1044"/>
      <c r="BC165" s="1107"/>
      <c r="BD165" s="64"/>
      <c r="BE165" s="314"/>
      <c r="BF165" s="341"/>
      <c r="BG165" s="341"/>
      <c r="BH165" s="341"/>
      <c r="BI165" s="341"/>
      <c r="BJ165" s="341"/>
      <c r="BK165" s="341"/>
      <c r="BL165" s="341"/>
      <c r="BM165" s="341"/>
      <c r="BN165" s="341"/>
      <c r="BO165" s="341"/>
      <c r="BP165" s="1492"/>
      <c r="BQ165" s="64"/>
      <c r="BR165" s="1794"/>
      <c r="BS165" s="1789"/>
      <c r="BT165" s="1789"/>
      <c r="BU165" s="1789"/>
      <c r="BV165" s="1789"/>
      <c r="BW165" s="1789"/>
      <c r="BX165" s="1789"/>
      <c r="BY165" s="1789"/>
      <c r="BZ165" s="1789"/>
      <c r="CA165" s="1789"/>
      <c r="CB165" s="1789"/>
      <c r="CC165" s="1790"/>
      <c r="CD165" s="1710"/>
      <c r="CE165" s="2008"/>
      <c r="CF165" s="1789"/>
      <c r="CG165" s="1789"/>
      <c r="CH165" s="1789"/>
      <c r="CI165" s="1789"/>
      <c r="CJ165" s="1789"/>
      <c r="CK165" s="1789"/>
      <c r="CL165" s="1789"/>
      <c r="CM165" s="1789"/>
      <c r="CN165" s="1789"/>
      <c r="CO165" s="1789"/>
      <c r="CP165" s="2913"/>
      <c r="CQ165" s="1710"/>
      <c r="CR165" s="2017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5"/>
      <c r="DD165" s="25"/>
      <c r="DE165" s="25"/>
      <c r="DF165" s="25"/>
      <c r="DG165" s="2975"/>
      <c r="DH165" s="1913"/>
      <c r="DI165" s="1913"/>
      <c r="DJ165" s="1913"/>
      <c r="DK165" s="1884"/>
    </row>
    <row r="166" spans="2:118" ht="20.25" customHeight="1">
      <c r="B166" s="40" t="s">
        <v>85</v>
      </c>
      <c r="C166" s="41"/>
      <c r="D166" s="1404"/>
      <c r="E166" s="1412"/>
      <c r="F166" s="1412"/>
      <c r="G166" s="1412"/>
      <c r="H166" s="1412"/>
      <c r="I166" s="1412"/>
      <c r="J166" s="1412"/>
      <c r="K166" s="1412"/>
      <c r="L166" s="1412"/>
      <c r="M166" s="1412"/>
      <c r="N166" s="1412"/>
      <c r="O166" s="1412"/>
      <c r="P166" s="1413"/>
      <c r="Q166" s="64"/>
      <c r="R166" s="1412"/>
      <c r="S166" s="1412"/>
      <c r="T166" s="1412"/>
      <c r="U166" s="1412"/>
      <c r="V166" s="1412"/>
      <c r="W166" s="1412"/>
      <c r="X166" s="1412"/>
      <c r="Y166" s="1412"/>
      <c r="Z166" s="1412"/>
      <c r="AA166" s="1412"/>
      <c r="AB166" s="1412"/>
      <c r="AC166" s="1414"/>
      <c r="AD166" s="1028"/>
      <c r="AE166" s="1415"/>
      <c r="AF166" s="1044"/>
      <c r="AG166" s="1044"/>
      <c r="AH166" s="1044"/>
      <c r="AI166" s="1044"/>
      <c r="AJ166" s="1044"/>
      <c r="AK166" s="1044"/>
      <c r="AL166" s="1044"/>
      <c r="AM166" s="1044"/>
      <c r="AN166" s="1044"/>
      <c r="AO166" s="1044"/>
      <c r="AP166" s="1045"/>
      <c r="AQ166" s="64"/>
      <c r="AR166" s="1415"/>
      <c r="AS166" s="1044"/>
      <c r="AT166" s="1044"/>
      <c r="AU166" s="1044"/>
      <c r="AV166" s="1044"/>
      <c r="AW166" s="1044"/>
      <c r="AX166" s="1044"/>
      <c r="AY166" s="1044"/>
      <c r="AZ166" s="1044"/>
      <c r="BA166" s="1044"/>
      <c r="BB166" s="1044"/>
      <c r="BC166" s="1107"/>
      <c r="BD166" s="64"/>
      <c r="BE166" s="314"/>
      <c r="BF166" s="341"/>
      <c r="BG166" s="341"/>
      <c r="BH166" s="341"/>
      <c r="BI166" s="341"/>
      <c r="BJ166" s="341"/>
      <c r="BK166" s="341"/>
      <c r="BL166" s="341"/>
      <c r="BM166" s="341"/>
      <c r="BN166" s="341"/>
      <c r="BO166" s="341"/>
      <c r="BP166" s="1492"/>
      <c r="BQ166" s="64"/>
      <c r="BR166" s="1794"/>
      <c r="BS166" s="1789"/>
      <c r="BT166" s="1789"/>
      <c r="BU166" s="1789"/>
      <c r="BV166" s="1789"/>
      <c r="BW166" s="1789"/>
      <c r="BX166" s="1789"/>
      <c r="BY166" s="1789"/>
      <c r="BZ166" s="1789"/>
      <c r="CA166" s="1789"/>
      <c r="CB166" s="1789"/>
      <c r="CC166" s="1790"/>
      <c r="CD166" s="1710"/>
      <c r="CE166" s="2008"/>
      <c r="CF166" s="1789"/>
      <c r="CG166" s="1789"/>
      <c r="CH166" s="1789"/>
      <c r="CI166" s="1789"/>
      <c r="CJ166" s="1789"/>
      <c r="CK166" s="1789"/>
      <c r="CL166" s="1789"/>
      <c r="CM166" s="1789"/>
      <c r="CN166" s="1789"/>
      <c r="CO166" s="1789"/>
      <c r="CP166" s="2913"/>
      <c r="CQ166" s="1710"/>
      <c r="CR166" s="2017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5"/>
      <c r="DD166" s="25"/>
      <c r="DE166" s="25"/>
      <c r="DF166" s="25"/>
      <c r="DG166" s="2975"/>
      <c r="DH166" s="1913"/>
      <c r="DI166" s="1913"/>
      <c r="DJ166" s="1913"/>
      <c r="DK166" s="1884"/>
    </row>
    <row r="167" spans="2:118" ht="20.25" customHeight="1">
      <c r="B167" s="40" t="s">
        <v>86</v>
      </c>
      <c r="C167" s="41"/>
      <c r="D167" s="1404"/>
      <c r="E167" s="1412"/>
      <c r="F167" s="1412"/>
      <c r="G167" s="1412"/>
      <c r="H167" s="1412"/>
      <c r="I167" s="1412"/>
      <c r="J167" s="1412"/>
      <c r="K167" s="1412"/>
      <c r="L167" s="1412"/>
      <c r="M167" s="1412"/>
      <c r="N167" s="1412"/>
      <c r="O167" s="1412"/>
      <c r="P167" s="1413"/>
      <c r="Q167" s="64"/>
      <c r="R167" s="1412"/>
      <c r="S167" s="1412"/>
      <c r="T167" s="1412"/>
      <c r="U167" s="1412"/>
      <c r="V167" s="1412"/>
      <c r="W167" s="1412"/>
      <c r="X167" s="1412"/>
      <c r="Y167" s="1412"/>
      <c r="Z167" s="1412"/>
      <c r="AA167" s="1412"/>
      <c r="AB167" s="1412"/>
      <c r="AC167" s="1414"/>
      <c r="AD167" s="1028"/>
      <c r="AE167" s="1415"/>
      <c r="AF167" s="1044"/>
      <c r="AG167" s="1044"/>
      <c r="AH167" s="1044"/>
      <c r="AI167" s="1044"/>
      <c r="AJ167" s="1044"/>
      <c r="AK167" s="1044"/>
      <c r="AL167" s="1044"/>
      <c r="AM167" s="1044"/>
      <c r="AN167" s="1044"/>
      <c r="AO167" s="1044"/>
      <c r="AP167" s="1045"/>
      <c r="AQ167" s="64">
        <v>0.16907</v>
      </c>
      <c r="AR167" s="1415"/>
      <c r="AS167" s="1044"/>
      <c r="AT167" s="1044"/>
      <c r="AU167" s="1044"/>
      <c r="AV167" s="1044"/>
      <c r="AW167" s="1044"/>
      <c r="AX167" s="1044"/>
      <c r="AY167" s="1044"/>
      <c r="AZ167" s="1044"/>
      <c r="BA167" s="1044"/>
      <c r="BB167" s="1044"/>
      <c r="BC167" s="1107"/>
      <c r="BD167" s="64"/>
      <c r="BE167" s="314"/>
      <c r="BF167" s="341"/>
      <c r="BG167" s="341"/>
      <c r="BH167" s="341"/>
      <c r="BI167" s="341"/>
      <c r="BJ167" s="341"/>
      <c r="BK167" s="341"/>
      <c r="BL167" s="341"/>
      <c r="BM167" s="341"/>
      <c r="BN167" s="341"/>
      <c r="BO167" s="341"/>
      <c r="BP167" s="1492"/>
      <c r="BQ167" s="64"/>
      <c r="BR167" s="1794"/>
      <c r="BS167" s="1789"/>
      <c r="BT167" s="1789"/>
      <c r="BU167" s="1789"/>
      <c r="BV167" s="1789"/>
      <c r="BW167" s="1789"/>
      <c r="BX167" s="1789"/>
      <c r="BY167" s="1789"/>
      <c r="BZ167" s="1789"/>
      <c r="CA167" s="1789"/>
      <c r="CB167" s="1789"/>
      <c r="CC167" s="1790"/>
      <c r="CD167" s="1710"/>
      <c r="CE167" s="2008"/>
      <c r="CF167" s="1789"/>
      <c r="CG167" s="1789"/>
      <c r="CH167" s="1789"/>
      <c r="CI167" s="1789"/>
      <c r="CJ167" s="1789"/>
      <c r="CK167" s="1789"/>
      <c r="CL167" s="1789"/>
      <c r="CM167" s="1789"/>
      <c r="CN167" s="1789"/>
      <c r="CO167" s="1789"/>
      <c r="CP167" s="2913"/>
      <c r="CQ167" s="1710"/>
      <c r="CR167" s="2017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5"/>
      <c r="DD167" s="25"/>
      <c r="DE167" s="25"/>
      <c r="DF167" s="25"/>
      <c r="DG167" s="2975"/>
      <c r="DH167" s="1913"/>
      <c r="DI167" s="1913"/>
      <c r="DJ167" s="1913"/>
      <c r="DK167" s="1884"/>
    </row>
    <row r="168" spans="2:118" ht="20.25" customHeight="1">
      <c r="B168" s="40" t="s">
        <v>87</v>
      </c>
      <c r="C168" s="41"/>
      <c r="D168" s="1404"/>
      <c r="E168" s="1412"/>
      <c r="F168" s="1412"/>
      <c r="G168" s="1412"/>
      <c r="H168" s="1412"/>
      <c r="I168" s="1412"/>
      <c r="J168" s="1412"/>
      <c r="K168" s="1412"/>
      <c r="L168" s="1412"/>
      <c r="M168" s="1412"/>
      <c r="N168" s="1412"/>
      <c r="O168" s="1412"/>
      <c r="P168" s="1413"/>
      <c r="Q168" s="64"/>
      <c r="R168" s="1412"/>
      <c r="S168" s="1412"/>
      <c r="T168" s="1412"/>
      <c r="U168" s="1412"/>
      <c r="V168" s="1412"/>
      <c r="W168" s="1412"/>
      <c r="X168" s="1412"/>
      <c r="Y168" s="1412"/>
      <c r="Z168" s="1412"/>
      <c r="AA168" s="1412"/>
      <c r="AB168" s="1412"/>
      <c r="AC168" s="1414"/>
      <c r="AD168" s="1028"/>
      <c r="AE168" s="1415"/>
      <c r="AF168" s="1044"/>
      <c r="AG168" s="1044"/>
      <c r="AH168" s="1044"/>
      <c r="AI168" s="1044"/>
      <c r="AJ168" s="1044"/>
      <c r="AK168" s="1044"/>
      <c r="AL168" s="1044"/>
      <c r="AM168" s="1044"/>
      <c r="AN168" s="1044"/>
      <c r="AO168" s="1044"/>
      <c r="AP168" s="1045"/>
      <c r="AQ168" s="64">
        <v>15.563472000000001</v>
      </c>
      <c r="AR168" s="1415"/>
      <c r="AS168" s="1044"/>
      <c r="AT168" s="1044"/>
      <c r="AU168" s="1044"/>
      <c r="AV168" s="1044"/>
      <c r="AW168" s="1044"/>
      <c r="AX168" s="1044"/>
      <c r="AY168" s="1044"/>
      <c r="AZ168" s="1044"/>
      <c r="BA168" s="1044"/>
      <c r="BB168" s="1044"/>
      <c r="BC168" s="1107"/>
      <c r="BD168" s="64"/>
      <c r="BE168" s="314"/>
      <c r="BF168" s="341"/>
      <c r="BG168" s="341"/>
      <c r="BH168" s="341"/>
      <c r="BI168" s="341"/>
      <c r="BJ168" s="341"/>
      <c r="BK168" s="341"/>
      <c r="BL168" s="341"/>
      <c r="BM168" s="341"/>
      <c r="BN168" s="341"/>
      <c r="BO168" s="341"/>
      <c r="BP168" s="1492"/>
      <c r="BQ168" s="64">
        <f>SUM(BR168:CC168)</f>
        <v>750</v>
      </c>
      <c r="BR168" s="1794">
        <f>유통플랫폼!R26</f>
        <v>0</v>
      </c>
      <c r="BS168" s="1789">
        <f>유통플랫폼!S26</f>
        <v>0</v>
      </c>
      <c r="BT168" s="1789">
        <f>유통플랫폼!T26</f>
        <v>0</v>
      </c>
      <c r="BU168" s="1789">
        <f>유통플랫폼!U26</f>
        <v>0</v>
      </c>
      <c r="BV168" s="1789">
        <f>유통플랫폼!V26</f>
        <v>0</v>
      </c>
      <c r="BW168" s="1789">
        <f>유통플랫폼!W26</f>
        <v>0</v>
      </c>
      <c r="BX168" s="1789">
        <f>유통플랫폼!X26</f>
        <v>750</v>
      </c>
      <c r="BY168" s="1789">
        <f>유통플랫폼!Y26</f>
        <v>0</v>
      </c>
      <c r="BZ168" s="1789">
        <f>유통플랫폼!Z26</f>
        <v>0</v>
      </c>
      <c r="CA168" s="1789">
        <f>유통플랫폼!AA26</f>
        <v>0</v>
      </c>
      <c r="CB168" s="1789">
        <f>유통플랫폼!AB26</f>
        <v>0</v>
      </c>
      <c r="CC168" s="1790">
        <f>유통플랫폼!AC26</f>
        <v>0</v>
      </c>
      <c r="CD168" s="1710">
        <f>SUM(CE168:CP168)</f>
        <v>3.1992400000000001</v>
      </c>
      <c r="CE168" s="2008">
        <f>유통플랫폼!AE26</f>
        <v>0</v>
      </c>
      <c r="CF168" s="1789">
        <f>유통플랫폼!AF26</f>
        <v>0</v>
      </c>
      <c r="CG168" s="1789">
        <f>유통플랫폼!AG26</f>
        <v>0.42304000000000003</v>
      </c>
      <c r="CH168" s="1789">
        <f>유통플랫폼!AH26</f>
        <v>0</v>
      </c>
      <c r="CI168" s="1789">
        <f>유통플랫폼!AI26</f>
        <v>0.39660000000000001</v>
      </c>
      <c r="CJ168" s="1789">
        <f>유통플랫폼!AJ26</f>
        <v>1.0576000000000001</v>
      </c>
      <c r="CK168" s="1789">
        <f>유통플랫폼!AK26</f>
        <v>0</v>
      </c>
      <c r="CL168" s="1789">
        <f>유통플랫폼!AL26</f>
        <v>0</v>
      </c>
      <c r="CM168" s="1789">
        <f>유통플랫폼!AM26</f>
        <v>0</v>
      </c>
      <c r="CN168" s="1789">
        <f>유통플랫폼!AN26</f>
        <v>0.52880000000000005</v>
      </c>
      <c r="CO168" s="1789">
        <f>유통플랫폼!AO26</f>
        <v>0.79320000000000002</v>
      </c>
      <c r="CP168" s="2913">
        <f>유통플랫폼!AP26</f>
        <v>0</v>
      </c>
      <c r="CQ168" s="1710">
        <f>SUM(CR168:DC168)</f>
        <v>3.9924400000000002</v>
      </c>
      <c r="CR168" s="2017">
        <f>유통플랫폼!AR26</f>
        <v>0</v>
      </c>
      <c r="CS168" s="4">
        <f>유통플랫폼!AS26</f>
        <v>0</v>
      </c>
      <c r="CT168" s="4">
        <f>유통플랫폼!AT26</f>
        <v>0.42304000000000003</v>
      </c>
      <c r="CU168" s="4">
        <f>유통플랫폼!AU26</f>
        <v>0</v>
      </c>
      <c r="CV168" s="4">
        <f>유통플랫폼!AV26</f>
        <v>0.39660000000000001</v>
      </c>
      <c r="CW168" s="4">
        <f>유통플랫폼!AW26</f>
        <v>1.0576000000000001</v>
      </c>
      <c r="CX168" s="4">
        <f>유통플랫폼!AX26</f>
        <v>0</v>
      </c>
      <c r="CY168" s="4">
        <f>유통플랫폼!AY26</f>
        <v>0</v>
      </c>
      <c r="CZ168" s="4">
        <f>유통플랫폼!AZ26</f>
        <v>0</v>
      </c>
      <c r="DA168" s="4">
        <f>유통플랫폼!BA26</f>
        <v>0</v>
      </c>
      <c r="DB168" s="4">
        <f>유통플랫폼!BB26</f>
        <v>1.0576000000000001</v>
      </c>
      <c r="DC168" s="5">
        <f>유통플랫폼!BC26</f>
        <v>1.0576000000000001</v>
      </c>
      <c r="DD168" s="25"/>
      <c r="DE168" s="25"/>
      <c r="DF168" s="25"/>
      <c r="DG168" s="2975"/>
      <c r="DH168" s="1913">
        <f>CD168/BQ168-1</f>
        <v>-0.99573434666666671</v>
      </c>
      <c r="DI168" s="1913">
        <f>CQ168/CD168-1</f>
        <v>0.24793388429752072</v>
      </c>
      <c r="DJ168" s="1913"/>
      <c r="DK168" s="1884"/>
      <c r="DN168" s="2784"/>
    </row>
    <row r="169" spans="2:118" ht="20.25" customHeight="1">
      <c r="B169" s="40" t="s">
        <v>88</v>
      </c>
      <c r="C169" s="41"/>
      <c r="D169" s="1404"/>
      <c r="E169" s="1412"/>
      <c r="F169" s="1412"/>
      <c r="G169" s="1412"/>
      <c r="H169" s="1412"/>
      <c r="I169" s="1412"/>
      <c r="J169" s="1412"/>
      <c r="K169" s="1412"/>
      <c r="L169" s="1412"/>
      <c r="M169" s="1412"/>
      <c r="N169" s="1412"/>
      <c r="O169" s="1412"/>
      <c r="P169" s="1413"/>
      <c r="Q169" s="64"/>
      <c r="R169" s="1412"/>
      <c r="S169" s="1412"/>
      <c r="T169" s="1412"/>
      <c r="U169" s="1412"/>
      <c r="V169" s="1412"/>
      <c r="W169" s="1412"/>
      <c r="X169" s="1412"/>
      <c r="Y169" s="1412"/>
      <c r="Z169" s="1412"/>
      <c r="AA169" s="1412"/>
      <c r="AB169" s="1412"/>
      <c r="AC169" s="1414"/>
      <c r="AD169" s="1028"/>
      <c r="AE169" s="1415"/>
      <c r="AF169" s="1044"/>
      <c r="AG169" s="1044"/>
      <c r="AH169" s="1044"/>
      <c r="AI169" s="1044"/>
      <c r="AJ169" s="1044"/>
      <c r="AK169" s="1044"/>
      <c r="AL169" s="1044"/>
      <c r="AM169" s="1044"/>
      <c r="AN169" s="1044"/>
      <c r="AO169" s="1044"/>
      <c r="AP169" s="1045"/>
      <c r="AQ169" s="64"/>
      <c r="AR169" s="1415"/>
      <c r="AS169" s="1044"/>
      <c r="AT169" s="1044"/>
      <c r="AU169" s="1044"/>
      <c r="AV169" s="1044"/>
      <c r="AW169" s="1044"/>
      <c r="AX169" s="1044"/>
      <c r="AY169" s="1044"/>
      <c r="AZ169" s="1044"/>
      <c r="BA169" s="1044"/>
      <c r="BB169" s="1044"/>
      <c r="BC169" s="1107"/>
      <c r="BD169" s="64"/>
      <c r="BE169" s="314"/>
      <c r="BF169" s="341"/>
      <c r="BG169" s="341"/>
      <c r="BH169" s="341"/>
      <c r="BI169" s="341"/>
      <c r="BJ169" s="341"/>
      <c r="BK169" s="341"/>
      <c r="BL169" s="341"/>
      <c r="BM169" s="341"/>
      <c r="BN169" s="341"/>
      <c r="BO169" s="341"/>
      <c r="BP169" s="1492"/>
      <c r="BQ169" s="64"/>
      <c r="BR169" s="1794"/>
      <c r="BS169" s="1789"/>
      <c r="BT169" s="1789"/>
      <c r="BU169" s="1789"/>
      <c r="BV169" s="1789"/>
      <c r="BW169" s="1789"/>
      <c r="BX169" s="1789"/>
      <c r="BY169" s="1789"/>
      <c r="BZ169" s="1789"/>
      <c r="CA169" s="1789"/>
      <c r="CB169" s="1789"/>
      <c r="CC169" s="1790"/>
      <c r="CD169" s="1710"/>
      <c r="CE169" s="2008"/>
      <c r="CF169" s="1789"/>
      <c r="CG169" s="1789"/>
      <c r="CH169" s="1789"/>
      <c r="CI169" s="1789"/>
      <c r="CJ169" s="1789"/>
      <c r="CK169" s="1789"/>
      <c r="CL169" s="1789"/>
      <c r="CM169" s="1789"/>
      <c r="CN169" s="1789"/>
      <c r="CO169" s="1789"/>
      <c r="CP169" s="2913"/>
      <c r="CQ169" s="1710"/>
      <c r="CR169" s="2017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5"/>
      <c r="DD169" s="25"/>
      <c r="DE169" s="25"/>
      <c r="DF169" s="25"/>
      <c r="DG169" s="2975"/>
      <c r="DH169" s="1913"/>
      <c r="DI169" s="1913"/>
      <c r="DJ169" s="1913"/>
      <c r="DK169" s="1884"/>
      <c r="DN169" s="2603"/>
    </row>
    <row r="170" spans="2:118" ht="20.25" customHeight="1">
      <c r="B170" s="40" t="s">
        <v>89</v>
      </c>
      <c r="C170" s="41"/>
      <c r="D170" s="1404"/>
      <c r="E170" s="1412"/>
      <c r="F170" s="1412"/>
      <c r="G170" s="1412"/>
      <c r="H170" s="1412"/>
      <c r="I170" s="1412"/>
      <c r="J170" s="1412"/>
      <c r="K170" s="1412"/>
      <c r="L170" s="1412"/>
      <c r="M170" s="1412"/>
      <c r="N170" s="1412"/>
      <c r="O170" s="1412"/>
      <c r="P170" s="1413"/>
      <c r="Q170" s="64"/>
      <c r="R170" s="1412"/>
      <c r="S170" s="1412"/>
      <c r="T170" s="1412"/>
      <c r="U170" s="1412"/>
      <c r="V170" s="1412"/>
      <c r="W170" s="1412"/>
      <c r="X170" s="1412"/>
      <c r="Y170" s="1412"/>
      <c r="Z170" s="1412"/>
      <c r="AA170" s="1412"/>
      <c r="AB170" s="1412"/>
      <c r="AC170" s="1414"/>
      <c r="AD170" s="1028"/>
      <c r="AE170" s="1415"/>
      <c r="AF170" s="1044"/>
      <c r="AG170" s="1044"/>
      <c r="AH170" s="1044"/>
      <c r="AI170" s="1044"/>
      <c r="AJ170" s="1044"/>
      <c r="AK170" s="1044"/>
      <c r="AL170" s="1044"/>
      <c r="AM170" s="1044"/>
      <c r="AN170" s="1044"/>
      <c r="AO170" s="1044"/>
      <c r="AP170" s="1045"/>
      <c r="AQ170" s="64"/>
      <c r="AR170" s="1415"/>
      <c r="AS170" s="1044"/>
      <c r="AT170" s="1044"/>
      <c r="AU170" s="1044"/>
      <c r="AV170" s="1044"/>
      <c r="AW170" s="1044"/>
      <c r="AX170" s="1044"/>
      <c r="AY170" s="1044"/>
      <c r="AZ170" s="1044"/>
      <c r="BA170" s="1044"/>
      <c r="BB170" s="1044"/>
      <c r="BC170" s="1107"/>
      <c r="BD170" s="64"/>
      <c r="BE170" s="314"/>
      <c r="BF170" s="341"/>
      <c r="BG170" s="341"/>
      <c r="BH170" s="341"/>
      <c r="BI170" s="341"/>
      <c r="BJ170" s="341"/>
      <c r="BK170" s="341"/>
      <c r="BL170" s="341"/>
      <c r="BM170" s="341"/>
      <c r="BN170" s="341"/>
      <c r="BO170" s="341"/>
      <c r="BP170" s="1492"/>
      <c r="BQ170" s="64"/>
      <c r="BR170" s="1794"/>
      <c r="BS170" s="1789"/>
      <c r="BT170" s="1789"/>
      <c r="BU170" s="1789"/>
      <c r="BV170" s="1789"/>
      <c r="BW170" s="1789"/>
      <c r="BX170" s="1789"/>
      <c r="BY170" s="1789"/>
      <c r="BZ170" s="1789"/>
      <c r="CA170" s="1789"/>
      <c r="CB170" s="1789"/>
      <c r="CC170" s="1790"/>
      <c r="CD170" s="1710"/>
      <c r="CE170" s="2008"/>
      <c r="CF170" s="1789"/>
      <c r="CG170" s="1789"/>
      <c r="CH170" s="1789"/>
      <c r="CI170" s="1789"/>
      <c r="CJ170" s="1789"/>
      <c r="CK170" s="1789"/>
      <c r="CL170" s="1789"/>
      <c r="CM170" s="1789"/>
      <c r="CN170" s="1789"/>
      <c r="CO170" s="1789"/>
      <c r="CP170" s="2913"/>
      <c r="CQ170" s="1710"/>
      <c r="CR170" s="2017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5"/>
      <c r="DD170" s="25"/>
      <c r="DE170" s="25"/>
      <c r="DF170" s="25"/>
      <c r="DG170" s="2975"/>
      <c r="DH170" s="1913"/>
      <c r="DI170" s="1913"/>
      <c r="DJ170" s="1913"/>
      <c r="DK170" s="1884"/>
    </row>
    <row r="171" spans="2:118" ht="20.25" customHeight="1">
      <c r="B171" s="40" t="s">
        <v>90</v>
      </c>
      <c r="C171" s="41"/>
      <c r="D171" s="1404"/>
      <c r="E171" s="1412"/>
      <c r="F171" s="1412"/>
      <c r="G171" s="1412"/>
      <c r="H171" s="1412"/>
      <c r="I171" s="1412"/>
      <c r="J171" s="1412"/>
      <c r="K171" s="1412"/>
      <c r="L171" s="1412"/>
      <c r="M171" s="1412"/>
      <c r="N171" s="1412"/>
      <c r="O171" s="1412"/>
      <c r="P171" s="1413"/>
      <c r="Q171" s="64"/>
      <c r="R171" s="1412"/>
      <c r="S171" s="1412"/>
      <c r="T171" s="1412"/>
      <c r="U171" s="1412"/>
      <c r="V171" s="1412"/>
      <c r="W171" s="1412"/>
      <c r="X171" s="1412"/>
      <c r="Y171" s="1412"/>
      <c r="Z171" s="1412"/>
      <c r="AA171" s="1412"/>
      <c r="AB171" s="1412"/>
      <c r="AC171" s="1414"/>
      <c r="AD171" s="1028"/>
      <c r="AE171" s="1415"/>
      <c r="AF171" s="1044"/>
      <c r="AG171" s="1044"/>
      <c r="AH171" s="1044"/>
      <c r="AI171" s="1044"/>
      <c r="AJ171" s="1044"/>
      <c r="AK171" s="1044"/>
      <c r="AL171" s="1044"/>
      <c r="AM171" s="1044"/>
      <c r="AN171" s="1044"/>
      <c r="AO171" s="1044"/>
      <c r="AP171" s="1045"/>
      <c r="AQ171" s="64"/>
      <c r="AR171" s="1415"/>
      <c r="AS171" s="1044"/>
      <c r="AT171" s="1044"/>
      <c r="AU171" s="1044"/>
      <c r="AV171" s="1044"/>
      <c r="AW171" s="1044"/>
      <c r="AX171" s="1044"/>
      <c r="AY171" s="1044"/>
      <c r="AZ171" s="1044"/>
      <c r="BA171" s="1044"/>
      <c r="BB171" s="1044"/>
      <c r="BC171" s="1107"/>
      <c r="BD171" s="64"/>
      <c r="BE171" s="314"/>
      <c r="BF171" s="341"/>
      <c r="BG171" s="341"/>
      <c r="BH171" s="341"/>
      <c r="BI171" s="341"/>
      <c r="BJ171" s="341"/>
      <c r="BK171" s="341"/>
      <c r="BL171" s="341"/>
      <c r="BM171" s="341"/>
      <c r="BN171" s="341"/>
      <c r="BO171" s="341"/>
      <c r="BP171" s="1492"/>
      <c r="BQ171" s="64"/>
      <c r="BR171" s="1794"/>
      <c r="BS171" s="1789"/>
      <c r="BT171" s="1789"/>
      <c r="BU171" s="1789"/>
      <c r="BV171" s="1789"/>
      <c r="BW171" s="1789"/>
      <c r="BX171" s="1789"/>
      <c r="BY171" s="1789"/>
      <c r="BZ171" s="1789"/>
      <c r="CA171" s="1789"/>
      <c r="CB171" s="1789"/>
      <c r="CC171" s="1790"/>
      <c r="CD171" s="1710"/>
      <c r="CE171" s="2008"/>
      <c r="CF171" s="1789"/>
      <c r="CG171" s="1789"/>
      <c r="CH171" s="1789"/>
      <c r="CI171" s="1789"/>
      <c r="CJ171" s="1789"/>
      <c r="CK171" s="1789"/>
      <c r="CL171" s="1789"/>
      <c r="CM171" s="1789"/>
      <c r="CN171" s="1789"/>
      <c r="CO171" s="1789"/>
      <c r="CP171" s="2913"/>
      <c r="CQ171" s="1710"/>
      <c r="CR171" s="2017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5"/>
      <c r="DD171" s="25"/>
      <c r="DE171" s="25"/>
      <c r="DF171" s="25"/>
      <c r="DG171" s="2975"/>
      <c r="DH171" s="1913"/>
      <c r="DI171" s="1913"/>
      <c r="DJ171" s="1913"/>
      <c r="DK171" s="1884"/>
    </row>
    <row r="172" spans="2:118" ht="20.25" customHeight="1">
      <c r="B172" s="47" t="s">
        <v>91</v>
      </c>
      <c r="C172" s="41"/>
      <c r="D172" s="1404"/>
      <c r="E172" s="1412"/>
      <c r="F172" s="1412"/>
      <c r="G172" s="1412"/>
      <c r="H172" s="1412"/>
      <c r="I172" s="1412"/>
      <c r="J172" s="1412"/>
      <c r="K172" s="1412"/>
      <c r="L172" s="1412"/>
      <c r="M172" s="1412"/>
      <c r="N172" s="1412"/>
      <c r="O172" s="1412"/>
      <c r="P172" s="1413"/>
      <c r="Q172" s="64"/>
      <c r="R172" s="1412"/>
      <c r="S172" s="1412"/>
      <c r="T172" s="1412"/>
      <c r="U172" s="1412"/>
      <c r="V172" s="1412"/>
      <c r="W172" s="1412"/>
      <c r="X172" s="1412"/>
      <c r="Y172" s="1412"/>
      <c r="Z172" s="1412"/>
      <c r="AA172" s="1412"/>
      <c r="AB172" s="1412"/>
      <c r="AC172" s="1414"/>
      <c r="AD172" s="1028"/>
      <c r="AE172" s="1415"/>
      <c r="AF172" s="1044"/>
      <c r="AG172" s="1044"/>
      <c r="AH172" s="1044"/>
      <c r="AI172" s="1044"/>
      <c r="AJ172" s="1044"/>
      <c r="AK172" s="1044"/>
      <c r="AL172" s="1044"/>
      <c r="AM172" s="1044"/>
      <c r="AN172" s="1044"/>
      <c r="AO172" s="1044"/>
      <c r="AP172" s="1045"/>
      <c r="AQ172" s="64"/>
      <c r="AR172" s="1415"/>
      <c r="AS172" s="1044"/>
      <c r="AT172" s="1044"/>
      <c r="AU172" s="1044"/>
      <c r="AV172" s="1044"/>
      <c r="AW172" s="1044"/>
      <c r="AX172" s="1044"/>
      <c r="AY172" s="1044"/>
      <c r="AZ172" s="1044"/>
      <c r="BA172" s="1044"/>
      <c r="BB172" s="1044"/>
      <c r="BC172" s="1107"/>
      <c r="BD172" s="64"/>
      <c r="BE172" s="314"/>
      <c r="BF172" s="341"/>
      <c r="BG172" s="341"/>
      <c r="BH172" s="341"/>
      <c r="BI172" s="341"/>
      <c r="BJ172" s="341"/>
      <c r="BK172" s="341"/>
      <c r="BL172" s="341"/>
      <c r="BM172" s="341"/>
      <c r="BN172" s="341"/>
      <c r="BO172" s="341"/>
      <c r="BP172" s="1492"/>
      <c r="BQ172" s="64"/>
      <c r="BR172" s="1794"/>
      <c r="BS172" s="1789"/>
      <c r="BT172" s="1789"/>
      <c r="BU172" s="1789"/>
      <c r="BV172" s="1789"/>
      <c r="BW172" s="1789"/>
      <c r="BX172" s="1789"/>
      <c r="BY172" s="1789"/>
      <c r="BZ172" s="1789"/>
      <c r="CA172" s="1789"/>
      <c r="CB172" s="1789"/>
      <c r="CC172" s="1790"/>
      <c r="CD172" s="1710"/>
      <c r="CE172" s="2008"/>
      <c r="CF172" s="1789"/>
      <c r="CG172" s="1789"/>
      <c r="CH172" s="1789"/>
      <c r="CI172" s="1789"/>
      <c r="CJ172" s="1789"/>
      <c r="CK172" s="1789"/>
      <c r="CL172" s="1789"/>
      <c r="CM172" s="1789"/>
      <c r="CN172" s="1789"/>
      <c r="CO172" s="1789"/>
      <c r="CP172" s="2913"/>
      <c r="CQ172" s="1710"/>
      <c r="CR172" s="2017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5"/>
      <c r="DD172" s="25"/>
      <c r="DE172" s="25"/>
      <c r="DF172" s="25"/>
      <c r="DG172" s="2975"/>
      <c r="DH172" s="1913"/>
      <c r="DI172" s="1913"/>
      <c r="DJ172" s="1913"/>
      <c r="DK172" s="1884"/>
    </row>
    <row r="173" spans="2:118" ht="20.25" customHeight="1">
      <c r="B173" s="47" t="s">
        <v>92</v>
      </c>
      <c r="C173" s="41"/>
      <c r="D173" s="1404"/>
      <c r="E173" s="1412"/>
      <c r="F173" s="1412"/>
      <c r="G173" s="1412"/>
      <c r="H173" s="1412"/>
      <c r="I173" s="1412"/>
      <c r="J173" s="1412"/>
      <c r="K173" s="1412"/>
      <c r="L173" s="1412"/>
      <c r="M173" s="1412"/>
      <c r="N173" s="1412"/>
      <c r="O173" s="1412"/>
      <c r="P173" s="1413"/>
      <c r="Q173" s="64"/>
      <c r="R173" s="1412"/>
      <c r="S173" s="1412"/>
      <c r="T173" s="1412"/>
      <c r="U173" s="1412"/>
      <c r="V173" s="1412"/>
      <c r="W173" s="1412"/>
      <c r="X173" s="1412"/>
      <c r="Y173" s="1412"/>
      <c r="Z173" s="1412"/>
      <c r="AA173" s="1412"/>
      <c r="AB173" s="1412"/>
      <c r="AC173" s="1414"/>
      <c r="AD173" s="1028"/>
      <c r="AE173" s="1415"/>
      <c r="AF173" s="1044"/>
      <c r="AG173" s="1044"/>
      <c r="AH173" s="1044"/>
      <c r="AI173" s="1044"/>
      <c r="AJ173" s="1044"/>
      <c r="AK173" s="1044"/>
      <c r="AL173" s="1044"/>
      <c r="AM173" s="1044"/>
      <c r="AN173" s="1044"/>
      <c r="AO173" s="1044"/>
      <c r="AP173" s="1045"/>
      <c r="AQ173" s="64"/>
      <c r="AR173" s="1415"/>
      <c r="AS173" s="1044"/>
      <c r="AT173" s="1044"/>
      <c r="AU173" s="1044"/>
      <c r="AV173" s="1044"/>
      <c r="AW173" s="1044"/>
      <c r="AX173" s="1044"/>
      <c r="AY173" s="1044"/>
      <c r="AZ173" s="1044"/>
      <c r="BA173" s="1044"/>
      <c r="BB173" s="1044"/>
      <c r="BC173" s="1107"/>
      <c r="BD173" s="64"/>
      <c r="BE173" s="314"/>
      <c r="BF173" s="341"/>
      <c r="BG173" s="341"/>
      <c r="BH173" s="341"/>
      <c r="BI173" s="341"/>
      <c r="BJ173" s="341"/>
      <c r="BK173" s="341"/>
      <c r="BL173" s="341"/>
      <c r="BM173" s="341"/>
      <c r="BN173" s="341"/>
      <c r="BO173" s="341"/>
      <c r="BP173" s="1492"/>
      <c r="BQ173" s="64"/>
      <c r="BR173" s="1794"/>
      <c r="BS173" s="1789"/>
      <c r="BT173" s="1789"/>
      <c r="BU173" s="1789"/>
      <c r="BV173" s="1789"/>
      <c r="BW173" s="1789"/>
      <c r="BX173" s="1789"/>
      <c r="BY173" s="1789"/>
      <c r="BZ173" s="1789"/>
      <c r="CA173" s="1789"/>
      <c r="CB173" s="1789"/>
      <c r="CC173" s="1790"/>
      <c r="CD173" s="1710"/>
      <c r="CE173" s="2008"/>
      <c r="CF173" s="1789"/>
      <c r="CG173" s="1789"/>
      <c r="CH173" s="1789"/>
      <c r="CI173" s="1789"/>
      <c r="CJ173" s="1789"/>
      <c r="CK173" s="1789"/>
      <c r="CL173" s="1789"/>
      <c r="CM173" s="1789"/>
      <c r="CN173" s="1789"/>
      <c r="CO173" s="1789"/>
      <c r="CP173" s="2913"/>
      <c r="CQ173" s="1710"/>
      <c r="CR173" s="2017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5"/>
      <c r="DD173" s="25"/>
      <c r="DE173" s="25"/>
      <c r="DF173" s="25"/>
      <c r="DG173" s="2975"/>
      <c r="DH173" s="1913"/>
      <c r="DI173" s="1913"/>
      <c r="DJ173" s="1913"/>
      <c r="DK173" s="1884"/>
    </row>
    <row r="174" spans="2:118" ht="20.25" customHeight="1">
      <c r="B174" s="47" t="s">
        <v>93</v>
      </c>
      <c r="C174" s="41"/>
      <c r="D174" s="1404"/>
      <c r="E174" s="1412"/>
      <c r="F174" s="1412"/>
      <c r="G174" s="1412"/>
      <c r="H174" s="1412"/>
      <c r="I174" s="1412"/>
      <c r="J174" s="1412"/>
      <c r="K174" s="1412"/>
      <c r="L174" s="1412"/>
      <c r="M174" s="1412"/>
      <c r="N174" s="1412"/>
      <c r="O174" s="1412"/>
      <c r="P174" s="1413"/>
      <c r="Q174" s="64"/>
      <c r="R174" s="1412"/>
      <c r="S174" s="1412"/>
      <c r="T174" s="1412"/>
      <c r="U174" s="1412"/>
      <c r="V174" s="1412"/>
      <c r="W174" s="1412"/>
      <c r="X174" s="1412"/>
      <c r="Y174" s="1412"/>
      <c r="Z174" s="1412"/>
      <c r="AA174" s="1412"/>
      <c r="AB174" s="1412"/>
      <c r="AC174" s="1414"/>
      <c r="AD174" s="1028"/>
      <c r="AE174" s="1415"/>
      <c r="AF174" s="1044"/>
      <c r="AG174" s="1044"/>
      <c r="AH174" s="1044"/>
      <c r="AI174" s="1044"/>
      <c r="AJ174" s="1044"/>
      <c r="AK174" s="1044"/>
      <c r="AL174" s="1044"/>
      <c r="AM174" s="1044"/>
      <c r="AN174" s="1044"/>
      <c r="AO174" s="1044"/>
      <c r="AP174" s="1045"/>
      <c r="AQ174" s="64"/>
      <c r="AR174" s="1415"/>
      <c r="AS174" s="1044"/>
      <c r="AT174" s="1044"/>
      <c r="AU174" s="1044"/>
      <c r="AV174" s="1044"/>
      <c r="AW174" s="1044"/>
      <c r="AX174" s="1044"/>
      <c r="AY174" s="1044"/>
      <c r="AZ174" s="1044"/>
      <c r="BA174" s="1044"/>
      <c r="BB174" s="1044"/>
      <c r="BC174" s="1107"/>
      <c r="BD174" s="64"/>
      <c r="BE174" s="314"/>
      <c r="BF174" s="341"/>
      <c r="BG174" s="341"/>
      <c r="BH174" s="341"/>
      <c r="BI174" s="341"/>
      <c r="BJ174" s="341"/>
      <c r="BK174" s="341"/>
      <c r="BL174" s="341"/>
      <c r="BM174" s="341"/>
      <c r="BN174" s="341"/>
      <c r="BO174" s="341"/>
      <c r="BP174" s="1492"/>
      <c r="BQ174" s="64"/>
      <c r="BR174" s="1794"/>
      <c r="BS174" s="1789"/>
      <c r="BT174" s="1789"/>
      <c r="BU174" s="1789"/>
      <c r="BV174" s="1789"/>
      <c r="BW174" s="1789"/>
      <c r="BX174" s="1789"/>
      <c r="BY174" s="1789"/>
      <c r="BZ174" s="1789"/>
      <c r="CA174" s="1789"/>
      <c r="CB174" s="1789"/>
      <c r="CC174" s="1790"/>
      <c r="CD174" s="1710"/>
      <c r="CE174" s="2008"/>
      <c r="CF174" s="1789"/>
      <c r="CG174" s="1789"/>
      <c r="CH174" s="1789"/>
      <c r="CI174" s="1789"/>
      <c r="CJ174" s="1789"/>
      <c r="CK174" s="1789"/>
      <c r="CL174" s="1789"/>
      <c r="CM174" s="1789"/>
      <c r="CN174" s="1789"/>
      <c r="CO174" s="1789"/>
      <c r="CP174" s="2913"/>
      <c r="CQ174" s="1710"/>
      <c r="CR174" s="2017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5"/>
      <c r="DD174" s="25"/>
      <c r="DE174" s="25"/>
      <c r="DF174" s="25"/>
      <c r="DG174" s="2975"/>
      <c r="DH174" s="1913"/>
      <c r="DI174" s="1913"/>
      <c r="DJ174" s="1913"/>
      <c r="DK174" s="1884"/>
    </row>
    <row r="175" spans="2:118">
      <c r="B175" s="48" t="s">
        <v>94</v>
      </c>
      <c r="C175" s="44"/>
      <c r="D175" s="45"/>
      <c r="E175" s="1346"/>
      <c r="F175" s="1346"/>
      <c r="G175" s="1346"/>
      <c r="H175" s="1346"/>
      <c r="I175" s="1346"/>
      <c r="J175" s="1346"/>
      <c r="K175" s="1346"/>
      <c r="L175" s="1346"/>
      <c r="M175" s="1346"/>
      <c r="N175" s="1346"/>
      <c r="O175" s="1346"/>
      <c r="P175" s="1409"/>
      <c r="Q175" s="1349"/>
      <c r="R175" s="1346"/>
      <c r="S175" s="1346"/>
      <c r="T175" s="1346"/>
      <c r="U175" s="1346"/>
      <c r="V175" s="1346"/>
      <c r="W175" s="1346"/>
      <c r="X175" s="1346"/>
      <c r="Y175" s="1346"/>
      <c r="Z175" s="1346"/>
      <c r="AA175" s="1346"/>
      <c r="AB175" s="1346"/>
      <c r="AC175" s="1350"/>
      <c r="AD175" s="1030"/>
      <c r="AE175" s="1410"/>
      <c r="AF175" s="1048"/>
      <c r="AG175" s="1048"/>
      <c r="AH175" s="1048"/>
      <c r="AI175" s="1048"/>
      <c r="AJ175" s="1048"/>
      <c r="AK175" s="1048"/>
      <c r="AL175" s="1048"/>
      <c r="AM175" s="1048"/>
      <c r="AN175" s="1048"/>
      <c r="AO175" s="1048"/>
      <c r="AP175" s="1049"/>
      <c r="AQ175" s="1349"/>
      <c r="AR175" s="1410"/>
      <c r="AS175" s="1048"/>
      <c r="AT175" s="1048"/>
      <c r="AU175" s="1048"/>
      <c r="AV175" s="1048"/>
      <c r="AW175" s="1048"/>
      <c r="AX175" s="1048"/>
      <c r="AY175" s="1048"/>
      <c r="AZ175" s="1048"/>
      <c r="BA175" s="1048"/>
      <c r="BB175" s="1048"/>
      <c r="BC175" s="1110"/>
      <c r="BD175" s="1349"/>
      <c r="BE175" s="1493"/>
      <c r="BF175" s="1494"/>
      <c r="BG175" s="1494"/>
      <c r="BH175" s="1494"/>
      <c r="BI175" s="1494"/>
      <c r="BJ175" s="1494"/>
      <c r="BK175" s="1494"/>
      <c r="BL175" s="1494"/>
      <c r="BM175" s="1494"/>
      <c r="BN175" s="1494"/>
      <c r="BO175" s="1494"/>
      <c r="BP175" s="1495"/>
      <c r="BQ175" s="1349"/>
      <c r="BR175" s="1791"/>
      <c r="BS175" s="1792"/>
      <c r="BT175" s="1792"/>
      <c r="BU175" s="1792"/>
      <c r="BV175" s="1792"/>
      <c r="BW175" s="1792"/>
      <c r="BX175" s="1792"/>
      <c r="BY175" s="1792"/>
      <c r="BZ175" s="1792"/>
      <c r="CA175" s="1792"/>
      <c r="CB175" s="1792"/>
      <c r="CC175" s="1793"/>
      <c r="CD175" s="1349"/>
      <c r="CE175" s="2009"/>
      <c r="CF175" s="1792"/>
      <c r="CG175" s="1792"/>
      <c r="CH175" s="1792"/>
      <c r="CI175" s="1792"/>
      <c r="CJ175" s="1792"/>
      <c r="CK175" s="1792"/>
      <c r="CL175" s="1792"/>
      <c r="CM175" s="1792"/>
      <c r="CN175" s="1792"/>
      <c r="CO175" s="1792"/>
      <c r="CP175" s="2914"/>
      <c r="CQ175" s="1349"/>
      <c r="CR175" s="2019"/>
      <c r="CS175" s="803"/>
      <c r="CT175" s="803"/>
      <c r="CU175" s="803"/>
      <c r="CV175" s="803"/>
      <c r="CW175" s="803"/>
      <c r="CX175" s="803"/>
      <c r="CY175" s="803"/>
      <c r="CZ175" s="803"/>
      <c r="DA175" s="803"/>
      <c r="DB175" s="803"/>
      <c r="DC175" s="2020"/>
      <c r="DD175" s="25"/>
      <c r="DE175" s="25"/>
      <c r="DF175" s="25"/>
      <c r="DG175" s="2975"/>
      <c r="DH175" s="1913"/>
      <c r="DI175" s="1913"/>
      <c r="DJ175" s="1913"/>
      <c r="DK175" s="1884"/>
    </row>
    <row r="176" spans="2:118">
      <c r="B176" s="30" t="s">
        <v>95</v>
      </c>
      <c r="C176" s="31"/>
      <c r="D176" s="32"/>
      <c r="E176" s="417"/>
      <c r="F176" s="417"/>
      <c r="G176" s="417"/>
      <c r="H176" s="417"/>
      <c r="I176" s="417"/>
      <c r="J176" s="417"/>
      <c r="K176" s="417"/>
      <c r="L176" s="417"/>
      <c r="M176" s="417"/>
      <c r="N176" s="417"/>
      <c r="O176" s="417"/>
      <c r="P176" s="1024"/>
      <c r="Q176" s="1031"/>
      <c r="R176" s="417"/>
      <c r="S176" s="417"/>
      <c r="T176" s="417"/>
      <c r="U176" s="417"/>
      <c r="V176" s="417"/>
      <c r="W176" s="417"/>
      <c r="X176" s="417"/>
      <c r="Y176" s="417"/>
      <c r="Z176" s="417"/>
      <c r="AA176" s="417"/>
      <c r="AB176" s="417"/>
      <c r="AC176" s="1036"/>
      <c r="AD176" s="1029">
        <f>AD143-AD144</f>
        <v>129.31278000000088</v>
      </c>
      <c r="AE176" s="417"/>
      <c r="AF176" s="417"/>
      <c r="AG176" s="417"/>
      <c r="AH176" s="417"/>
      <c r="AI176" s="417"/>
      <c r="AJ176" s="417"/>
      <c r="AK176" s="417"/>
      <c r="AL176" s="417"/>
      <c r="AM176" s="417"/>
      <c r="AN176" s="417"/>
      <c r="AO176" s="417"/>
      <c r="AP176" s="1024"/>
      <c r="AQ176" s="1101">
        <f>AQ143-AQ144</f>
        <v>1265.0427380000021</v>
      </c>
      <c r="AR176" s="417"/>
      <c r="AS176" s="417"/>
      <c r="AT176" s="417"/>
      <c r="AU176" s="417"/>
      <c r="AV176" s="417"/>
      <c r="AW176" s="417"/>
      <c r="AX176" s="417"/>
      <c r="AY176" s="417"/>
      <c r="AZ176" s="417"/>
      <c r="BA176" s="417"/>
      <c r="BB176" s="417"/>
      <c r="BC176" s="1024"/>
      <c r="BD176" s="1031">
        <f>BD143-BD144</f>
        <v>1014.9980140000025</v>
      </c>
      <c r="BE176" s="1029">
        <f t="shared" ref="BE176:BR176" si="454">BE143-BE144</f>
        <v>-0.78743999999977632</v>
      </c>
      <c r="BF176" s="417">
        <f t="shared" si="454"/>
        <v>67.440203000000324</v>
      </c>
      <c r="BG176" s="417">
        <f t="shared" si="454"/>
        <v>30.067865999999981</v>
      </c>
      <c r="BH176" s="417">
        <f t="shared" si="454"/>
        <v>92.769116000000309</v>
      </c>
      <c r="BI176" s="417">
        <f t="shared" si="454"/>
        <v>229.85116099999976</v>
      </c>
      <c r="BJ176" s="417">
        <f t="shared" si="454"/>
        <v>-61.010630999999876</v>
      </c>
      <c r="BK176" s="417">
        <f t="shared" si="454"/>
        <v>-2.0221510000000649</v>
      </c>
      <c r="BL176" s="417">
        <f t="shared" si="454"/>
        <v>151.98015000000004</v>
      </c>
      <c r="BM176" s="417">
        <f t="shared" si="454"/>
        <v>170.40870699999931</v>
      </c>
      <c r="BN176" s="417">
        <f t="shared" si="454"/>
        <v>328.64707599999952</v>
      </c>
      <c r="BO176" s="417">
        <f t="shared" si="454"/>
        <v>-367.26141500000006</v>
      </c>
      <c r="BP176" s="417">
        <f t="shared" si="454"/>
        <v>374.91537200000039</v>
      </c>
      <c r="BQ176" s="1031">
        <f>BQ143-BQ144</f>
        <v>1846.3544220000122</v>
      </c>
      <c r="BR176" s="1029">
        <f t="shared" si="454"/>
        <v>-256.54540099999997</v>
      </c>
      <c r="BS176" s="417">
        <f t="shared" ref="BS176:CC176" si="455">BS143-BS144</f>
        <v>-487.28289600000028</v>
      </c>
      <c r="BT176" s="417">
        <f t="shared" si="455"/>
        <v>-96.695210000000316</v>
      </c>
      <c r="BU176" s="417">
        <f t="shared" si="455"/>
        <v>985.61685799999964</v>
      </c>
      <c r="BV176" s="417">
        <f t="shared" si="455"/>
        <v>330.67032900000066</v>
      </c>
      <c r="BW176" s="417">
        <f t="shared" si="455"/>
        <v>16.29969200000005</v>
      </c>
      <c r="BX176" s="417">
        <f t="shared" si="455"/>
        <v>-1000.2736809999999</v>
      </c>
      <c r="BY176" s="417">
        <f t="shared" si="455"/>
        <v>461.23665799999969</v>
      </c>
      <c r="BZ176" s="417">
        <f t="shared" si="455"/>
        <v>1123.2940709999998</v>
      </c>
      <c r="CA176" s="417">
        <f t="shared" si="455"/>
        <v>655.06160999999838</v>
      </c>
      <c r="CB176" s="417">
        <f t="shared" si="455"/>
        <v>47.895914000006769</v>
      </c>
      <c r="CC176" s="417">
        <f t="shared" si="455"/>
        <v>67.076477999995291</v>
      </c>
      <c r="CD176" s="1031">
        <f>CD143-CD144</f>
        <v>5594.8472769999917</v>
      </c>
      <c r="CE176" s="1029">
        <f t="shared" ref="CE176:CP176" si="456">CE143-CE144</f>
        <v>102.02676299999951</v>
      </c>
      <c r="CF176" s="1708">
        <f t="shared" si="456"/>
        <v>1478.9814529999999</v>
      </c>
      <c r="CG176" s="1708">
        <f t="shared" si="456"/>
        <v>27.296733000000586</v>
      </c>
      <c r="CH176" s="1708">
        <f t="shared" si="456"/>
        <v>484.09454800000003</v>
      </c>
      <c r="CI176" s="1708">
        <f t="shared" si="456"/>
        <v>198.70107100000041</v>
      </c>
      <c r="CJ176" s="1708">
        <f t="shared" si="456"/>
        <v>612.89567499999964</v>
      </c>
      <c r="CK176" s="1708">
        <f t="shared" si="456"/>
        <v>384.75000000000068</v>
      </c>
      <c r="CL176" s="1708">
        <f t="shared" si="456"/>
        <v>524.41730399999972</v>
      </c>
      <c r="CM176" s="1708">
        <f t="shared" si="456"/>
        <v>643.63879599999973</v>
      </c>
      <c r="CN176" s="1708">
        <f t="shared" si="456"/>
        <v>578.20047100000068</v>
      </c>
      <c r="CO176" s="1708">
        <f t="shared" si="456"/>
        <v>1172.2785180000001</v>
      </c>
      <c r="CP176" s="1024">
        <f t="shared" si="456"/>
        <v>-612.43405499999983</v>
      </c>
      <c r="CQ176" s="1031">
        <f>CQ143-CQ144</f>
        <v>7033.7162905270034</v>
      </c>
      <c r="CR176" s="1029">
        <f t="shared" ref="CR176:DC176" si="457">CR143-CR144</f>
        <v>199.31324886687446</v>
      </c>
      <c r="CS176" s="1708">
        <f t="shared" si="457"/>
        <v>1382.3136373124394</v>
      </c>
      <c r="CT176" s="1708">
        <f t="shared" si="457"/>
        <v>356.9355429602183</v>
      </c>
      <c r="CU176" s="1708">
        <f t="shared" si="457"/>
        <v>541.51886532972958</v>
      </c>
      <c r="CV176" s="1708">
        <f t="shared" si="457"/>
        <v>606.27592949300276</v>
      </c>
      <c r="CW176" s="1708">
        <f t="shared" si="457"/>
        <v>990.6712945489262</v>
      </c>
      <c r="CX176" s="1708">
        <f t="shared" si="457"/>
        <v>528.05779483947663</v>
      </c>
      <c r="CY176" s="1708">
        <f t="shared" si="457"/>
        <v>489.45077824368764</v>
      </c>
      <c r="CZ176" s="1708">
        <f t="shared" si="457"/>
        <v>490.25077824368691</v>
      </c>
      <c r="DA176" s="1708">
        <f t="shared" si="457"/>
        <v>481.00077824368691</v>
      </c>
      <c r="DB176" s="1708">
        <f t="shared" si="457"/>
        <v>479.28286420159793</v>
      </c>
      <c r="DC176" s="1024">
        <f t="shared" si="457"/>
        <v>488.64477824368487</v>
      </c>
      <c r="DD176" s="2587"/>
      <c r="DE176" s="2587"/>
      <c r="DF176" s="2587"/>
      <c r="DG176" s="2975">
        <f>BQ176/BD176-1</f>
        <v>0.81907195534671029</v>
      </c>
      <c r="DH176" s="1913">
        <f>CD176/BQ176-1</f>
        <v>2.0302130567865344</v>
      </c>
      <c r="DI176" s="1913">
        <f>CQ176/CD176-1</f>
        <v>0.25717753180539837</v>
      </c>
      <c r="DJ176" s="1913"/>
      <c r="DK176" s="1884"/>
    </row>
    <row r="177" spans="5:114">
      <c r="AQ177" s="568"/>
      <c r="BD177" s="568"/>
      <c r="BQ177" s="568"/>
      <c r="CD177" s="568"/>
      <c r="CQ177" s="568"/>
      <c r="DG177" s="2599"/>
      <c r="DH177" s="2717"/>
      <c r="DI177" s="2717"/>
      <c r="DJ177" s="2717"/>
    </row>
    <row r="178" spans="5:114">
      <c r="DH178" s="129"/>
      <c r="DI178" s="129"/>
      <c r="DJ178" s="129"/>
    </row>
    <row r="179" spans="5:114">
      <c r="DH179" s="129"/>
      <c r="DI179" s="129"/>
      <c r="DJ179" s="129"/>
    </row>
    <row r="180" spans="5:114">
      <c r="DH180" s="129"/>
      <c r="DI180" s="129"/>
      <c r="DJ180" s="129"/>
    </row>
    <row r="181" spans="5:114">
      <c r="DH181" s="129"/>
      <c r="DI181" s="129"/>
      <c r="DJ181" s="129"/>
    </row>
    <row r="182" spans="5:114">
      <c r="AQ182" s="362"/>
      <c r="AR182" s="362"/>
      <c r="AS182" s="362"/>
      <c r="AT182" s="362"/>
      <c r="AU182" s="362"/>
      <c r="AV182" s="362"/>
      <c r="AW182" s="362"/>
      <c r="AX182" s="362"/>
      <c r="AY182" s="362"/>
      <c r="AZ182" s="362"/>
      <c r="BA182" s="362"/>
      <c r="BB182" s="362"/>
      <c r="BC182" s="362"/>
      <c r="BD182" s="362"/>
      <c r="BE182" s="362"/>
      <c r="BF182" s="362"/>
      <c r="BG182" s="362"/>
      <c r="BH182" s="362"/>
      <c r="BI182" s="362"/>
      <c r="BJ182" s="362"/>
      <c r="BK182" s="362"/>
      <c r="BL182" s="362"/>
      <c r="BM182" s="362"/>
      <c r="BN182" s="362"/>
      <c r="BO182" s="362"/>
      <c r="BP182" s="362"/>
      <c r="BQ182" s="362"/>
      <c r="BR182" s="362"/>
      <c r="BS182" s="362"/>
      <c r="BT182" s="362"/>
      <c r="BU182" s="362"/>
      <c r="BV182" s="362"/>
      <c r="BW182" s="362"/>
      <c r="BX182" s="362"/>
      <c r="BY182" s="362"/>
      <c r="BZ182" s="362"/>
      <c r="CA182" s="362"/>
      <c r="CB182" s="362"/>
      <c r="CC182" s="362"/>
      <c r="CD182" s="362"/>
      <c r="CE182" s="362"/>
      <c r="CF182" s="362"/>
      <c r="CG182" s="362"/>
      <c r="CH182" s="362"/>
      <c r="CI182" s="362"/>
      <c r="CJ182" s="362"/>
      <c r="CK182" s="362"/>
      <c r="CL182" s="362"/>
      <c r="CM182" s="362"/>
      <c r="CN182" s="362"/>
      <c r="CO182" s="362"/>
      <c r="CP182" s="362"/>
      <c r="CQ182" s="362"/>
      <c r="CR182" s="362"/>
      <c r="CS182" s="362"/>
      <c r="CT182" s="362"/>
      <c r="CU182" s="362"/>
      <c r="CV182" s="362"/>
      <c r="CW182" s="362"/>
      <c r="CX182" s="362"/>
      <c r="CY182" s="362"/>
      <c r="CZ182" s="362"/>
      <c r="DA182" s="362"/>
      <c r="DB182" s="362"/>
      <c r="DC182" s="362"/>
      <c r="DD182" s="2598"/>
      <c r="DE182" s="2598"/>
      <c r="DF182" s="2598"/>
      <c r="DG182" s="2598"/>
      <c r="DH182" s="129"/>
      <c r="DI182" s="129"/>
      <c r="DJ182" s="129"/>
    </row>
    <row r="183" spans="5:114">
      <c r="DH183" s="129"/>
      <c r="DI183" s="129"/>
      <c r="DJ183" s="129"/>
    </row>
    <row r="184" spans="5:114">
      <c r="DH184" s="129"/>
      <c r="DI184" s="129"/>
      <c r="DJ184" s="129"/>
    </row>
    <row r="185" spans="5:114"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 s="129"/>
      <c r="DE185" s="129"/>
      <c r="DF185" s="129"/>
      <c r="DG185" s="129"/>
      <c r="DH185" s="129"/>
      <c r="DI185" s="129"/>
      <c r="DJ185" s="129"/>
    </row>
    <row r="186" spans="5:114">
      <c r="DH186" s="129"/>
      <c r="DI186" s="129"/>
      <c r="DJ186" s="129"/>
    </row>
  </sheetData>
  <mergeCells count="32">
    <mergeCell ref="B80:D80"/>
    <mergeCell ref="BD10:BP10"/>
    <mergeCell ref="B10:D11"/>
    <mergeCell ref="E10:P10"/>
    <mergeCell ref="Q10:AC10"/>
    <mergeCell ref="AD10:AP10"/>
    <mergeCell ref="AQ10:BC10"/>
    <mergeCell ref="BD134:BP134"/>
    <mergeCell ref="AD134:AP134"/>
    <mergeCell ref="AQ134:BC134"/>
    <mergeCell ref="AQ86:BC86"/>
    <mergeCell ref="AD86:AP86"/>
    <mergeCell ref="BD86:BP86"/>
    <mergeCell ref="B81:C81"/>
    <mergeCell ref="B82:D82"/>
    <mergeCell ref="B134:D135"/>
    <mergeCell ref="E134:P134"/>
    <mergeCell ref="Q134:AC134"/>
    <mergeCell ref="E86:P86"/>
    <mergeCell ref="B86:D87"/>
    <mergeCell ref="Q86:AC86"/>
    <mergeCell ref="B83:D83"/>
    <mergeCell ref="DN11:DO11"/>
    <mergeCell ref="CD10:CP10"/>
    <mergeCell ref="CD86:CP86"/>
    <mergeCell ref="CD134:CP134"/>
    <mergeCell ref="BQ86:CC86"/>
    <mergeCell ref="BQ134:CC134"/>
    <mergeCell ref="BQ10:CC10"/>
    <mergeCell ref="CQ86:DC86"/>
    <mergeCell ref="CQ134:DC134"/>
    <mergeCell ref="CQ10:DC10"/>
  </mergeCells>
  <phoneticPr fontId="2" type="noConversion"/>
  <pageMargins left="0" right="0" top="1.1417322834645669" bottom="0.74803149606299213" header="0.31496062992125984" footer="0.31496062992125984"/>
  <pageSetup paperSize="9" scale="26" orientation="portrait" r:id="rId1"/>
  <ignoredErrors>
    <ignoredError sqref="BD156 AD18:AD20 AD52 Q104:Q119 Q80 AD38:AD39 AD88:AD100 AQ78:BC78 AR81:BC81 BD38 BD28 BQ75 BQ156:CC159 BD75:BP75 BE78:BO78 BD77:BQ77 BD76 BR78:BT78 BS77:CC77 BQ14:BQ19 BQ138 BX78:CC78 BQ32:BQ35 BQ52 BQ38 BQ65:BQ74 BQ53:BQ64 CD138 CD156 CC82 BQ82 CE82:CP82 Q24:AC24 AD101:AD128 CD14:CD27 CD77 CQ138 CQ65 CQ14 CQ19 CQ32 CQ35 CQ38 CR14:DC15 CQ156:DC156 CD32:CD53 CR32:DC53 CR28:DC31 CD28:CD31 BQ28:CC31 CE28:CQ31 CQ75:DC75 CQ77:DC77 CQ76 CR17:DC27 CR16:CV16 CX16:DC16" formula="1"/>
    <ignoredError sqref="Q54:BD64 R81:AP81 R80:AC80 AE80:AP80 R65:AP77 R79:AP79" formulaRange="1"/>
    <ignoredError sqref="Q81 Q65:Q77 Q79 AQ79:BC79 AQ65:BD74 BD81 AR80:BC80 AQ81 AQ77:BC77 AQ75:BC75 AQ76:BC76 AD24 CD54:CD76" formula="1" formulaRange="1"/>
    <ignoredError sqref="AR85:BC85 CP84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39430-E555-456B-97F5-D567C42A9249}">
  <sheetPr>
    <tabColor theme="3"/>
  </sheetPr>
  <dimension ref="C1:J58"/>
  <sheetViews>
    <sheetView showGridLines="0" workbookViewId="0">
      <selection activeCell="C4" sqref="C4:D4"/>
    </sheetView>
  </sheetViews>
  <sheetFormatPr defaultColWidth="8.6640625" defaultRowHeight="13.5"/>
  <cols>
    <col min="1" max="2" width="5.83203125" style="778" customWidth="1"/>
    <col min="3" max="4" width="7.6640625" style="778" customWidth="1"/>
    <col min="5" max="6" width="16.08203125" style="778" customWidth="1"/>
    <col min="7" max="11" width="8.6640625" style="778"/>
    <col min="12" max="12" width="15.33203125" style="778" customWidth="1"/>
    <col min="13" max="13" width="53.4140625" style="778" customWidth="1"/>
    <col min="14" max="16384" width="8.6640625" style="778"/>
  </cols>
  <sheetData>
    <row r="1" spans="3:10" ht="14.5" customHeight="1"/>
    <row r="2" spans="3:10" ht="23.5" customHeight="1">
      <c r="C2" s="2614" t="s">
        <v>825</v>
      </c>
      <c r="D2"/>
      <c r="E2"/>
      <c r="F2"/>
      <c r="G2"/>
      <c r="H2"/>
    </row>
    <row r="3" spans="3:10" ht="19.5" customHeight="1">
      <c r="C3"/>
      <c r="D3"/>
      <c r="E3"/>
      <c r="F3" s="2615"/>
      <c r="G3"/>
      <c r="H3" s="2616" t="s">
        <v>820</v>
      </c>
    </row>
    <row r="4" spans="3:10" ht="18.5" customHeight="1">
      <c r="C4" s="3206" t="s">
        <v>14</v>
      </c>
      <c r="D4" s="3207"/>
      <c r="E4" s="2617" t="s">
        <v>857</v>
      </c>
      <c r="F4" s="2618" t="s">
        <v>775</v>
      </c>
      <c r="G4"/>
      <c r="H4" s="2616" t="s">
        <v>776</v>
      </c>
    </row>
    <row r="5" spans="3:10" ht="19.5" customHeight="1">
      <c r="C5" s="3208" t="s">
        <v>766</v>
      </c>
      <c r="D5" s="3209"/>
      <c r="E5" s="2619">
        <f>'전사 손익계산서'!CD12/100</f>
        <v>7534.5802946499989</v>
      </c>
      <c r="F5" s="2620">
        <f>'전사 손익계산서'!CQ12/100</f>
        <v>8162.8656771075703</v>
      </c>
      <c r="G5"/>
      <c r="H5" s="2625">
        <f>IFERROR(F5/E5-1,0)</f>
        <v>8.3386911797023622E-2</v>
      </c>
      <c r="J5" s="2621"/>
    </row>
    <row r="6" spans="3:10" ht="19.5" customHeight="1">
      <c r="C6" s="3210" t="s">
        <v>767</v>
      </c>
      <c r="D6" s="3211"/>
      <c r="E6" s="2622">
        <f>'전사 손익계산서'!CD52/100</f>
        <v>163.41415247999987</v>
      </c>
      <c r="F6" s="2623">
        <f>'전사 손익계산서'!CQ52/100</f>
        <v>171.51000000000292</v>
      </c>
      <c r="G6"/>
      <c r="H6" s="2625">
        <f>IFERROR(F6/E6-1,0)</f>
        <v>4.9541899505882059E-2</v>
      </c>
    </row>
    <row r="7" spans="3:10" ht="19.5" customHeight="1">
      <c r="C7"/>
      <c r="D7"/>
      <c r="E7" s="2624"/>
      <c r="F7" s="2624"/>
      <c r="G7"/>
      <c r="H7"/>
    </row>
    <row r="8" spans="3:10" ht="19.5" customHeight="1">
      <c r="C8" s="3206" t="s">
        <v>768</v>
      </c>
      <c r="D8" s="3207"/>
      <c r="E8" s="2617" t="s">
        <v>857</v>
      </c>
      <c r="F8" s="2618" t="s">
        <v>774</v>
      </c>
      <c r="G8"/>
      <c r="H8" s="2616" t="s">
        <v>776</v>
      </c>
    </row>
    <row r="9" spans="3:10" ht="19.5" customHeight="1">
      <c r="C9" s="3208" t="s">
        <v>766</v>
      </c>
      <c r="D9" s="3209"/>
      <c r="E9" s="2619">
        <f>'전사 손익계산서'!CD88/100</f>
        <v>6977.9960543899997</v>
      </c>
      <c r="F9" s="2620">
        <f>'전사 손익계산서'!CQ88/100</f>
        <v>7565.0632114775735</v>
      </c>
      <c r="G9"/>
      <c r="H9" s="2625">
        <f>IFERROR(F9/E9-1,0)</f>
        <v>8.4131196479860115E-2</v>
      </c>
      <c r="J9" s="2621"/>
    </row>
    <row r="10" spans="3:10" ht="18.5" customHeight="1">
      <c r="C10" s="3212" t="s">
        <v>767</v>
      </c>
      <c r="D10" s="3213"/>
      <c r="E10" s="2626">
        <f>'전사 손익계산서'!CD128/100</f>
        <v>107.46567970999995</v>
      </c>
      <c r="F10" s="2627">
        <f>'전사 손익계산서'!CQ128/100</f>
        <v>101.17283709473234</v>
      </c>
      <c r="G10"/>
      <c r="H10" s="2625">
        <f>IFERROR(F10/E10-1,0)</f>
        <v>-5.855676558552525E-2</v>
      </c>
    </row>
    <row r="11" spans="3:10" ht="18.5" customHeight="1">
      <c r="C11" s="777"/>
      <c r="D11" s="777"/>
      <c r="E11" s="2628">
        <f>E10/E9</f>
        <v>1.5400650684287948E-2</v>
      </c>
      <c r="F11" s="789"/>
      <c r="G11"/>
      <c r="H11"/>
    </row>
    <row r="12" spans="3:10" ht="18.5" customHeight="1">
      <c r="C12" s="3206" t="s">
        <v>778</v>
      </c>
      <c r="D12" s="3207"/>
      <c r="E12" s="2617" t="s">
        <v>857</v>
      </c>
      <c r="F12" s="2618" t="s">
        <v>774</v>
      </c>
      <c r="G12"/>
      <c r="H12" s="2616" t="s">
        <v>776</v>
      </c>
    </row>
    <row r="13" spans="3:10" ht="18.5" customHeight="1">
      <c r="C13" s="3208" t="s">
        <v>766</v>
      </c>
      <c r="D13" s="3209"/>
      <c r="E13" s="2619">
        <f>'전사 손익계산서'!CD136/100</f>
        <v>556.58424025999989</v>
      </c>
      <c r="F13" s="2620">
        <f>'전사 손익계산서'!CQ136/100</f>
        <v>597.80246563000003</v>
      </c>
      <c r="G13"/>
      <c r="H13" s="2625">
        <f>IFERROR(F13/E13-1,0)</f>
        <v>7.4055681761211245E-2</v>
      </c>
      <c r="J13" s="2621"/>
    </row>
    <row r="14" spans="3:10" ht="18.5" customHeight="1">
      <c r="C14" s="3212" t="s">
        <v>767</v>
      </c>
      <c r="D14" s="3213"/>
      <c r="E14" s="2626">
        <f>'전사 손익계산서'!CD176/100</f>
        <v>55.948472769999917</v>
      </c>
      <c r="F14" s="2627">
        <f>'전사 손익계산서'!CQ176/100</f>
        <v>70.337162905270034</v>
      </c>
      <c r="G14"/>
      <c r="H14" s="2625">
        <f>IFERROR(F14/E14-1,0)</f>
        <v>0.25717753180539837</v>
      </c>
    </row>
    <row r="15" spans="3:10" ht="18.5" customHeight="1">
      <c r="C15"/>
      <c r="D15"/>
      <c r="E15" s="2628">
        <f>E14/E13</f>
        <v>0.10052112281128268</v>
      </c>
      <c r="F15" s="2628">
        <f>F14/F13</f>
        <v>0.11765953964600083</v>
      </c>
      <c r="G15"/>
      <c r="H15"/>
    </row>
    <row r="16" spans="3:10" ht="18.5" customHeight="1">
      <c r="C16" s="3205" t="s">
        <v>769</v>
      </c>
      <c r="D16" s="3205"/>
      <c r="E16" s="2629" t="s">
        <v>857</v>
      </c>
      <c r="F16" s="2629" t="s">
        <v>775</v>
      </c>
      <c r="G16" s="2630"/>
      <c r="H16"/>
    </row>
    <row r="17" spans="3:8" ht="18.5" customHeight="1">
      <c r="C17" s="3202" t="s">
        <v>771</v>
      </c>
      <c r="D17" s="3202"/>
      <c r="E17" s="2631">
        <f>E9/E5</f>
        <v>0.92612936374767851</v>
      </c>
      <c r="F17" s="2631">
        <f>F9/F5</f>
        <v>0.92676561280353909</v>
      </c>
      <c r="G17" s="2632"/>
      <c r="H17"/>
    </row>
    <row r="18" spans="3:8" ht="18.5" customHeight="1">
      <c r="C18" s="3202" t="s">
        <v>777</v>
      </c>
      <c r="D18" s="3202"/>
      <c r="E18" s="2631">
        <f>E13/E5</f>
        <v>7.3870636252321556E-2</v>
      </c>
      <c r="F18" s="2631">
        <f>F13/F5</f>
        <v>7.3234387196461304E-2</v>
      </c>
      <c r="G18" s="2632"/>
      <c r="H18"/>
    </row>
    <row r="19" spans="3:8" ht="18.5" customHeight="1">
      <c r="C19" s="2633"/>
      <c r="D19" s="2633"/>
      <c r="E19" s="2633"/>
      <c r="F19" s="2633"/>
      <c r="G19"/>
      <c r="H19"/>
    </row>
    <row r="20" spans="3:8" ht="18.5" customHeight="1">
      <c r="C20" s="3205" t="s">
        <v>772</v>
      </c>
      <c r="D20" s="3205"/>
      <c r="E20" s="2629" t="s">
        <v>857</v>
      </c>
      <c r="F20" s="2629" t="s">
        <v>775</v>
      </c>
      <c r="G20" s="2630"/>
      <c r="H20"/>
    </row>
    <row r="21" spans="3:8" ht="18.5" customHeight="1">
      <c r="C21" s="3202" t="s">
        <v>771</v>
      </c>
      <c r="D21" s="3202"/>
      <c r="E21" s="2631">
        <f>E10/E6</f>
        <v>0.65762773957508114</v>
      </c>
      <c r="F21" s="2631">
        <f>F10/F6</f>
        <v>0.5898946830781332</v>
      </c>
      <c r="G21" s="2632"/>
      <c r="H21"/>
    </row>
    <row r="22" spans="3:8" ht="20" customHeight="1">
      <c r="C22" s="3202" t="s">
        <v>777</v>
      </c>
      <c r="D22" s="3202"/>
      <c r="E22" s="2631">
        <f>E14/E6</f>
        <v>0.34237226042491886</v>
      </c>
      <c r="F22" s="2631">
        <f>F14/F6</f>
        <v>0.41010531692186369</v>
      </c>
      <c r="G22" s="2632"/>
      <c r="H22"/>
    </row>
    <row r="23" spans="3:8" ht="20" customHeight="1"/>
    <row r="24" spans="3:8" ht="20" customHeight="1">
      <c r="C24" s="3203" t="s">
        <v>14</v>
      </c>
      <c r="D24" s="3203"/>
      <c r="E24" s="2634" t="s">
        <v>857</v>
      </c>
      <c r="F24" s="2634" t="s">
        <v>774</v>
      </c>
      <c r="G24" s="2635"/>
      <c r="H24" s="2635"/>
    </row>
    <row r="25" spans="3:8" ht="19.75" customHeight="1">
      <c r="C25" s="3204" t="s">
        <v>773</v>
      </c>
      <c r="D25" s="3204"/>
      <c r="E25" s="2636">
        <f>'전사 손익계산서'!CD14/100</f>
        <v>2857.61962051</v>
      </c>
      <c r="F25" s="2636">
        <f>'전사 손익계산서'!CQ14/100</f>
        <v>2861.907718612551</v>
      </c>
      <c r="G25" s="2635"/>
      <c r="H25" s="2628">
        <f>IFERROR(F25/E25-1,0)</f>
        <v>1.5005839376851515E-3</v>
      </c>
    </row>
    <row r="26" spans="3:8" ht="19.75" customHeight="1">
      <c r="C26" s="3203" t="s">
        <v>832</v>
      </c>
      <c r="D26" s="3203"/>
      <c r="E26" s="2761">
        <f>('전사 손익계산서'!CD52/100)/('전사 손익계산서'!CD14/100)</f>
        <v>5.7185410999815049E-2</v>
      </c>
      <c r="F26" s="2761">
        <f>('전사 손익계산서'!CQ52/100)/('전사 손익계산서'!CQ14/100)</f>
        <v>5.9928557054645608E-2</v>
      </c>
    </row>
    <row r="27" spans="3:8" ht="19.75" customHeight="1"/>
    <row r="28" spans="3:8" ht="19.75" customHeight="1">
      <c r="C28" s="3203" t="s">
        <v>833</v>
      </c>
      <c r="D28" s="3203"/>
      <c r="E28" s="2761">
        <f>('전사 손익계산서'!CD52/100)/('전사 손익계산서'!CD12/100)</f>
        <v>2.1688554118407054E-2</v>
      </c>
      <c r="F28" s="2761">
        <f>('전사 손익계산서'!CQ52/100)/('전사 손익계산서'!CQ12/100)</f>
        <v>2.10110035843167E-2</v>
      </c>
    </row>
    <row r="29" spans="3:8" ht="19.75" customHeight="1"/>
    <row r="30" spans="3:8" ht="20" customHeight="1"/>
    <row r="31" spans="3:8" ht="20" customHeight="1"/>
    <row r="32" spans="3:8" ht="20" customHeight="1"/>
    <row r="33" s="778" customFormat="1" ht="20" customHeight="1"/>
    <row r="34" s="778" customFormat="1" ht="18.5" customHeight="1"/>
    <row r="35" s="778" customFormat="1" ht="18.5" customHeight="1"/>
    <row r="36" s="778" customFormat="1" ht="18.5" customHeight="1"/>
    <row r="37" s="778" customFormat="1" ht="18.5" customHeight="1"/>
    <row r="38" s="778" customFormat="1" ht="18.5" customHeight="1"/>
    <row r="39" s="778" customFormat="1" ht="18.5" customHeight="1"/>
    <row r="40" s="778" customFormat="1" ht="18.5" customHeight="1"/>
    <row r="41" s="778" customFormat="1" ht="18.5" customHeight="1"/>
    <row r="42" s="778" customFormat="1" ht="18.5" customHeight="1"/>
    <row r="43" s="778" customFormat="1" ht="18.5" customHeight="1"/>
    <row r="44" s="778" customFormat="1" ht="18.5" customHeight="1"/>
    <row r="45" s="778" customFormat="1" ht="18.5" customHeight="1"/>
    <row r="46" s="778" customFormat="1" ht="18.5" customHeight="1"/>
    <row r="47" s="778" customFormat="1" ht="18.5" customHeight="1"/>
    <row r="48" s="778" customFormat="1" ht="18.5" customHeight="1"/>
    <row r="49" s="778" customFormat="1" ht="18.5" customHeight="1"/>
    <row r="50" s="778" customFormat="1" ht="18.5" customHeight="1"/>
    <row r="51" s="778" customFormat="1" ht="18.5" customHeight="1"/>
    <row r="52" s="778" customFormat="1" ht="18.5" customHeight="1"/>
    <row r="53" s="778" customFormat="1" ht="18.5" customHeight="1"/>
    <row r="54" s="778" customFormat="1" ht="18.5" customHeight="1"/>
    <row r="55" s="778" customFormat="1" ht="18.5" customHeight="1"/>
    <row r="56" s="778" customFormat="1" ht="18.5" customHeight="1"/>
    <row r="57" s="778" customFormat="1" ht="18.5" customHeight="1"/>
    <row r="58" s="778" customFormat="1" ht="18.5" customHeight="1"/>
  </sheetData>
  <mergeCells count="19">
    <mergeCell ref="C20:D20"/>
    <mergeCell ref="C21:D21"/>
    <mergeCell ref="C18:D18"/>
    <mergeCell ref="C4:D4"/>
    <mergeCell ref="C5:D5"/>
    <mergeCell ref="C6:D6"/>
    <mergeCell ref="C8:D8"/>
    <mergeCell ref="C9:D9"/>
    <mergeCell ref="C10:D10"/>
    <mergeCell ref="C12:D12"/>
    <mergeCell ref="C13:D13"/>
    <mergeCell ref="C14:D14"/>
    <mergeCell ref="C16:D16"/>
    <mergeCell ref="C17:D17"/>
    <mergeCell ref="C22:D22"/>
    <mergeCell ref="C24:D24"/>
    <mergeCell ref="C25:D25"/>
    <mergeCell ref="C26:D26"/>
    <mergeCell ref="C28:D28"/>
  </mergeCells>
  <phoneticPr fontId="2" type="noConversion"/>
  <pageMargins left="1.1023622047244095" right="0.70866141732283472" top="1.3385826771653544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>
    <tabColor theme="8" tint="0.39997558519241921"/>
    <pageSetUpPr fitToPage="1"/>
  </sheetPr>
  <dimension ref="B1:BH203"/>
  <sheetViews>
    <sheetView showGridLines="0" zoomScale="70" zoomScaleNormal="70" zoomScaleSheetLayoutView="100" workbookViewId="0">
      <selection activeCell="B7" sqref="B7:C8"/>
    </sheetView>
  </sheetViews>
  <sheetFormatPr defaultRowHeight="18.5" outlineLevelRow="1" outlineLevelCol="1"/>
  <cols>
    <col min="1" max="1" width="6" customWidth="1"/>
    <col min="2" max="2" width="4.83203125" style="775" customWidth="1"/>
    <col min="3" max="3" width="27.08203125" style="775" customWidth="1"/>
    <col min="4" max="4" width="12" style="799" customWidth="1"/>
    <col min="5" max="16" width="12" style="799" hidden="1" customWidth="1" outlineLevel="1"/>
    <col min="17" max="17" width="12" style="799" customWidth="1" collapsed="1"/>
    <col min="18" max="29" width="12" style="799" hidden="1" customWidth="1" outlineLevel="1"/>
    <col min="30" max="30" width="12" style="799" customWidth="1" collapsed="1"/>
    <col min="31" max="42" width="12" style="799" customWidth="1" outlineLevel="1"/>
    <col min="43" max="43" width="12" style="799" customWidth="1"/>
    <col min="44" max="55" width="12" style="799" customWidth="1" outlineLevel="1"/>
    <col min="59" max="59" width="8.6640625" customWidth="1"/>
  </cols>
  <sheetData>
    <row r="1" spans="2:55">
      <c r="AE1" s="1722"/>
      <c r="AI1" s="1722"/>
    </row>
    <row r="2" spans="2:55">
      <c r="V2" s="1722"/>
      <c r="AD2" s="1722"/>
      <c r="AE2" s="1722"/>
      <c r="AI2" s="1722"/>
      <c r="AK2" s="1722"/>
      <c r="AO2" s="1722"/>
      <c r="AQ2" s="1722"/>
      <c r="AR2" s="1722"/>
      <c r="AS2" s="1722"/>
      <c r="AT2" s="1722"/>
      <c r="AU2" s="1722"/>
      <c r="AV2" s="1722"/>
      <c r="AW2" s="1722"/>
      <c r="AX2" s="1722"/>
      <c r="AY2" s="1722"/>
      <c r="AZ2" s="1722"/>
      <c r="BA2" s="1722"/>
      <c r="BB2" s="1722"/>
      <c r="BC2" s="1722"/>
    </row>
    <row r="3" spans="2:55" ht="26.5">
      <c r="B3" s="800" t="s">
        <v>569</v>
      </c>
      <c r="C3" s="774"/>
      <c r="V3" s="1722"/>
      <c r="AI3" s="1722"/>
      <c r="AK3" s="1722"/>
      <c r="AN3" s="1722"/>
      <c r="AO3" s="1722"/>
    </row>
    <row r="4" spans="2:55" ht="16.5" customHeight="1">
      <c r="B4" s="800"/>
      <c r="C4" s="774"/>
      <c r="V4" s="1722"/>
      <c r="AD4" s="798"/>
      <c r="AI4" s="1722"/>
      <c r="AK4" s="1722"/>
      <c r="AN4" s="1722"/>
      <c r="AO4" s="1722"/>
      <c r="AQ4" s="798"/>
      <c r="AR4" s="798"/>
      <c r="AS4" s="798"/>
      <c r="AT4" s="798"/>
      <c r="AU4" s="798"/>
      <c r="AV4" s="798"/>
      <c r="AW4" s="798"/>
      <c r="AX4" s="798"/>
      <c r="AY4" s="798"/>
      <c r="AZ4" s="798"/>
      <c r="BA4" s="798"/>
      <c r="BB4" s="798"/>
      <c r="BC4" s="798"/>
    </row>
    <row r="5" spans="2:55" ht="26.5" hidden="1" outlineLevel="1">
      <c r="B5" s="800"/>
      <c r="C5" s="774"/>
      <c r="Q5" s="2321">
        <f>Q10/(Q16+Q17)</f>
        <v>1.1518968075764322</v>
      </c>
      <c r="AD5" s="2321">
        <f>AD10/(AD16+AD17)</f>
        <v>1.2046760118888047</v>
      </c>
      <c r="AI5" s="1722"/>
      <c r="AK5" s="1722"/>
      <c r="AN5" s="1722"/>
      <c r="AO5" s="1722"/>
      <c r="AQ5" s="2321">
        <f>AQ10/(AQ16+AQ17)</f>
        <v>1.2127318824133988</v>
      </c>
      <c r="AV5" s="1722"/>
      <c r="AX5" s="1722"/>
      <c r="BA5" s="1722"/>
      <c r="BB5" s="1722"/>
    </row>
    <row r="6" spans="2:55" ht="21.5" hidden="1" outlineLevel="1">
      <c r="B6" s="773"/>
      <c r="C6" s="774"/>
      <c r="AD6" s="2321">
        <f>AD9/Q9-1</f>
        <v>0.39295029803239201</v>
      </c>
      <c r="AK6" s="1722"/>
      <c r="AN6" s="1722"/>
      <c r="AQ6" s="2321">
        <f>AQ9/AD9-1</f>
        <v>7.4055681761211023E-2</v>
      </c>
      <c r="AX6" s="1722"/>
      <c r="BA6" s="1722"/>
    </row>
    <row r="7" spans="2:55" collapsed="1">
      <c r="B7" s="3282" t="s">
        <v>439</v>
      </c>
      <c r="C7" s="3283"/>
      <c r="D7" s="3275" t="s">
        <v>494</v>
      </c>
      <c r="E7" s="3276"/>
      <c r="F7" s="3276"/>
      <c r="G7" s="3276"/>
      <c r="H7" s="3276"/>
      <c r="I7" s="3276"/>
      <c r="J7" s="3276"/>
      <c r="K7" s="3276"/>
      <c r="L7" s="3276"/>
      <c r="M7" s="3276"/>
      <c r="N7" s="3276"/>
      <c r="O7" s="3276"/>
      <c r="P7" s="3295"/>
      <c r="Q7" s="3275" t="s">
        <v>546</v>
      </c>
      <c r="R7" s="3276"/>
      <c r="S7" s="3276"/>
      <c r="T7" s="3276"/>
      <c r="U7" s="3276"/>
      <c r="V7" s="3276"/>
      <c r="W7" s="3276"/>
      <c r="X7" s="3276"/>
      <c r="Y7" s="3276"/>
      <c r="Z7" s="3276"/>
      <c r="AA7" s="3276"/>
      <c r="AB7" s="3276"/>
      <c r="AC7" s="3298"/>
      <c r="AD7" s="3275" t="s">
        <v>572</v>
      </c>
      <c r="AE7" s="3276"/>
      <c r="AF7" s="3276"/>
      <c r="AG7" s="3276"/>
      <c r="AH7" s="3276"/>
      <c r="AI7" s="3276"/>
      <c r="AJ7" s="3276"/>
      <c r="AK7" s="3276"/>
      <c r="AL7" s="3276"/>
      <c r="AM7" s="3276"/>
      <c r="AN7" s="3276"/>
      <c r="AO7" s="3276"/>
      <c r="AP7" s="3276"/>
      <c r="AQ7" s="3277" t="s">
        <v>586</v>
      </c>
      <c r="AR7" s="3278"/>
      <c r="AS7" s="3278"/>
      <c r="AT7" s="3278"/>
      <c r="AU7" s="3278"/>
      <c r="AV7" s="3278"/>
      <c r="AW7" s="3278"/>
      <c r="AX7" s="3278"/>
      <c r="AY7" s="3278"/>
      <c r="AZ7" s="3278"/>
      <c r="BA7" s="3278"/>
      <c r="BB7" s="3278"/>
      <c r="BC7" s="3278"/>
    </row>
    <row r="8" spans="2:55">
      <c r="B8" s="3284"/>
      <c r="C8" s="3285"/>
      <c r="D8" s="1104" t="s">
        <v>492</v>
      </c>
      <c r="E8" s="1320" t="str">
        <f>E$34</f>
        <v>1월</v>
      </c>
      <c r="F8" s="1320" t="str">
        <f>F$34</f>
        <v>2월</v>
      </c>
      <c r="G8" s="1320" t="str">
        <f t="shared" ref="G8:P8" si="0">G$34</f>
        <v>3월</v>
      </c>
      <c r="H8" s="1320" t="str">
        <f t="shared" si="0"/>
        <v>4월</v>
      </c>
      <c r="I8" s="1320" t="str">
        <f t="shared" si="0"/>
        <v>5월</v>
      </c>
      <c r="J8" s="1320" t="str">
        <f t="shared" si="0"/>
        <v>6월</v>
      </c>
      <c r="K8" s="1320" t="str">
        <f t="shared" si="0"/>
        <v>7월</v>
      </c>
      <c r="L8" s="1320" t="str">
        <f t="shared" si="0"/>
        <v>8월</v>
      </c>
      <c r="M8" s="1320" t="str">
        <f t="shared" si="0"/>
        <v>9월</v>
      </c>
      <c r="N8" s="1320" t="str">
        <f t="shared" si="0"/>
        <v>10월</v>
      </c>
      <c r="O8" s="1320" t="str">
        <f t="shared" si="0"/>
        <v>11월</v>
      </c>
      <c r="P8" s="1320" t="str">
        <f t="shared" si="0"/>
        <v>12월</v>
      </c>
      <c r="Q8" s="1104" t="s">
        <v>492</v>
      </c>
      <c r="R8" s="1320" t="s">
        <v>2</v>
      </c>
      <c r="S8" s="1320" t="s">
        <v>440</v>
      </c>
      <c r="T8" s="1320" t="s">
        <v>4</v>
      </c>
      <c r="U8" s="1320" t="s">
        <v>5</v>
      </c>
      <c r="V8" s="1320" t="s">
        <v>6</v>
      </c>
      <c r="W8" s="1320" t="s">
        <v>7</v>
      </c>
      <c r="X8" s="1320" t="s">
        <v>8</v>
      </c>
      <c r="Y8" s="1320" t="s">
        <v>9</v>
      </c>
      <c r="Z8" s="1320" t="s">
        <v>10</v>
      </c>
      <c r="AA8" s="1320" t="s">
        <v>11</v>
      </c>
      <c r="AB8" s="1320" t="s">
        <v>441</v>
      </c>
      <c r="AC8" s="1609" t="s">
        <v>442</v>
      </c>
      <c r="AD8" s="1104" t="s">
        <v>492</v>
      </c>
      <c r="AE8" s="1320" t="s">
        <v>2</v>
      </c>
      <c r="AF8" s="1320" t="s">
        <v>440</v>
      </c>
      <c r="AG8" s="1320" t="s">
        <v>4</v>
      </c>
      <c r="AH8" s="1320" t="s">
        <v>5</v>
      </c>
      <c r="AI8" s="1320" t="s">
        <v>6</v>
      </c>
      <c r="AJ8" s="1320" t="s">
        <v>7</v>
      </c>
      <c r="AK8" s="1320" t="s">
        <v>8</v>
      </c>
      <c r="AL8" s="1320" t="s">
        <v>9</v>
      </c>
      <c r="AM8" s="1320" t="s">
        <v>10</v>
      </c>
      <c r="AN8" s="1320" t="s">
        <v>11</v>
      </c>
      <c r="AO8" s="1320" t="s">
        <v>441</v>
      </c>
      <c r="AP8" s="1915" t="s">
        <v>442</v>
      </c>
      <c r="AQ8" s="2792" t="s">
        <v>492</v>
      </c>
      <c r="AR8" s="2323" t="s">
        <v>2</v>
      </c>
      <c r="AS8" s="2323" t="s">
        <v>440</v>
      </c>
      <c r="AT8" s="2323" t="s">
        <v>4</v>
      </c>
      <c r="AU8" s="2323" t="s">
        <v>5</v>
      </c>
      <c r="AV8" s="2323" t="s">
        <v>6</v>
      </c>
      <c r="AW8" s="2323" t="s">
        <v>7</v>
      </c>
      <c r="AX8" s="2323" t="s">
        <v>8</v>
      </c>
      <c r="AY8" s="2323" t="s">
        <v>9</v>
      </c>
      <c r="AZ8" s="2323" t="s">
        <v>10</v>
      </c>
      <c r="BA8" s="2323" t="s">
        <v>11</v>
      </c>
      <c r="BB8" s="2323" t="s">
        <v>441</v>
      </c>
      <c r="BC8" s="2788" t="s">
        <v>442</v>
      </c>
    </row>
    <row r="9" spans="2:55">
      <c r="B9" s="3279" t="s">
        <v>426</v>
      </c>
      <c r="C9" s="3280"/>
      <c r="D9" s="1469">
        <f>SUM(E9:P9)</f>
        <v>26735.344277</v>
      </c>
      <c r="E9" s="1469">
        <f>SUM(E10:E14)</f>
        <v>1892.8360340000002</v>
      </c>
      <c r="F9" s="1469">
        <f t="shared" ref="F9:P9" si="1">SUM(F10:F14)</f>
        <v>2033.5121540000002</v>
      </c>
      <c r="G9" s="1469">
        <f t="shared" si="1"/>
        <v>636.79558799999995</v>
      </c>
      <c r="H9" s="1469">
        <f t="shared" si="1"/>
        <v>2446.0072720000003</v>
      </c>
      <c r="I9" s="1469">
        <f t="shared" si="1"/>
        <v>4486.9621799999995</v>
      </c>
      <c r="J9" s="1469">
        <f t="shared" si="1"/>
        <v>866.01766800000007</v>
      </c>
      <c r="K9" s="1469">
        <f t="shared" si="1"/>
        <v>637.92729899999995</v>
      </c>
      <c r="L9" s="1469">
        <f t="shared" si="1"/>
        <v>2308.2350550000001</v>
      </c>
      <c r="M9" s="1469">
        <f t="shared" si="1"/>
        <v>3543.0343689999995</v>
      </c>
      <c r="N9" s="1469">
        <f t="shared" si="1"/>
        <v>2994.1806799999995</v>
      </c>
      <c r="O9" s="1469">
        <f t="shared" si="1"/>
        <v>1020.999384</v>
      </c>
      <c r="P9" s="1469">
        <f t="shared" si="1"/>
        <v>3868.8365940000003</v>
      </c>
      <c r="Q9" s="1469">
        <f>SUM(R9:AC9)</f>
        <v>39957.221808000002</v>
      </c>
      <c r="R9" s="1469">
        <f>SUM(R10:R14)</f>
        <v>346.54510200000004</v>
      </c>
      <c r="S9" s="1469">
        <f t="shared" ref="S9" si="2">SUM(S10:S14)</f>
        <v>1707.0462699999998</v>
      </c>
      <c r="T9" s="1469">
        <f t="shared" ref="T9" si="3">SUM(T10:T14)</f>
        <v>2781.6198370000002</v>
      </c>
      <c r="U9" s="1469">
        <f t="shared" ref="U9" si="4">SUM(U10:U14)</f>
        <v>5884.0943320000006</v>
      </c>
      <c r="V9" s="1469">
        <f t="shared" ref="V9" si="5">SUM(V10:V14)</f>
        <v>2721.4978209999999</v>
      </c>
      <c r="W9" s="1469">
        <f t="shared" ref="W9" si="6">SUM(W10:W14)</f>
        <v>824.652063</v>
      </c>
      <c r="X9" s="1469">
        <f t="shared" ref="X9" si="7">SUM(X10:X14)</f>
        <v>1377.6593629999998</v>
      </c>
      <c r="Y9" s="1469">
        <f t="shared" ref="Y9" si="8">SUM(Y10:Y14)</f>
        <v>5257.9342339999994</v>
      </c>
      <c r="Z9" s="1469">
        <f t="shared" ref="Z9" si="9">SUM(Z10:Z14)</f>
        <v>5862.721262</v>
      </c>
      <c r="AA9" s="1469">
        <f t="shared" ref="AA9" si="10">SUM(AA10:AA14)</f>
        <v>6712.4182419999988</v>
      </c>
      <c r="AB9" s="1469">
        <f t="shared" ref="AB9" si="11">SUM(AB10:AB14)</f>
        <v>3698.8594980000071</v>
      </c>
      <c r="AC9" s="1610">
        <f t="shared" ref="AC9" si="12">SUM(AC10:AC14)</f>
        <v>2782.1737840000001</v>
      </c>
      <c r="AD9" s="1469">
        <f>SUM(AE9:AP9)</f>
        <v>55658.424026000001</v>
      </c>
      <c r="AE9" s="1469">
        <f>SUM(AE10:AE14)</f>
        <v>2707.3064490000006</v>
      </c>
      <c r="AF9" s="1469">
        <f t="shared" ref="AF9:AP9" si="13">SUM(AF10:AF14)</f>
        <v>6625.7026329999999</v>
      </c>
      <c r="AG9" s="1469">
        <f t="shared" si="13"/>
        <v>4840.6044970000003</v>
      </c>
      <c r="AH9" s="1469">
        <f t="shared" si="13"/>
        <v>3601.0909999999999</v>
      </c>
      <c r="AI9" s="1469">
        <f t="shared" si="13"/>
        <v>4254.8448690000005</v>
      </c>
      <c r="AJ9" s="1469">
        <f t="shared" si="13"/>
        <v>4755.6311379999997</v>
      </c>
      <c r="AK9" s="1469">
        <f t="shared" si="13"/>
        <v>5669.8631220000007</v>
      </c>
      <c r="AL9" s="1469">
        <f t="shared" si="13"/>
        <v>5819.91554</v>
      </c>
      <c r="AM9" s="1469">
        <f t="shared" si="13"/>
        <v>5703.7023899999995</v>
      </c>
      <c r="AN9" s="1469">
        <f t="shared" si="13"/>
        <v>4611.605141</v>
      </c>
      <c r="AO9" s="1469">
        <f t="shared" si="13"/>
        <v>5432.8418510000001</v>
      </c>
      <c r="AP9" s="2000">
        <f t="shared" si="13"/>
        <v>1635.3153960000002</v>
      </c>
      <c r="AQ9" s="1469">
        <f>SUM(AR9:BC9)</f>
        <v>59780.246563000001</v>
      </c>
      <c r="AR9" s="1469">
        <f>SUM(AR10:AR14)</f>
        <v>3289.4995091105911</v>
      </c>
      <c r="AS9" s="1469">
        <f t="shared" ref="AS9:BC9" si="14">SUM(AS10:AS14)</f>
        <v>6650.1242368997837</v>
      </c>
      <c r="AT9" s="1469">
        <f t="shared" si="14"/>
        <v>5961.9621638856979</v>
      </c>
      <c r="AU9" s="1469">
        <f t="shared" si="14"/>
        <v>4527.1853001587824</v>
      </c>
      <c r="AV9" s="1469">
        <f t="shared" si="14"/>
        <v>5976.7416646443608</v>
      </c>
      <c r="AW9" s="1469">
        <f t="shared" si="14"/>
        <v>6220.7517394803472</v>
      </c>
      <c r="AX9" s="1469">
        <f t="shared" si="14"/>
        <v>4565.4511648034068</v>
      </c>
      <c r="AY9" s="1469">
        <f t="shared" si="14"/>
        <v>4517.6073568034071</v>
      </c>
      <c r="AZ9" s="1469">
        <f t="shared" si="14"/>
        <v>4518.4073568034073</v>
      </c>
      <c r="BA9" s="1469">
        <f t="shared" si="14"/>
        <v>4517.4073568034073</v>
      </c>
      <c r="BB9" s="1469">
        <f t="shared" si="14"/>
        <v>4517.3073568034069</v>
      </c>
      <c r="BC9" s="2000">
        <f t="shared" si="14"/>
        <v>4517.8013568034066</v>
      </c>
    </row>
    <row r="10" spans="2:55">
      <c r="B10" s="3281"/>
      <c r="C10" s="1611" t="s">
        <v>414</v>
      </c>
      <c r="D10" s="1470">
        <f>SUM(E10:P10)</f>
        <v>26388.705427000001</v>
      </c>
      <c r="E10" s="1471">
        <f t="shared" ref="E10:P10" si="15">+E76+E98+E36+E58+E113</f>
        <v>1863.2989200000002</v>
      </c>
      <c r="F10" s="1471">
        <f t="shared" si="15"/>
        <v>2023.9333270000002</v>
      </c>
      <c r="G10" s="1471">
        <f t="shared" si="15"/>
        <v>631.88473799999997</v>
      </c>
      <c r="H10" s="1471">
        <f t="shared" si="15"/>
        <v>2446.0072720000003</v>
      </c>
      <c r="I10" s="1471">
        <f t="shared" si="15"/>
        <v>4485.5440049999997</v>
      </c>
      <c r="J10" s="1471">
        <f t="shared" si="15"/>
        <v>842.6345530000001</v>
      </c>
      <c r="K10" s="1471">
        <f t="shared" si="15"/>
        <v>634.950199</v>
      </c>
      <c r="L10" s="1471">
        <f t="shared" si="15"/>
        <v>2282.5060000000003</v>
      </c>
      <c r="M10" s="1471">
        <f t="shared" si="15"/>
        <v>3532.0189189999996</v>
      </c>
      <c r="N10" s="1471">
        <f t="shared" si="15"/>
        <v>2987.2962299999995</v>
      </c>
      <c r="O10" s="1471">
        <f t="shared" si="15"/>
        <v>1017.5335339999999</v>
      </c>
      <c r="P10" s="1471">
        <f t="shared" si="15"/>
        <v>3641.0977300000004</v>
      </c>
      <c r="Q10" s="1470">
        <f>SUM(R10:AC10)</f>
        <v>35713.710411000015</v>
      </c>
      <c r="R10" s="1471">
        <f t="shared" ref="R10:AC10" si="16">+R76+R98+R36+R58+R113+R188</f>
        <v>276.18865000000005</v>
      </c>
      <c r="S10" s="1471">
        <f t="shared" si="16"/>
        <v>1462.0631609999998</v>
      </c>
      <c r="T10" s="1471">
        <f t="shared" si="16"/>
        <v>2667.9704999999999</v>
      </c>
      <c r="U10" s="1471">
        <f t="shared" si="16"/>
        <v>5115.22325</v>
      </c>
      <c r="V10" s="1471">
        <f t="shared" si="16"/>
        <v>2503.4997790000002</v>
      </c>
      <c r="W10" s="1471">
        <f t="shared" si="16"/>
        <v>699.65382199999999</v>
      </c>
      <c r="X10" s="1471">
        <f t="shared" si="16"/>
        <v>1168.8002759999999</v>
      </c>
      <c r="Y10" s="1471">
        <f t="shared" si="16"/>
        <v>4958.0862749999997</v>
      </c>
      <c r="Z10" s="1471">
        <f t="shared" si="16"/>
        <v>5361.6130629999998</v>
      </c>
      <c r="AA10" s="1471">
        <f t="shared" si="16"/>
        <v>6288.8489639999989</v>
      </c>
      <c r="AB10" s="1471">
        <f t="shared" si="16"/>
        <v>3006.5281170000071</v>
      </c>
      <c r="AC10" s="1612">
        <f t="shared" si="16"/>
        <v>2205.2345540000001</v>
      </c>
      <c r="AD10" s="1470">
        <f>SUM(AE10:AP10)</f>
        <v>51015.838151999997</v>
      </c>
      <c r="AE10" s="1471">
        <f t="shared" ref="AE10:AP10" si="17">+AE76+AE98+AE36+AE58+AE113+AE188+AE171</f>
        <v>2240.7149050000003</v>
      </c>
      <c r="AF10" s="1471">
        <f t="shared" si="17"/>
        <v>5796.8017159999999</v>
      </c>
      <c r="AG10" s="1471">
        <f t="shared" si="17"/>
        <v>4696.2952530000002</v>
      </c>
      <c r="AH10" s="1471">
        <f t="shared" si="17"/>
        <v>3038.3485759999999</v>
      </c>
      <c r="AI10" s="1471">
        <f t="shared" si="17"/>
        <v>4067.3026290000003</v>
      </c>
      <c r="AJ10" s="1471">
        <f t="shared" si="17"/>
        <v>4474.6005740000001</v>
      </c>
      <c r="AK10" s="1471">
        <f t="shared" si="17"/>
        <v>5193.6016870000003</v>
      </c>
      <c r="AL10" s="1471">
        <f t="shared" si="17"/>
        <v>5643.1616180000001</v>
      </c>
      <c r="AM10" s="1471">
        <f t="shared" si="17"/>
        <v>5227.5386359999993</v>
      </c>
      <c r="AN10" s="1471">
        <f t="shared" si="17"/>
        <v>4073.9922040000006</v>
      </c>
      <c r="AO10" s="1471">
        <f t="shared" si="17"/>
        <v>5188.9031960000002</v>
      </c>
      <c r="AP10" s="2001">
        <f t="shared" si="17"/>
        <v>1374.5771580000001</v>
      </c>
      <c r="AQ10" s="1470">
        <f>SUM(AR10:BC10)</f>
        <v>55555.797707500002</v>
      </c>
      <c r="AR10" s="1471">
        <f t="shared" ref="AR10:BC10" si="18">+AR76+AR98+AR36+AR58+AR113+AR188+AR171</f>
        <v>2976.2927062772578</v>
      </c>
      <c r="AS10" s="1471">
        <f t="shared" si="18"/>
        <v>6307.524704566451</v>
      </c>
      <c r="AT10" s="1471">
        <f t="shared" si="18"/>
        <v>5649.2126340523646</v>
      </c>
      <c r="AU10" s="1471">
        <f t="shared" si="18"/>
        <v>4002.7636348254491</v>
      </c>
      <c r="AV10" s="1471">
        <f t="shared" si="18"/>
        <v>5657.4994068110273</v>
      </c>
      <c r="AW10" s="1471">
        <f t="shared" si="18"/>
        <v>5891.114027147014</v>
      </c>
      <c r="AX10" s="1471">
        <f t="shared" si="18"/>
        <v>4178.5650989700734</v>
      </c>
      <c r="AY10" s="1471">
        <f t="shared" si="18"/>
        <v>4178.5650989700734</v>
      </c>
      <c r="AZ10" s="1471">
        <f t="shared" si="18"/>
        <v>4178.5650989700734</v>
      </c>
      <c r="BA10" s="1471">
        <f t="shared" si="18"/>
        <v>4178.5650989700734</v>
      </c>
      <c r="BB10" s="1471">
        <f t="shared" si="18"/>
        <v>4178.5650989700734</v>
      </c>
      <c r="BC10" s="2001">
        <f t="shared" si="18"/>
        <v>4178.5650989700734</v>
      </c>
    </row>
    <row r="11" spans="2:55">
      <c r="B11" s="3281"/>
      <c r="C11" s="1611" t="s">
        <v>415</v>
      </c>
      <c r="D11" s="1470">
        <f t="shared" ref="D11:D14" si="19">SUM(E11:P11)</f>
        <v>0</v>
      </c>
      <c r="E11" s="1471">
        <f t="shared" ref="E11:P11" si="20">+E39+E60</f>
        <v>0</v>
      </c>
      <c r="F11" s="1471">
        <f t="shared" si="20"/>
        <v>0</v>
      </c>
      <c r="G11" s="1471">
        <f t="shared" si="20"/>
        <v>0</v>
      </c>
      <c r="H11" s="1471">
        <f t="shared" si="20"/>
        <v>0</v>
      </c>
      <c r="I11" s="1471">
        <f t="shared" si="20"/>
        <v>0</v>
      </c>
      <c r="J11" s="1471">
        <f t="shared" si="20"/>
        <v>0</v>
      </c>
      <c r="K11" s="1471">
        <f t="shared" si="20"/>
        <v>0</v>
      </c>
      <c r="L11" s="1471">
        <f t="shared" si="20"/>
        <v>0</v>
      </c>
      <c r="M11" s="1471">
        <f t="shared" si="20"/>
        <v>0</v>
      </c>
      <c r="N11" s="1471">
        <f t="shared" si="20"/>
        <v>0</v>
      </c>
      <c r="O11" s="1471">
        <f t="shared" si="20"/>
        <v>0</v>
      </c>
      <c r="P11" s="1471">
        <f t="shared" si="20"/>
        <v>0</v>
      </c>
      <c r="Q11" s="1470">
        <f t="shared" ref="Q11:Q14" si="21">SUM(R11:AC11)</f>
        <v>0</v>
      </c>
      <c r="R11" s="1471">
        <f t="shared" ref="R11:AC11" si="22">+R39+R60</f>
        <v>0</v>
      </c>
      <c r="S11" s="1471">
        <f t="shared" si="22"/>
        <v>0</v>
      </c>
      <c r="T11" s="1471">
        <f t="shared" si="22"/>
        <v>0</v>
      </c>
      <c r="U11" s="1471">
        <f t="shared" si="22"/>
        <v>0</v>
      </c>
      <c r="V11" s="1471">
        <f t="shared" si="22"/>
        <v>0</v>
      </c>
      <c r="W11" s="1471">
        <f t="shared" si="22"/>
        <v>0</v>
      </c>
      <c r="X11" s="1471">
        <f t="shared" si="22"/>
        <v>0</v>
      </c>
      <c r="Y11" s="1471">
        <f t="shared" si="22"/>
        <v>0</v>
      </c>
      <c r="Z11" s="1471">
        <f t="shared" si="22"/>
        <v>0</v>
      </c>
      <c r="AA11" s="1471">
        <f t="shared" si="22"/>
        <v>0</v>
      </c>
      <c r="AB11" s="1471">
        <f t="shared" si="22"/>
        <v>0</v>
      </c>
      <c r="AC11" s="1612">
        <f t="shared" si="22"/>
        <v>0</v>
      </c>
      <c r="AD11" s="1470">
        <f t="shared" ref="AD11:AD14" si="23">SUM(AE11:AP11)</f>
        <v>0</v>
      </c>
      <c r="AE11" s="1471">
        <f t="shared" ref="AE11:AP11" si="24">+AE39+AE60</f>
        <v>0</v>
      </c>
      <c r="AF11" s="1471">
        <f t="shared" si="24"/>
        <v>0</v>
      </c>
      <c r="AG11" s="1471">
        <f t="shared" si="24"/>
        <v>0</v>
      </c>
      <c r="AH11" s="1471">
        <f t="shared" si="24"/>
        <v>0</v>
      </c>
      <c r="AI11" s="1471">
        <f t="shared" si="24"/>
        <v>0</v>
      </c>
      <c r="AJ11" s="1471">
        <f t="shared" si="24"/>
        <v>0</v>
      </c>
      <c r="AK11" s="1471">
        <f t="shared" si="24"/>
        <v>0</v>
      </c>
      <c r="AL11" s="1471">
        <f t="shared" si="24"/>
        <v>0</v>
      </c>
      <c r="AM11" s="1471">
        <f t="shared" si="24"/>
        <v>0</v>
      </c>
      <c r="AN11" s="1471">
        <f t="shared" si="24"/>
        <v>0</v>
      </c>
      <c r="AO11" s="1471">
        <f t="shared" si="24"/>
        <v>0</v>
      </c>
      <c r="AP11" s="2001">
        <f t="shared" si="24"/>
        <v>0</v>
      </c>
      <c r="AQ11" s="1470">
        <f t="shared" ref="AQ11:AQ14" si="25">SUM(AR11:BC11)</f>
        <v>0</v>
      </c>
      <c r="AR11" s="1471">
        <f t="shared" ref="AR11:BC11" si="26">+AR39+AR60</f>
        <v>0</v>
      </c>
      <c r="AS11" s="1471">
        <f t="shared" si="26"/>
        <v>0</v>
      </c>
      <c r="AT11" s="1471">
        <f t="shared" si="26"/>
        <v>0</v>
      </c>
      <c r="AU11" s="1471">
        <f t="shared" si="26"/>
        <v>0</v>
      </c>
      <c r="AV11" s="1471">
        <f t="shared" si="26"/>
        <v>0</v>
      </c>
      <c r="AW11" s="1471">
        <f t="shared" si="26"/>
        <v>0</v>
      </c>
      <c r="AX11" s="1471">
        <f t="shared" si="26"/>
        <v>0</v>
      </c>
      <c r="AY11" s="1471">
        <f t="shared" si="26"/>
        <v>0</v>
      </c>
      <c r="AZ11" s="1471">
        <f t="shared" si="26"/>
        <v>0</v>
      </c>
      <c r="BA11" s="1471">
        <f t="shared" si="26"/>
        <v>0</v>
      </c>
      <c r="BB11" s="1471">
        <f t="shared" si="26"/>
        <v>0</v>
      </c>
      <c r="BC11" s="2001">
        <f t="shared" si="26"/>
        <v>0</v>
      </c>
    </row>
    <row r="12" spans="2:55">
      <c r="B12" s="3281"/>
      <c r="C12" s="1611" t="s">
        <v>416</v>
      </c>
      <c r="D12" s="1470">
        <f t="shared" si="19"/>
        <v>0</v>
      </c>
      <c r="E12" s="1471">
        <f>+E77</f>
        <v>0</v>
      </c>
      <c r="F12" s="1471">
        <f t="shared" ref="F12:P12" si="27">+F77</f>
        <v>0</v>
      </c>
      <c r="G12" s="1471">
        <f t="shared" si="27"/>
        <v>0</v>
      </c>
      <c r="H12" s="1471">
        <f t="shared" si="27"/>
        <v>0</v>
      </c>
      <c r="I12" s="1471">
        <f t="shared" si="27"/>
        <v>0</v>
      </c>
      <c r="J12" s="1471">
        <f t="shared" si="27"/>
        <v>0</v>
      </c>
      <c r="K12" s="1471">
        <f t="shared" si="27"/>
        <v>0</v>
      </c>
      <c r="L12" s="1471">
        <f t="shared" si="27"/>
        <v>0</v>
      </c>
      <c r="M12" s="1471">
        <f t="shared" si="27"/>
        <v>0</v>
      </c>
      <c r="N12" s="1471">
        <f t="shared" si="27"/>
        <v>0</v>
      </c>
      <c r="O12" s="1471">
        <f t="shared" si="27"/>
        <v>0</v>
      </c>
      <c r="P12" s="1471">
        <f t="shared" si="27"/>
        <v>0</v>
      </c>
      <c r="Q12" s="1470">
        <f t="shared" si="21"/>
        <v>0</v>
      </c>
      <c r="R12" s="1471">
        <f t="shared" ref="R12:AC12" si="28">+R77</f>
        <v>0</v>
      </c>
      <c r="S12" s="1471">
        <f t="shared" si="28"/>
        <v>0</v>
      </c>
      <c r="T12" s="1471">
        <f t="shared" si="28"/>
        <v>0</v>
      </c>
      <c r="U12" s="1471">
        <f t="shared" si="28"/>
        <v>0</v>
      </c>
      <c r="V12" s="1471">
        <f t="shared" si="28"/>
        <v>0</v>
      </c>
      <c r="W12" s="1471">
        <f t="shared" si="28"/>
        <v>0</v>
      </c>
      <c r="X12" s="1471">
        <f t="shared" si="28"/>
        <v>0</v>
      </c>
      <c r="Y12" s="1471">
        <f t="shared" si="28"/>
        <v>0</v>
      </c>
      <c r="Z12" s="1471">
        <f t="shared" si="28"/>
        <v>0</v>
      </c>
      <c r="AA12" s="1471">
        <f t="shared" si="28"/>
        <v>0</v>
      </c>
      <c r="AB12" s="1471">
        <f t="shared" si="28"/>
        <v>0</v>
      </c>
      <c r="AC12" s="1612">
        <f t="shared" si="28"/>
        <v>0</v>
      </c>
      <c r="AD12" s="1470">
        <f t="shared" si="23"/>
        <v>0</v>
      </c>
      <c r="AE12" s="1471">
        <f t="shared" ref="AE12:AP12" si="29">+AE77</f>
        <v>0</v>
      </c>
      <c r="AF12" s="1471">
        <f t="shared" si="29"/>
        <v>0</v>
      </c>
      <c r="AG12" s="1471">
        <f t="shared" si="29"/>
        <v>0</v>
      </c>
      <c r="AH12" s="1471">
        <f t="shared" si="29"/>
        <v>0</v>
      </c>
      <c r="AI12" s="1471">
        <f t="shared" si="29"/>
        <v>0</v>
      </c>
      <c r="AJ12" s="1471">
        <f t="shared" si="29"/>
        <v>0</v>
      </c>
      <c r="AK12" s="1471">
        <f t="shared" si="29"/>
        <v>0</v>
      </c>
      <c r="AL12" s="1471">
        <f t="shared" si="29"/>
        <v>0</v>
      </c>
      <c r="AM12" s="1471">
        <f t="shared" si="29"/>
        <v>0</v>
      </c>
      <c r="AN12" s="1471">
        <f t="shared" si="29"/>
        <v>0</v>
      </c>
      <c r="AO12" s="1471">
        <f t="shared" si="29"/>
        <v>0</v>
      </c>
      <c r="AP12" s="2001">
        <f t="shared" si="29"/>
        <v>0</v>
      </c>
      <c r="AQ12" s="1470">
        <f t="shared" si="25"/>
        <v>0</v>
      </c>
      <c r="AR12" s="1471">
        <f t="shared" ref="AR12:BC12" si="30">+AR77</f>
        <v>0</v>
      </c>
      <c r="AS12" s="1471">
        <f t="shared" si="30"/>
        <v>0</v>
      </c>
      <c r="AT12" s="1471">
        <f t="shared" si="30"/>
        <v>0</v>
      </c>
      <c r="AU12" s="1471">
        <f t="shared" si="30"/>
        <v>0</v>
      </c>
      <c r="AV12" s="1471">
        <f t="shared" si="30"/>
        <v>0</v>
      </c>
      <c r="AW12" s="1471">
        <f t="shared" si="30"/>
        <v>0</v>
      </c>
      <c r="AX12" s="1471">
        <f t="shared" si="30"/>
        <v>0</v>
      </c>
      <c r="AY12" s="1471">
        <f t="shared" si="30"/>
        <v>0</v>
      </c>
      <c r="AZ12" s="1471">
        <f t="shared" si="30"/>
        <v>0</v>
      </c>
      <c r="BA12" s="1471">
        <f t="shared" si="30"/>
        <v>0</v>
      </c>
      <c r="BB12" s="1471">
        <f t="shared" si="30"/>
        <v>0</v>
      </c>
      <c r="BC12" s="2001">
        <f t="shared" si="30"/>
        <v>0</v>
      </c>
    </row>
    <row r="13" spans="2:55">
      <c r="B13" s="3281"/>
      <c r="C13" s="1611" t="s">
        <v>530</v>
      </c>
      <c r="D13" s="1470">
        <f t="shared" si="19"/>
        <v>0</v>
      </c>
      <c r="E13" s="1471"/>
      <c r="F13" s="1471"/>
      <c r="G13" s="1471"/>
      <c r="H13" s="1471"/>
      <c r="I13" s="1471"/>
      <c r="J13" s="1471"/>
      <c r="K13" s="1471"/>
      <c r="L13" s="1471"/>
      <c r="M13" s="1471"/>
      <c r="N13" s="1471"/>
      <c r="O13" s="1471"/>
      <c r="P13" s="1471"/>
      <c r="Q13" s="1470">
        <f t="shared" si="21"/>
        <v>3392.275944</v>
      </c>
      <c r="R13" s="1471">
        <f t="shared" ref="R13:AC13" si="31">R37+R99+R114+R189+R78</f>
        <v>39.372726999999998</v>
      </c>
      <c r="S13" s="1471">
        <f t="shared" si="31"/>
        <v>215.75265899999999</v>
      </c>
      <c r="T13" s="1471">
        <f t="shared" si="31"/>
        <v>61.535329999999995</v>
      </c>
      <c r="U13" s="1471">
        <f t="shared" si="31"/>
        <v>426.54704499999997</v>
      </c>
      <c r="V13" s="1471">
        <f t="shared" si="31"/>
        <v>166.40772600000003</v>
      </c>
      <c r="W13" s="1471">
        <f t="shared" si="31"/>
        <v>81.197386000000009</v>
      </c>
      <c r="X13" s="1471">
        <f t="shared" si="31"/>
        <v>158.00278699999998</v>
      </c>
      <c r="Y13" s="1471">
        <f t="shared" si="31"/>
        <v>252.05904500000003</v>
      </c>
      <c r="Z13" s="1471">
        <f t="shared" si="31"/>
        <v>462.36797200000001</v>
      </c>
      <c r="AA13" s="1471">
        <f t="shared" si="31"/>
        <v>354.18676399999998</v>
      </c>
      <c r="AB13" s="1471">
        <f t="shared" si="31"/>
        <v>646.10815200000002</v>
      </c>
      <c r="AC13" s="1612">
        <f t="shared" si="31"/>
        <v>528.73835099999997</v>
      </c>
      <c r="AD13" s="1470">
        <f t="shared" si="23"/>
        <v>3314.5778679999999</v>
      </c>
      <c r="AE13" s="1471">
        <f t="shared" ref="AE13:AP13" si="32">AE37+AE99+AE114+AE189+AE78+AE132+AE151+AE170</f>
        <v>403.13889400000005</v>
      </c>
      <c r="AF13" s="1471">
        <f t="shared" si="32"/>
        <v>779.63336800000002</v>
      </c>
      <c r="AG13" s="1471">
        <f t="shared" si="32"/>
        <v>87.665234999999996</v>
      </c>
      <c r="AH13" s="1471">
        <f t="shared" si="32"/>
        <v>234.74600900000002</v>
      </c>
      <c r="AI13" s="1471">
        <f t="shared" si="32"/>
        <v>137.503355</v>
      </c>
      <c r="AJ13" s="1471">
        <f t="shared" si="32"/>
        <v>236.17353199999997</v>
      </c>
      <c r="AK13" s="1471">
        <f t="shared" si="32"/>
        <v>256.02793600000001</v>
      </c>
      <c r="AL13" s="1471">
        <f t="shared" si="32"/>
        <v>85.627912000000009</v>
      </c>
      <c r="AM13" s="1471">
        <f t="shared" si="32"/>
        <v>370.956909</v>
      </c>
      <c r="AN13" s="1471">
        <f t="shared" si="32"/>
        <v>393.48022200000003</v>
      </c>
      <c r="AO13" s="1471">
        <f t="shared" si="32"/>
        <v>156.69422800000001</v>
      </c>
      <c r="AP13" s="2001">
        <f t="shared" si="32"/>
        <v>172.93026800000001</v>
      </c>
      <c r="AQ13" s="1470">
        <f t="shared" si="25"/>
        <v>3129.8454575000005</v>
      </c>
      <c r="AR13" s="1471">
        <f t="shared" ref="AR13:BC13" si="33">AR37+AR99+AR114+AR189+AR78+AR132+AR151+AR170</f>
        <v>253.56060583333331</v>
      </c>
      <c r="AS13" s="1471">
        <f t="shared" si="33"/>
        <v>282.13333533333332</v>
      </c>
      <c r="AT13" s="1471">
        <f t="shared" si="33"/>
        <v>252.3833328333333</v>
      </c>
      <c r="AU13" s="1471">
        <f t="shared" si="33"/>
        <v>258.92424233333332</v>
      </c>
      <c r="AV13" s="1471">
        <f t="shared" si="33"/>
        <v>259.05606083333333</v>
      </c>
      <c r="AW13" s="1471">
        <f t="shared" si="33"/>
        <v>269.4515153333333</v>
      </c>
      <c r="AX13" s="1471">
        <f t="shared" si="33"/>
        <v>259.05606083333333</v>
      </c>
      <c r="AY13" s="1471">
        <f t="shared" si="33"/>
        <v>259.05606083333333</v>
      </c>
      <c r="AZ13" s="1471">
        <f t="shared" si="33"/>
        <v>259.05606083333333</v>
      </c>
      <c r="BA13" s="1471">
        <f t="shared" si="33"/>
        <v>259.05606083333333</v>
      </c>
      <c r="BB13" s="1471">
        <f t="shared" si="33"/>
        <v>259.05606083333333</v>
      </c>
      <c r="BC13" s="2001">
        <f t="shared" si="33"/>
        <v>259.05606083333333</v>
      </c>
    </row>
    <row r="14" spans="2:55">
      <c r="B14" s="3281"/>
      <c r="C14" s="1611" t="s">
        <v>532</v>
      </c>
      <c r="D14" s="1470">
        <f t="shared" si="19"/>
        <v>346.63885000000005</v>
      </c>
      <c r="E14" s="1471">
        <f t="shared" ref="E14:P14" si="34">+E99+E37+E115</f>
        <v>29.537113999999999</v>
      </c>
      <c r="F14" s="1471">
        <f t="shared" si="34"/>
        <v>9.5788270000000004</v>
      </c>
      <c r="G14" s="1471">
        <f t="shared" si="34"/>
        <v>4.9108499999999999</v>
      </c>
      <c r="H14" s="1471">
        <f t="shared" si="34"/>
        <v>0</v>
      </c>
      <c r="I14" s="1471">
        <f t="shared" si="34"/>
        <v>1.418175</v>
      </c>
      <c r="J14" s="1471">
        <f t="shared" si="34"/>
        <v>23.383115</v>
      </c>
      <c r="K14" s="1471">
        <f t="shared" si="34"/>
        <v>2.9771000000000001</v>
      </c>
      <c r="L14" s="1471">
        <f t="shared" si="34"/>
        <v>25.729054999999999</v>
      </c>
      <c r="M14" s="1471">
        <f t="shared" si="34"/>
        <v>11.01545</v>
      </c>
      <c r="N14" s="1471">
        <f t="shared" si="34"/>
        <v>6.8844500000000002</v>
      </c>
      <c r="O14" s="1471">
        <f t="shared" si="34"/>
        <v>3.4658500000000001</v>
      </c>
      <c r="P14" s="1471">
        <f t="shared" si="34"/>
        <v>227.73886400000001</v>
      </c>
      <c r="Q14" s="1470">
        <f t="shared" si="21"/>
        <v>851.23545300000001</v>
      </c>
      <c r="R14" s="1471">
        <f t="shared" ref="R14:AC14" si="35">R115+R190+R38+R131</f>
        <v>30.983725</v>
      </c>
      <c r="S14" s="1471">
        <f t="shared" si="35"/>
        <v>29.230449999999998</v>
      </c>
      <c r="T14" s="1471">
        <f t="shared" si="35"/>
        <v>52.114007000000001</v>
      </c>
      <c r="U14" s="1471">
        <f t="shared" si="35"/>
        <v>342.32403699999998</v>
      </c>
      <c r="V14" s="1471">
        <f t="shared" si="35"/>
        <v>51.590316000000001</v>
      </c>
      <c r="W14" s="1471">
        <f t="shared" si="35"/>
        <v>43.800854999999999</v>
      </c>
      <c r="X14" s="1471">
        <f t="shared" si="35"/>
        <v>50.856299999999997</v>
      </c>
      <c r="Y14" s="1471">
        <f t="shared" si="35"/>
        <v>47.788914000000005</v>
      </c>
      <c r="Z14" s="1471">
        <f t="shared" si="35"/>
        <v>38.740226999999997</v>
      </c>
      <c r="AA14" s="1471">
        <f t="shared" si="35"/>
        <v>69.382514</v>
      </c>
      <c r="AB14" s="1471">
        <f t="shared" si="35"/>
        <v>46.223229000000003</v>
      </c>
      <c r="AC14" s="1612">
        <f t="shared" si="35"/>
        <v>48.200879</v>
      </c>
      <c r="AD14" s="1470">
        <f t="shared" si="23"/>
        <v>1328.0080060000003</v>
      </c>
      <c r="AE14" s="1471">
        <f t="shared" ref="AE14:AP14" si="36">AE115+AE190+AE38+AE131+AE79+AE150</f>
        <v>63.452649999999998</v>
      </c>
      <c r="AF14" s="1471">
        <f t="shared" si="36"/>
        <v>49.267549000000002</v>
      </c>
      <c r="AG14" s="1471">
        <f t="shared" si="36"/>
        <v>56.644008999999997</v>
      </c>
      <c r="AH14" s="1471">
        <f t="shared" si="36"/>
        <v>327.99641499999996</v>
      </c>
      <c r="AI14" s="1471">
        <f t="shared" si="36"/>
        <v>50.038884999999993</v>
      </c>
      <c r="AJ14" s="1471">
        <f t="shared" si="36"/>
        <v>44.857032000000004</v>
      </c>
      <c r="AK14" s="1471">
        <f t="shared" si="36"/>
        <v>220.23349899999999</v>
      </c>
      <c r="AL14" s="1471">
        <f t="shared" si="36"/>
        <v>91.126010000000008</v>
      </c>
      <c r="AM14" s="1471">
        <f t="shared" si="36"/>
        <v>105.206845</v>
      </c>
      <c r="AN14" s="1471">
        <f t="shared" si="36"/>
        <v>144.13271500000002</v>
      </c>
      <c r="AO14" s="1471">
        <f t="shared" si="36"/>
        <v>87.244427000000002</v>
      </c>
      <c r="AP14" s="2001">
        <f t="shared" si="36"/>
        <v>87.807969999999997</v>
      </c>
      <c r="AQ14" s="1470">
        <f t="shared" si="25"/>
        <v>1094.603398</v>
      </c>
      <c r="AR14" s="1471">
        <f t="shared" ref="AR14:BC14" si="37">AR115+AR190+AR38+AR131+AR79+AR150</f>
        <v>59.646197000000001</v>
      </c>
      <c r="AS14" s="1471">
        <f t="shared" si="37"/>
        <v>60.466197000000001</v>
      </c>
      <c r="AT14" s="1471">
        <f t="shared" si="37"/>
        <v>60.366197</v>
      </c>
      <c r="AU14" s="1471">
        <f t="shared" si="37"/>
        <v>265.49742300000003</v>
      </c>
      <c r="AV14" s="1471">
        <f t="shared" si="37"/>
        <v>60.186197</v>
      </c>
      <c r="AW14" s="1471">
        <f t="shared" si="37"/>
        <v>60.186197</v>
      </c>
      <c r="AX14" s="1471">
        <f t="shared" si="37"/>
        <v>127.83000500000001</v>
      </c>
      <c r="AY14" s="1471">
        <f t="shared" si="37"/>
        <v>79.986197000000004</v>
      </c>
      <c r="AZ14" s="1471">
        <f t="shared" si="37"/>
        <v>80.786197000000001</v>
      </c>
      <c r="BA14" s="1471">
        <f t="shared" si="37"/>
        <v>79.786197000000001</v>
      </c>
      <c r="BB14" s="1471">
        <f t="shared" si="37"/>
        <v>79.686196999999993</v>
      </c>
      <c r="BC14" s="2001">
        <f t="shared" si="37"/>
        <v>80.180197000000007</v>
      </c>
    </row>
    <row r="15" spans="2:55">
      <c r="B15" s="3279" t="s">
        <v>444</v>
      </c>
      <c r="C15" s="3280"/>
      <c r="D15" s="1469">
        <f>SUM(E15:P15)</f>
        <v>25720.346262999999</v>
      </c>
      <c r="E15" s="1469">
        <f t="shared" ref="E15:P15" si="38">SUM(E16:E25)</f>
        <v>1893.6234739999998</v>
      </c>
      <c r="F15" s="1469">
        <f t="shared" si="38"/>
        <v>1966.0719509999999</v>
      </c>
      <c r="G15" s="1469">
        <f t="shared" si="38"/>
        <v>606.72772199999997</v>
      </c>
      <c r="H15" s="1469">
        <f t="shared" si="38"/>
        <v>2353.2381559999999</v>
      </c>
      <c r="I15" s="1469">
        <f t="shared" si="38"/>
        <v>4257.1110189999999</v>
      </c>
      <c r="J15" s="1469">
        <f t="shared" si="38"/>
        <v>927.02829899999995</v>
      </c>
      <c r="K15" s="1469">
        <f t="shared" si="38"/>
        <v>639.94944999999996</v>
      </c>
      <c r="L15" s="1469">
        <f t="shared" si="38"/>
        <v>2156.2549049999998</v>
      </c>
      <c r="M15" s="1469">
        <f t="shared" si="38"/>
        <v>3372.6256620000004</v>
      </c>
      <c r="N15" s="1469">
        <f t="shared" si="38"/>
        <v>2665.5336039999993</v>
      </c>
      <c r="O15" s="1469">
        <f t="shared" si="38"/>
        <v>1388.2607989999999</v>
      </c>
      <c r="P15" s="1469">
        <f t="shared" si="38"/>
        <v>3493.9212219999999</v>
      </c>
      <c r="Q15" s="1469">
        <f>SUM(R15:AC15)</f>
        <v>38110.867385999998</v>
      </c>
      <c r="R15" s="1469">
        <f>SUM(R16:R26)</f>
        <v>603.09050300000013</v>
      </c>
      <c r="S15" s="1469">
        <f t="shared" ref="S15:AC15" si="39">SUM(S16:S26)</f>
        <v>2194.329166</v>
      </c>
      <c r="T15" s="1469">
        <f t="shared" si="39"/>
        <v>2878.3150469999996</v>
      </c>
      <c r="U15" s="1469">
        <f t="shared" si="39"/>
        <v>4898.4774739999993</v>
      </c>
      <c r="V15" s="1469">
        <f t="shared" si="39"/>
        <v>2390.8274919999994</v>
      </c>
      <c r="W15" s="1469">
        <f t="shared" si="39"/>
        <v>808.35237100000006</v>
      </c>
      <c r="X15" s="1469">
        <f t="shared" si="39"/>
        <v>2377.9330439999994</v>
      </c>
      <c r="Y15" s="1469">
        <f t="shared" si="39"/>
        <v>4796.6975759999996</v>
      </c>
      <c r="Z15" s="1469">
        <f t="shared" si="39"/>
        <v>4739.4271909999998</v>
      </c>
      <c r="AA15" s="1469">
        <f t="shared" si="39"/>
        <v>6057.3566319999991</v>
      </c>
      <c r="AB15" s="1469">
        <f t="shared" si="39"/>
        <v>3650.9635840000005</v>
      </c>
      <c r="AC15" s="1469">
        <f t="shared" si="39"/>
        <v>2715.0973060000051</v>
      </c>
      <c r="AD15" s="1469">
        <f>SUM(AE15:AP15)</f>
        <v>50063.576749</v>
      </c>
      <c r="AE15" s="1469">
        <f>SUM(AE16:AE26)</f>
        <v>2605.2796859999999</v>
      </c>
      <c r="AF15" s="1469">
        <f t="shared" ref="AF15:AP15" si="40">SUM(AF16:AF26)</f>
        <v>5146.7211799999995</v>
      </c>
      <c r="AG15" s="1469">
        <f t="shared" si="40"/>
        <v>4813.3077640000001</v>
      </c>
      <c r="AH15" s="1469">
        <f t="shared" si="40"/>
        <v>3116.9964519999999</v>
      </c>
      <c r="AI15" s="1469">
        <f t="shared" si="40"/>
        <v>4056.1437980000001</v>
      </c>
      <c r="AJ15" s="1469">
        <f t="shared" si="40"/>
        <v>4142.735463</v>
      </c>
      <c r="AK15" s="1469">
        <f t="shared" si="40"/>
        <v>5285.1131220000007</v>
      </c>
      <c r="AL15" s="1469">
        <f t="shared" si="40"/>
        <v>5295.4982360000004</v>
      </c>
      <c r="AM15" s="1469">
        <f t="shared" si="40"/>
        <v>5060.0635939999993</v>
      </c>
      <c r="AN15" s="1469">
        <f t="shared" si="40"/>
        <v>4033.4046700000004</v>
      </c>
      <c r="AO15" s="1469">
        <f t="shared" si="40"/>
        <v>4260.5633330000001</v>
      </c>
      <c r="AP15" s="2000">
        <f t="shared" si="40"/>
        <v>2247.7494509999997</v>
      </c>
      <c r="AQ15" s="1469">
        <f>SUM(AR15:BC15)</f>
        <v>52746.530272472985</v>
      </c>
      <c r="AR15" s="1469">
        <f>SUM(AR16:AR26)</f>
        <v>3090.1862602437168</v>
      </c>
      <c r="AS15" s="1469">
        <f t="shared" ref="AS15:BC15" si="41">SUM(AS16:AS26)</f>
        <v>5267.8105995873457</v>
      </c>
      <c r="AT15" s="1469">
        <f t="shared" si="41"/>
        <v>5605.0266209254787</v>
      </c>
      <c r="AU15" s="1469">
        <f t="shared" si="41"/>
        <v>3985.6664348290533</v>
      </c>
      <c r="AV15" s="1469">
        <f t="shared" si="41"/>
        <v>5370.4657351513579</v>
      </c>
      <c r="AW15" s="1469">
        <f t="shared" si="41"/>
        <v>5230.080444931421</v>
      </c>
      <c r="AX15" s="1469">
        <f t="shared" si="41"/>
        <v>4037.3933699639301</v>
      </c>
      <c r="AY15" s="1469">
        <f t="shared" si="41"/>
        <v>4028.1565785597195</v>
      </c>
      <c r="AZ15" s="1469">
        <f t="shared" si="41"/>
        <v>4028.1565785597195</v>
      </c>
      <c r="BA15" s="1469">
        <f t="shared" si="41"/>
        <v>4036.4065785597195</v>
      </c>
      <c r="BB15" s="1469">
        <f t="shared" si="41"/>
        <v>4038.0244926018095</v>
      </c>
      <c r="BC15" s="2000">
        <f t="shared" si="41"/>
        <v>4029.1565785597222</v>
      </c>
    </row>
    <row r="16" spans="2:55">
      <c r="B16" s="3281"/>
      <c r="C16" s="1613" t="s">
        <v>514</v>
      </c>
      <c r="D16" s="1470">
        <f t="shared" ref="D16:D26" si="42">SUM(E16:P16)</f>
        <v>7657.3433850000001</v>
      </c>
      <c r="E16" s="1471">
        <f t="shared" ref="E16:P16" si="43">+E101+E118+E41+E62</f>
        <v>61.717402</v>
      </c>
      <c r="F16" s="1471">
        <f t="shared" si="43"/>
        <v>36.353967999999995</v>
      </c>
      <c r="G16" s="1471">
        <f t="shared" si="43"/>
        <v>52.163437999999999</v>
      </c>
      <c r="H16" s="1471">
        <f t="shared" si="43"/>
        <v>94.362283999999988</v>
      </c>
      <c r="I16" s="1471">
        <f t="shared" si="43"/>
        <v>517.254366</v>
      </c>
      <c r="J16" s="1471">
        <f t="shared" si="43"/>
        <v>615.46439599999997</v>
      </c>
      <c r="K16" s="1471">
        <f t="shared" si="43"/>
        <v>479.665978</v>
      </c>
      <c r="L16" s="1471">
        <f t="shared" si="43"/>
        <v>1873.3260270000001</v>
      </c>
      <c r="M16" s="1471">
        <f t="shared" si="43"/>
        <v>597.26337799999999</v>
      </c>
      <c r="N16" s="1471">
        <f t="shared" si="43"/>
        <v>1659.4008549999999</v>
      </c>
      <c r="O16" s="1471">
        <f t="shared" si="43"/>
        <v>1114.79483</v>
      </c>
      <c r="P16" s="1471">
        <f t="shared" si="43"/>
        <v>555.57646299999999</v>
      </c>
      <c r="Q16" s="1470">
        <f t="shared" ref="Q16:Q26" si="44">SUM(R16:AC16)</f>
        <v>16790.111805</v>
      </c>
      <c r="R16" s="1471">
        <f t="shared" ref="R16:AC16" si="45">+R101+R118+R41+R62</f>
        <v>252.8409</v>
      </c>
      <c r="S16" s="1471">
        <f t="shared" si="45"/>
        <v>216.25922699999998</v>
      </c>
      <c r="T16" s="1471">
        <f t="shared" si="45"/>
        <v>749.90263600000003</v>
      </c>
      <c r="U16" s="1471">
        <f t="shared" si="45"/>
        <v>998.66772700000001</v>
      </c>
      <c r="V16" s="1471">
        <f t="shared" si="45"/>
        <v>1621.5649819999999</v>
      </c>
      <c r="W16" s="1471">
        <f t="shared" si="45"/>
        <v>210.36725000000001</v>
      </c>
      <c r="X16" s="1471">
        <f t="shared" si="45"/>
        <v>1029.6501619999999</v>
      </c>
      <c r="Y16" s="1471">
        <f t="shared" si="45"/>
        <v>2241.4456169999999</v>
      </c>
      <c r="Z16" s="1471">
        <f t="shared" si="45"/>
        <v>2436.320201</v>
      </c>
      <c r="AA16" s="1471">
        <f t="shared" si="45"/>
        <v>3270.0937260000001</v>
      </c>
      <c r="AB16" s="1471">
        <f t="shared" si="45"/>
        <v>2566.0614650000002</v>
      </c>
      <c r="AC16" s="1612">
        <f t="shared" si="45"/>
        <v>1196.9379119999999</v>
      </c>
      <c r="AD16" s="1470">
        <f t="shared" ref="AD16:AD26" si="46">SUM(AE16:AP16)</f>
        <v>12452.674845999998</v>
      </c>
      <c r="AE16" s="1471">
        <f t="shared" ref="AE16:AO16" si="47">+AE101+AE118+AE41+AE62+AE178+AE154+AE135</f>
        <v>1392.4858389999999</v>
      </c>
      <c r="AF16" s="1471">
        <f t="shared" si="47"/>
        <v>1600.482651</v>
      </c>
      <c r="AG16" s="1471">
        <f t="shared" si="47"/>
        <v>1122.86751</v>
      </c>
      <c r="AH16" s="1471">
        <f t="shared" si="47"/>
        <v>1022.9015499999999</v>
      </c>
      <c r="AI16" s="1471">
        <f t="shared" si="47"/>
        <v>591.36363099999994</v>
      </c>
      <c r="AJ16" s="1471">
        <f t="shared" si="47"/>
        <v>834.74849800000004</v>
      </c>
      <c r="AK16" s="1471">
        <f t="shared" si="47"/>
        <v>1216.3579749999999</v>
      </c>
      <c r="AL16" s="1471">
        <f t="shared" si="47"/>
        <v>1124.4355</v>
      </c>
      <c r="AM16" s="1471">
        <f t="shared" si="47"/>
        <v>1356.9860999999999</v>
      </c>
      <c r="AN16" s="1471">
        <f t="shared" si="47"/>
        <v>713.48596299999997</v>
      </c>
      <c r="AO16" s="1471">
        <f t="shared" si="47"/>
        <v>1101.6575710000002</v>
      </c>
      <c r="AP16" s="2001">
        <f>+AP101+AP118+AP41+AP62+AP178+AP154+AP135</f>
        <v>374.90205800000001</v>
      </c>
      <c r="AQ16" s="1470">
        <f t="shared" ref="AQ16:AQ26" si="48">SUM(AR16:BC16)</f>
        <v>15825.417553609479</v>
      </c>
      <c r="AR16" s="1471">
        <f t="shared" ref="AR16:BC16" si="49">+AR101+AR118+AR41+AR62+AR178</f>
        <v>1318.7847961341236</v>
      </c>
      <c r="AS16" s="1471">
        <f t="shared" si="49"/>
        <v>1318.7847961341236</v>
      </c>
      <c r="AT16" s="1471">
        <f t="shared" si="49"/>
        <v>1318.7847961341236</v>
      </c>
      <c r="AU16" s="1471">
        <f t="shared" si="49"/>
        <v>1318.7847961341236</v>
      </c>
      <c r="AV16" s="1471">
        <f t="shared" si="49"/>
        <v>1318.7847961341236</v>
      </c>
      <c r="AW16" s="1471">
        <f t="shared" si="49"/>
        <v>1318.7847961341236</v>
      </c>
      <c r="AX16" s="1471">
        <f t="shared" si="49"/>
        <v>1318.7847961341236</v>
      </c>
      <c r="AY16" s="1471">
        <f t="shared" si="49"/>
        <v>1318.7847961341236</v>
      </c>
      <c r="AZ16" s="1471">
        <f t="shared" si="49"/>
        <v>1318.7847961341236</v>
      </c>
      <c r="BA16" s="1471">
        <f t="shared" si="49"/>
        <v>1318.7847961341236</v>
      </c>
      <c r="BB16" s="1471">
        <f t="shared" si="49"/>
        <v>1318.7847961341236</v>
      </c>
      <c r="BC16" s="2001">
        <f t="shared" si="49"/>
        <v>1318.7847961341236</v>
      </c>
    </row>
    <row r="17" spans="2:55">
      <c r="B17" s="3281"/>
      <c r="C17" s="1613" t="s">
        <v>445</v>
      </c>
      <c r="D17" s="1470">
        <f t="shared" si="42"/>
        <v>15944.825034000001</v>
      </c>
      <c r="E17" s="1471">
        <f t="shared" ref="E17:P17" si="50">+E81</f>
        <v>1685.197604</v>
      </c>
      <c r="F17" s="1471">
        <f t="shared" si="50"/>
        <v>1804.4112</v>
      </c>
      <c r="G17" s="1471">
        <f t="shared" si="50"/>
        <v>436.08</v>
      </c>
      <c r="H17" s="1471">
        <f t="shared" si="50"/>
        <v>2163.6642000000002</v>
      </c>
      <c r="I17" s="1471">
        <f t="shared" si="50"/>
        <v>3641.2754810000001</v>
      </c>
      <c r="J17" s="1471">
        <f t="shared" si="50"/>
        <v>0</v>
      </c>
      <c r="K17" s="1471">
        <f t="shared" si="50"/>
        <v>0</v>
      </c>
      <c r="L17" s="1471">
        <f t="shared" si="50"/>
        <v>0</v>
      </c>
      <c r="M17" s="1471">
        <f t="shared" si="50"/>
        <v>2631.7617150000001</v>
      </c>
      <c r="N17" s="1471">
        <f t="shared" si="50"/>
        <v>805.68035399999997</v>
      </c>
      <c r="O17" s="1471">
        <f t="shared" si="50"/>
        <v>0</v>
      </c>
      <c r="P17" s="1471">
        <f t="shared" si="50"/>
        <v>2776.7544800000001</v>
      </c>
      <c r="Q17" s="1470">
        <f t="shared" si="44"/>
        <v>14214.150187999998</v>
      </c>
      <c r="R17" s="1471">
        <f t="shared" ref="R17:V17" si="51">+R81</f>
        <v>0</v>
      </c>
      <c r="S17" s="1471">
        <f t="shared" si="51"/>
        <v>1230.9180710000001</v>
      </c>
      <c r="T17" s="1471">
        <f t="shared" si="51"/>
        <v>1725.672593</v>
      </c>
      <c r="U17" s="1471">
        <f t="shared" si="51"/>
        <v>3184.385636</v>
      </c>
      <c r="V17" s="1471">
        <f t="shared" si="51"/>
        <v>537.24320799999998</v>
      </c>
      <c r="W17" s="1471">
        <f t="shared" ref="W17" si="52">+W81</f>
        <v>248.78252499999999</v>
      </c>
      <c r="X17" s="1471">
        <f t="shared" ref="X17:AC17" si="53">+X81</f>
        <v>0</v>
      </c>
      <c r="Y17" s="1471">
        <f t="shared" si="53"/>
        <v>1905.7166580000001</v>
      </c>
      <c r="Z17" s="1471">
        <f t="shared" si="53"/>
        <v>1853.8194470000001</v>
      </c>
      <c r="AA17" s="1471">
        <f t="shared" si="53"/>
        <v>2140.1070199999999</v>
      </c>
      <c r="AB17" s="1471">
        <f t="shared" si="53"/>
        <v>670.94870600000002</v>
      </c>
      <c r="AC17" s="1612">
        <f t="shared" si="53"/>
        <v>716.55632400000002</v>
      </c>
      <c r="AD17" s="1470">
        <f t="shared" si="46"/>
        <v>29895.506448</v>
      </c>
      <c r="AE17" s="1471">
        <f t="shared" ref="AE17:AP17" si="54">+AE81</f>
        <v>550.27942499999995</v>
      </c>
      <c r="AF17" s="1471">
        <f t="shared" si="54"/>
        <v>2697.3936119999998</v>
      </c>
      <c r="AG17" s="1471">
        <f t="shared" si="54"/>
        <v>3045.5870110000001</v>
      </c>
      <c r="AH17" s="1471">
        <f t="shared" si="54"/>
        <v>1431.7537150000001</v>
      </c>
      <c r="AI17" s="1471">
        <f t="shared" si="54"/>
        <v>2863.4656439999999</v>
      </c>
      <c r="AJ17" s="1471">
        <f t="shared" si="54"/>
        <v>2716.6419970000002</v>
      </c>
      <c r="AK17" s="1471">
        <f t="shared" si="54"/>
        <v>3232.9833840000001</v>
      </c>
      <c r="AL17" s="1471">
        <f t="shared" si="54"/>
        <v>3545.8783090000002</v>
      </c>
      <c r="AM17" s="1471">
        <f t="shared" si="54"/>
        <v>3134.2299600000001</v>
      </c>
      <c r="AN17" s="1471">
        <f t="shared" si="54"/>
        <v>2659.2027250000001</v>
      </c>
      <c r="AO17" s="1471">
        <f t="shared" si="54"/>
        <v>2726.9857059999999</v>
      </c>
      <c r="AP17" s="2001">
        <f t="shared" si="54"/>
        <v>1291.1049599999999</v>
      </c>
      <c r="AQ17" s="1470">
        <f t="shared" si="48"/>
        <v>29985.036111499998</v>
      </c>
      <c r="AR17" s="1471">
        <f t="shared" ref="AR17:BC17" si="55">+AR81</f>
        <v>1198.3966270862725</v>
      </c>
      <c r="AS17" s="1471">
        <f t="shared" si="55"/>
        <v>3328.1504506725537</v>
      </c>
      <c r="AT17" s="1471">
        <f t="shared" si="55"/>
        <v>3666.7447038079845</v>
      </c>
      <c r="AU17" s="1471">
        <f t="shared" si="55"/>
        <v>2074.2278794892927</v>
      </c>
      <c r="AV17" s="1471">
        <f t="shared" si="55"/>
        <v>3487.0289043296352</v>
      </c>
      <c r="AW17" s="1471">
        <f t="shared" si="55"/>
        <v>3342.1445915354543</v>
      </c>
      <c r="AX17" s="1471">
        <f t="shared" si="55"/>
        <v>2147.401499592962</v>
      </c>
      <c r="AY17" s="1471">
        <f t="shared" si="55"/>
        <v>2146.4147081887513</v>
      </c>
      <c r="AZ17" s="1471">
        <f t="shared" si="55"/>
        <v>2146.4147081887513</v>
      </c>
      <c r="BA17" s="1471">
        <f t="shared" si="55"/>
        <v>2146.4147081887513</v>
      </c>
      <c r="BB17" s="1471">
        <f t="shared" si="55"/>
        <v>2156.2826222308408</v>
      </c>
      <c r="BC17" s="2001">
        <f t="shared" si="55"/>
        <v>2145.4147081887536</v>
      </c>
    </row>
    <row r="18" spans="2:55">
      <c r="B18" s="3281"/>
      <c r="C18" s="1613" t="s">
        <v>418</v>
      </c>
      <c r="D18" s="1470">
        <f t="shared" si="42"/>
        <v>45.616850000000007</v>
      </c>
      <c r="E18" s="1471">
        <f t="shared" ref="E18:P18" si="56">+E102+E42+E63</f>
        <v>25.718829000000003</v>
      </c>
      <c r="F18" s="1471">
        <f t="shared" si="56"/>
        <v>13.61589</v>
      </c>
      <c r="G18" s="1471">
        <f t="shared" si="56"/>
        <v>6.2821309999999997</v>
      </c>
      <c r="H18" s="1471">
        <f t="shared" si="56"/>
        <v>0</v>
      </c>
      <c r="I18" s="1471">
        <f t="shared" si="56"/>
        <v>0</v>
      </c>
      <c r="J18" s="1471">
        <f t="shared" si="56"/>
        <v>0</v>
      </c>
      <c r="K18" s="1471">
        <f t="shared" si="56"/>
        <v>0</v>
      </c>
      <c r="L18" s="1471">
        <f t="shared" si="56"/>
        <v>0</v>
      </c>
      <c r="M18" s="1471">
        <f t="shared" si="56"/>
        <v>0</v>
      </c>
      <c r="N18" s="1471">
        <f t="shared" si="56"/>
        <v>0</v>
      </c>
      <c r="O18" s="1471">
        <f t="shared" si="56"/>
        <v>0</v>
      </c>
      <c r="P18" s="1471">
        <f t="shared" si="56"/>
        <v>0</v>
      </c>
      <c r="Q18" s="1470">
        <f t="shared" si="44"/>
        <v>1080.6173260000137</v>
      </c>
      <c r="R18" s="1471">
        <f t="shared" ref="R18:AC18" si="57">+R102+R42+R63+R192</f>
        <v>103.883219</v>
      </c>
      <c r="S18" s="1471">
        <f t="shared" si="57"/>
        <v>76.235184000000004</v>
      </c>
      <c r="T18" s="1471">
        <f t="shared" si="57"/>
        <v>132.457041</v>
      </c>
      <c r="U18" s="1471">
        <f t="shared" si="57"/>
        <v>79.748802000000012</v>
      </c>
      <c r="V18" s="1471">
        <f t="shared" si="57"/>
        <v>71.233840000000001</v>
      </c>
      <c r="W18" s="1471">
        <f t="shared" si="57"/>
        <v>75.768398000000005</v>
      </c>
      <c r="X18" s="1471">
        <f t="shared" si="57"/>
        <v>110.158502</v>
      </c>
      <c r="Y18" s="1471">
        <f t="shared" si="57"/>
        <v>75.679218000000006</v>
      </c>
      <c r="Z18" s="1471">
        <f t="shared" si="57"/>
        <v>91.013060999999993</v>
      </c>
      <c r="AA18" s="1471">
        <f t="shared" si="57"/>
        <v>92.956863999999996</v>
      </c>
      <c r="AB18" s="1471">
        <f t="shared" si="57"/>
        <v>73.858534000000006</v>
      </c>
      <c r="AC18" s="1612">
        <f t="shared" si="57"/>
        <v>97.624663000013598</v>
      </c>
      <c r="AD18" s="1470">
        <f t="shared" si="46"/>
        <v>1492.2124379999998</v>
      </c>
      <c r="AE18" s="1471">
        <f t="shared" ref="AE18:AP18" si="58">+AE102+AE42+AE63+AE192+AE119+AE140+AE155+AE174+AE82</f>
        <v>138.82435600000002</v>
      </c>
      <c r="AF18" s="1471">
        <f t="shared" si="58"/>
        <v>102.92909400000001</v>
      </c>
      <c r="AG18" s="1471">
        <f t="shared" si="58"/>
        <v>209.83563800000002</v>
      </c>
      <c r="AH18" s="1471">
        <f t="shared" si="58"/>
        <v>111.383112</v>
      </c>
      <c r="AI18" s="1471">
        <f t="shared" si="58"/>
        <v>98.552649000000002</v>
      </c>
      <c r="AJ18" s="1471">
        <f t="shared" si="58"/>
        <v>107.745441</v>
      </c>
      <c r="AK18" s="1471">
        <f t="shared" si="58"/>
        <v>146.357283</v>
      </c>
      <c r="AL18" s="1471">
        <f t="shared" si="58"/>
        <v>95.551669000000004</v>
      </c>
      <c r="AM18" s="1471">
        <f t="shared" si="58"/>
        <v>128.414646</v>
      </c>
      <c r="AN18" s="1471">
        <f t="shared" si="58"/>
        <v>131.126002</v>
      </c>
      <c r="AO18" s="1471">
        <f t="shared" si="58"/>
        <v>107.33620800000001</v>
      </c>
      <c r="AP18" s="2001">
        <f t="shared" si="58"/>
        <v>114.15634</v>
      </c>
      <c r="AQ18" s="1470">
        <f t="shared" si="48"/>
        <v>1722.2871263224745</v>
      </c>
      <c r="AR18" s="1471">
        <f t="shared" ref="AR18:BC18" si="59">+AR102+AR42+AR63+AR192+AR119+AR140+AR155+AR174+AR82</f>
        <v>152.55728831049657</v>
      </c>
      <c r="AS18" s="1471">
        <f t="shared" si="59"/>
        <v>144.10809728059962</v>
      </c>
      <c r="AT18" s="1471">
        <f t="shared" si="59"/>
        <v>172.13645086165207</v>
      </c>
      <c r="AU18" s="1471">
        <f t="shared" si="59"/>
        <v>144.96474080399372</v>
      </c>
      <c r="AV18" s="1471">
        <f t="shared" si="59"/>
        <v>143.41950002416596</v>
      </c>
      <c r="AW18" s="1471">
        <f t="shared" si="59"/>
        <v>137.87157843450956</v>
      </c>
      <c r="AX18" s="1471">
        <f t="shared" si="59"/>
        <v>137.87157843450956</v>
      </c>
      <c r="AY18" s="1471">
        <f t="shared" si="59"/>
        <v>137.87157843450956</v>
      </c>
      <c r="AZ18" s="1471">
        <f t="shared" si="59"/>
        <v>137.87157843450956</v>
      </c>
      <c r="BA18" s="1471">
        <f t="shared" si="59"/>
        <v>137.87157843450956</v>
      </c>
      <c r="BB18" s="1471">
        <f t="shared" si="59"/>
        <v>137.87157843450956</v>
      </c>
      <c r="BC18" s="2001">
        <f t="shared" si="59"/>
        <v>137.87157843450956</v>
      </c>
    </row>
    <row r="19" spans="2:55">
      <c r="B19" s="3281"/>
      <c r="C19" s="1613" t="s">
        <v>77</v>
      </c>
      <c r="D19" s="1470">
        <f t="shared" si="42"/>
        <v>21.993361000000007</v>
      </c>
      <c r="E19" s="1471">
        <f t="shared" ref="E19:P19" si="60">+E103</f>
        <v>12.01191</v>
      </c>
      <c r="F19" s="1471">
        <f t="shared" si="60"/>
        <v>2.911451</v>
      </c>
      <c r="G19" s="1471">
        <f t="shared" si="60"/>
        <v>0.48</v>
      </c>
      <c r="H19" s="1471">
        <f t="shared" si="60"/>
        <v>0.48</v>
      </c>
      <c r="I19" s="1471">
        <f t="shared" si="60"/>
        <v>0.51</v>
      </c>
      <c r="J19" s="1471">
        <f t="shared" si="60"/>
        <v>0.91</v>
      </c>
      <c r="K19" s="1471">
        <f t="shared" si="60"/>
        <v>0.8</v>
      </c>
      <c r="L19" s="1471">
        <f t="shared" si="60"/>
        <v>0.8</v>
      </c>
      <c r="M19" s="1471">
        <f t="shared" si="60"/>
        <v>0.8</v>
      </c>
      <c r="N19" s="1471">
        <f t="shared" si="60"/>
        <v>0.64</v>
      </c>
      <c r="O19" s="1471">
        <f t="shared" si="60"/>
        <v>0.56999999999999995</v>
      </c>
      <c r="P19" s="1471">
        <f t="shared" si="60"/>
        <v>1.08</v>
      </c>
      <c r="Q19" s="1470">
        <f t="shared" si="44"/>
        <v>67.479812999991182</v>
      </c>
      <c r="R19" s="1471">
        <f t="shared" ref="R19:AC19" si="61">+R103+R193+R85+R139+R43+R159</f>
        <v>0.32</v>
      </c>
      <c r="S19" s="1471">
        <f t="shared" si="61"/>
        <v>0.32</v>
      </c>
      <c r="T19" s="1471">
        <f t="shared" si="61"/>
        <v>5.4901090000000003</v>
      </c>
      <c r="U19" s="1471">
        <f t="shared" si="61"/>
        <v>6.3734789999999997</v>
      </c>
      <c r="V19" s="1471">
        <f t="shared" si="61"/>
        <v>1.124433</v>
      </c>
      <c r="W19" s="1471">
        <f t="shared" si="61"/>
        <v>7.38598</v>
      </c>
      <c r="X19" s="1471">
        <f t="shared" si="61"/>
        <v>7.5907699999999991</v>
      </c>
      <c r="Y19" s="1471">
        <f t="shared" si="61"/>
        <v>7.9008300000000009</v>
      </c>
      <c r="Z19" s="1471">
        <f t="shared" si="61"/>
        <v>7.9914199999999997</v>
      </c>
      <c r="AA19" s="1471">
        <f t="shared" si="61"/>
        <v>7.7090399999999999</v>
      </c>
      <c r="AB19" s="1471">
        <f t="shared" si="61"/>
        <v>7.5823099999999997</v>
      </c>
      <c r="AC19" s="1612">
        <f t="shared" si="61"/>
        <v>7.6914419999911789</v>
      </c>
      <c r="AD19" s="1470">
        <f t="shared" si="46"/>
        <v>166.21045799999999</v>
      </c>
      <c r="AE19" s="1471">
        <f t="shared" ref="AE19:AP19" si="62">+AE103+AE193+AE85+AE139+AE43+AE159+AE175</f>
        <v>8.3630899999999997</v>
      </c>
      <c r="AF19" s="1471">
        <f t="shared" si="62"/>
        <v>8.5061900000000001</v>
      </c>
      <c r="AG19" s="1471">
        <f t="shared" si="62"/>
        <v>8.8135799999999982</v>
      </c>
      <c r="AH19" s="1471">
        <f t="shared" si="62"/>
        <v>7.9432219999999996</v>
      </c>
      <c r="AI19" s="1471">
        <f t="shared" si="62"/>
        <v>12.83286</v>
      </c>
      <c r="AJ19" s="1471">
        <f t="shared" si="62"/>
        <v>14.801856000000001</v>
      </c>
      <c r="AK19" s="1471">
        <f t="shared" si="62"/>
        <v>17.23789</v>
      </c>
      <c r="AL19" s="1471">
        <f t="shared" si="62"/>
        <v>17.515500000000003</v>
      </c>
      <c r="AM19" s="1471">
        <f t="shared" si="62"/>
        <v>18.743369999999999</v>
      </c>
      <c r="AN19" s="1471">
        <f t="shared" si="62"/>
        <v>17.45269</v>
      </c>
      <c r="AO19" s="1471">
        <f t="shared" si="62"/>
        <v>16.92849</v>
      </c>
      <c r="AP19" s="2001">
        <f t="shared" si="62"/>
        <v>17.071719999999999</v>
      </c>
      <c r="AQ19" s="1470">
        <f t="shared" si="48"/>
        <v>175.40918316429511</v>
      </c>
      <c r="AR19" s="1471">
        <f t="shared" ref="AR19:BC19" si="63">+AR103+AR193+AR85+AR139+AR43+AR159+AR175</f>
        <v>16.221735511334145</v>
      </c>
      <c r="AS19" s="1471">
        <f t="shared" si="63"/>
        <v>16.333886898207059</v>
      </c>
      <c r="AT19" s="1471">
        <f t="shared" si="63"/>
        <v>16.574792046017446</v>
      </c>
      <c r="AU19" s="1471">
        <f t="shared" si="63"/>
        <v>15.665104785325674</v>
      </c>
      <c r="AV19" s="1471">
        <f t="shared" si="63"/>
        <v>15.74113734854032</v>
      </c>
      <c r="AW19" s="1471">
        <f t="shared" si="63"/>
        <v>13.553218082124358</v>
      </c>
      <c r="AX19" s="1471">
        <f t="shared" si="63"/>
        <v>13.553218082124358</v>
      </c>
      <c r="AY19" s="1471">
        <f t="shared" si="63"/>
        <v>13.553218082124358</v>
      </c>
      <c r="AZ19" s="1471">
        <f t="shared" si="63"/>
        <v>13.553218082124358</v>
      </c>
      <c r="BA19" s="1471">
        <f t="shared" si="63"/>
        <v>13.553218082124358</v>
      </c>
      <c r="BB19" s="1471">
        <f t="shared" si="63"/>
        <v>13.553218082124358</v>
      </c>
      <c r="BC19" s="2001">
        <f t="shared" si="63"/>
        <v>13.553218082124358</v>
      </c>
    </row>
    <row r="20" spans="2:55">
      <c r="B20" s="3281"/>
      <c r="C20" s="1613" t="s">
        <v>82</v>
      </c>
      <c r="D20" s="1470">
        <f t="shared" si="42"/>
        <v>1822.6234579999998</v>
      </c>
      <c r="E20" s="1471">
        <f t="shared" ref="E20:P20" si="64">+E104+E120+E44+E64</f>
        <v>108.06728199999999</v>
      </c>
      <c r="F20" s="1471">
        <f t="shared" si="64"/>
        <v>98.70983600000001</v>
      </c>
      <c r="G20" s="1471">
        <f t="shared" si="64"/>
        <v>100.21799799999999</v>
      </c>
      <c r="H20" s="1471">
        <f t="shared" si="64"/>
        <v>85.061688000000004</v>
      </c>
      <c r="I20" s="1471">
        <f t="shared" si="64"/>
        <v>87.523481000000004</v>
      </c>
      <c r="J20" s="1471">
        <f t="shared" si="64"/>
        <v>289.97231199999999</v>
      </c>
      <c r="K20" s="1471">
        <f t="shared" si="64"/>
        <v>131.090262</v>
      </c>
      <c r="L20" s="1471">
        <f t="shared" si="64"/>
        <v>259.21584899999999</v>
      </c>
      <c r="M20" s="1471">
        <f t="shared" si="64"/>
        <v>119.33572100000001</v>
      </c>
      <c r="N20" s="1471">
        <f t="shared" si="64"/>
        <v>169.96186499999999</v>
      </c>
      <c r="O20" s="1471">
        <f t="shared" si="64"/>
        <v>236.18469300000001</v>
      </c>
      <c r="P20" s="1471">
        <f t="shared" si="64"/>
        <v>137.28247099999999</v>
      </c>
      <c r="Q20" s="1470">
        <f t="shared" si="44"/>
        <v>3659.1310179999996</v>
      </c>
      <c r="R20" s="1471">
        <f t="shared" ref="R20:AC20" si="65">+R104+R120+R44+R64+R137+R83+R196+R157</f>
        <v>183.02190199999998</v>
      </c>
      <c r="S20" s="1471">
        <f t="shared" si="65"/>
        <v>626.65341899999999</v>
      </c>
      <c r="T20" s="1471">
        <f t="shared" si="65"/>
        <v>170.10083800000004</v>
      </c>
      <c r="U20" s="1471">
        <f t="shared" si="65"/>
        <v>181.18966499999999</v>
      </c>
      <c r="V20" s="1471">
        <f t="shared" si="65"/>
        <v>114.39359999999999</v>
      </c>
      <c r="W20" s="1471">
        <f t="shared" si="65"/>
        <v>196.653324</v>
      </c>
      <c r="X20" s="1471">
        <f t="shared" si="65"/>
        <v>303.48037199999999</v>
      </c>
      <c r="Y20" s="1471">
        <f t="shared" si="65"/>
        <v>417.216478</v>
      </c>
      <c r="Z20" s="1471">
        <f t="shared" si="65"/>
        <v>282.31480300000004</v>
      </c>
      <c r="AA20" s="1471">
        <f t="shared" si="65"/>
        <v>321.69843700000007</v>
      </c>
      <c r="AB20" s="1471">
        <f t="shared" si="65"/>
        <v>265.475461</v>
      </c>
      <c r="AC20" s="1612">
        <f t="shared" si="65"/>
        <v>596.93271900000002</v>
      </c>
      <c r="AD20" s="1470">
        <f t="shared" si="46"/>
        <v>4868.5971840000002</v>
      </c>
      <c r="AE20" s="1471">
        <f t="shared" ref="AE20" si="66">+AE104+AE120+AE44+AE64+AE137+AE83+AE196+AE157+AE176</f>
        <v>416.34571100000005</v>
      </c>
      <c r="AF20" s="1471">
        <f t="shared" ref="AF20:AP20" si="67">+AF104+AF120+AF44+AF64+AF137+AF83+AF196+AF157+AF176</f>
        <v>551.02884699999993</v>
      </c>
      <c r="AG20" s="1471">
        <f t="shared" si="67"/>
        <v>361.83814399999994</v>
      </c>
      <c r="AH20" s="1471">
        <f t="shared" si="67"/>
        <v>490.97505100000001</v>
      </c>
      <c r="AI20" s="1471">
        <f t="shared" si="67"/>
        <v>434.29340700000006</v>
      </c>
      <c r="AJ20" s="1471">
        <f t="shared" si="67"/>
        <v>401.702766</v>
      </c>
      <c r="AK20" s="1471">
        <f t="shared" si="67"/>
        <v>508.11510099999998</v>
      </c>
      <c r="AL20" s="1471">
        <f t="shared" si="67"/>
        <v>347.79103900000001</v>
      </c>
      <c r="AM20" s="1471">
        <f t="shared" si="67"/>
        <v>333.20985200000001</v>
      </c>
      <c r="AN20" s="1471">
        <f t="shared" si="67"/>
        <v>385.64190800000006</v>
      </c>
      <c r="AO20" s="1471">
        <f t="shared" si="67"/>
        <v>223.38737499999999</v>
      </c>
      <c r="AP20" s="2001">
        <f t="shared" si="67"/>
        <v>414.26798299999996</v>
      </c>
      <c r="AQ20" s="1470">
        <f t="shared" si="48"/>
        <v>3481.672868717299</v>
      </c>
      <c r="AR20" s="1471">
        <f t="shared" ref="AR20:BC20" si="68">+AR104+AR120+AR44+AR64+AR137+AR83+AR196+AR157+AR176</f>
        <v>279.4719038853716</v>
      </c>
      <c r="AS20" s="1471">
        <f t="shared" si="68"/>
        <v>255.85701892852251</v>
      </c>
      <c r="AT20" s="1471">
        <f t="shared" si="68"/>
        <v>310.58704951080904</v>
      </c>
      <c r="AU20" s="1471">
        <f t="shared" si="68"/>
        <v>314.75008122040123</v>
      </c>
      <c r="AV20" s="1471">
        <f t="shared" si="68"/>
        <v>287.143734923132</v>
      </c>
      <c r="AW20" s="1471">
        <f t="shared" si="68"/>
        <v>287.6668031610717</v>
      </c>
      <c r="AX20" s="1471">
        <f t="shared" si="68"/>
        <v>296.53271284799843</v>
      </c>
      <c r="AY20" s="1471">
        <f t="shared" si="68"/>
        <v>288.28271284799837</v>
      </c>
      <c r="AZ20" s="1471">
        <f t="shared" si="68"/>
        <v>288.28271284799837</v>
      </c>
      <c r="BA20" s="1471">
        <f t="shared" si="68"/>
        <v>296.53271284799843</v>
      </c>
      <c r="BB20" s="1471">
        <f t="shared" si="68"/>
        <v>288.28271284799837</v>
      </c>
      <c r="BC20" s="2001">
        <f t="shared" si="68"/>
        <v>288.28271284799837</v>
      </c>
    </row>
    <row r="21" spans="2:55">
      <c r="B21" s="3281"/>
      <c r="C21" s="1613" t="s">
        <v>515</v>
      </c>
      <c r="D21" s="1470">
        <f t="shared" si="42"/>
        <v>20.581498</v>
      </c>
      <c r="E21" s="1471">
        <f t="shared" ref="E21:P21" si="69">+E105+E67+E89+E48</f>
        <v>0.91044700000000001</v>
      </c>
      <c r="F21" s="1471">
        <f t="shared" si="69"/>
        <v>-3.2221039999999999</v>
      </c>
      <c r="G21" s="1471">
        <f t="shared" si="69"/>
        <v>0.85990800000000001</v>
      </c>
      <c r="H21" s="1471">
        <f t="shared" si="69"/>
        <v>8.4543999999999994E-2</v>
      </c>
      <c r="I21" s="1471">
        <f t="shared" si="69"/>
        <v>5.6591000000000002E-2</v>
      </c>
      <c r="J21" s="1471">
        <f t="shared" si="69"/>
        <v>4.1591000000000003E-2</v>
      </c>
      <c r="K21" s="1471">
        <f t="shared" si="69"/>
        <v>1.6364E-2</v>
      </c>
      <c r="L21" s="1471">
        <f t="shared" si="69"/>
        <v>4.6363000000000001E-2</v>
      </c>
      <c r="M21" s="1471">
        <f t="shared" si="69"/>
        <v>0.59818199999999999</v>
      </c>
      <c r="N21" s="1471">
        <f t="shared" si="69"/>
        <v>6.9838640000000005</v>
      </c>
      <c r="O21" s="1471">
        <f t="shared" si="69"/>
        <v>13.844609999999999</v>
      </c>
      <c r="P21" s="1471">
        <f t="shared" si="69"/>
        <v>0.36113799999999996</v>
      </c>
      <c r="Q21" s="1470">
        <f t="shared" si="44"/>
        <v>452.77703899999995</v>
      </c>
      <c r="R21" s="1471">
        <f t="shared" ref="R21:AC21" si="70">+R105+R67+R89+R48+R138+R88+R194+R158</f>
        <v>8.4774180000000001</v>
      </c>
      <c r="S21" s="1471">
        <f t="shared" si="70"/>
        <v>9.2949780000000004</v>
      </c>
      <c r="T21" s="1471">
        <f t="shared" si="70"/>
        <v>28.066519</v>
      </c>
      <c r="U21" s="1471">
        <f t="shared" si="70"/>
        <v>27.548225000000002</v>
      </c>
      <c r="V21" s="1471">
        <f t="shared" si="70"/>
        <v>10.953752</v>
      </c>
      <c r="W21" s="1471">
        <f t="shared" si="70"/>
        <v>11.251844</v>
      </c>
      <c r="X21" s="1471">
        <f t="shared" si="70"/>
        <v>91.088808999999969</v>
      </c>
      <c r="Y21" s="1471">
        <f t="shared" si="70"/>
        <v>113.505336</v>
      </c>
      <c r="Z21" s="1471">
        <f t="shared" si="70"/>
        <v>28.059686000000003</v>
      </c>
      <c r="AA21" s="1471">
        <f t="shared" si="70"/>
        <v>70.174105000000012</v>
      </c>
      <c r="AB21" s="1471">
        <f t="shared" si="70"/>
        <v>20.499424000000001</v>
      </c>
      <c r="AC21" s="1612">
        <f t="shared" si="70"/>
        <v>33.856943000000001</v>
      </c>
      <c r="AD21" s="1470">
        <f t="shared" si="46"/>
        <v>74.562353999999985</v>
      </c>
      <c r="AE21" s="1471">
        <f t="shared" ref="AE21" si="71">+AE105+AE67+AE89+AE48+AE138+AE194+AE158+AE180</f>
        <v>24.485118999999997</v>
      </c>
      <c r="AF21" s="1471">
        <f t="shared" ref="AF21:AP21" si="72">+AF105+AF67+AF89+AF48+AF138+AF194+AF158+AF180</f>
        <v>3.3222779999999998</v>
      </c>
      <c r="AG21" s="1471">
        <f t="shared" si="72"/>
        <v>4.2697690000000001</v>
      </c>
      <c r="AH21" s="1471">
        <f t="shared" si="72"/>
        <v>2.322908</v>
      </c>
      <c r="AI21" s="1471">
        <f t="shared" si="72"/>
        <v>3.92516</v>
      </c>
      <c r="AJ21" s="1471">
        <f t="shared" si="72"/>
        <v>4.2435660000000004</v>
      </c>
      <c r="AK21" s="1471">
        <f t="shared" si="72"/>
        <v>13.448046</v>
      </c>
      <c r="AL21" s="1471">
        <f t="shared" si="72"/>
        <v>4.0082460000000006</v>
      </c>
      <c r="AM21" s="1471">
        <f t="shared" si="72"/>
        <v>7.845470999999999</v>
      </c>
      <c r="AN21" s="1471">
        <f t="shared" si="72"/>
        <v>2.2734950000000005</v>
      </c>
      <c r="AO21" s="1471">
        <f t="shared" si="72"/>
        <v>2.2420040000000001</v>
      </c>
      <c r="AP21" s="2001">
        <f t="shared" si="72"/>
        <v>2.1762920000000001</v>
      </c>
      <c r="AQ21" s="1470">
        <f t="shared" si="48"/>
        <v>492.08229798016407</v>
      </c>
      <c r="AR21" s="1471">
        <f t="shared" ref="AR21:BC21" si="73">+AR105+AR67+AR89+AR48+AR138+AR194+AR158+AR180</f>
        <v>45.903445721536066</v>
      </c>
      <c r="AS21" s="1471">
        <f t="shared" si="73"/>
        <v>39.147862202944424</v>
      </c>
      <c r="AT21" s="1471">
        <f t="shared" si="73"/>
        <v>39.160741731807406</v>
      </c>
      <c r="AU21" s="1471">
        <f t="shared" si="73"/>
        <v>38.592903900144258</v>
      </c>
      <c r="AV21" s="1471">
        <f t="shared" si="73"/>
        <v>39.111617001713014</v>
      </c>
      <c r="AW21" s="1471">
        <f t="shared" si="73"/>
        <v>46.727778092802382</v>
      </c>
      <c r="AX21" s="1471">
        <f t="shared" si="73"/>
        <v>40.57299155486939</v>
      </c>
      <c r="AY21" s="1471">
        <f t="shared" si="73"/>
        <v>40.57299155486939</v>
      </c>
      <c r="AZ21" s="1471">
        <f t="shared" si="73"/>
        <v>40.57299155486939</v>
      </c>
      <c r="BA21" s="1471">
        <f t="shared" si="73"/>
        <v>40.57299155486939</v>
      </c>
      <c r="BB21" s="1471">
        <f t="shared" si="73"/>
        <v>40.57299155486939</v>
      </c>
      <c r="BC21" s="2001">
        <f t="shared" si="73"/>
        <v>40.57299155486939</v>
      </c>
    </row>
    <row r="22" spans="2:55">
      <c r="B22" s="3281"/>
      <c r="C22" s="1689" t="s">
        <v>560</v>
      </c>
      <c r="D22" s="1470">
        <f t="shared" si="42"/>
        <v>0</v>
      </c>
      <c r="E22" s="1471"/>
      <c r="F22" s="1471"/>
      <c r="G22" s="1471"/>
      <c r="H22" s="1471"/>
      <c r="I22" s="1471"/>
      <c r="J22" s="1471"/>
      <c r="K22" s="1471"/>
      <c r="L22" s="1471"/>
      <c r="M22" s="1471"/>
      <c r="N22" s="1471"/>
      <c r="O22" s="1471"/>
      <c r="P22" s="1471"/>
      <c r="Q22" s="1470">
        <f t="shared" si="44"/>
        <v>47.88664099999999</v>
      </c>
      <c r="R22" s="1471">
        <f t="shared" ref="R22:AC22" si="74">R86+R136+R195+R156</f>
        <v>9.2715189999999996</v>
      </c>
      <c r="S22" s="1471">
        <f t="shared" si="74"/>
        <v>1.0395130000000001</v>
      </c>
      <c r="T22" s="1471">
        <f t="shared" si="74"/>
        <v>2.6860889999999999</v>
      </c>
      <c r="U22" s="1471">
        <f t="shared" si="74"/>
        <v>0.5</v>
      </c>
      <c r="V22" s="1471">
        <f t="shared" si="74"/>
        <v>2.8136779999999999</v>
      </c>
      <c r="W22" s="1471">
        <f t="shared" si="74"/>
        <v>0.12293</v>
      </c>
      <c r="X22" s="1471">
        <f t="shared" si="74"/>
        <v>18.821849999999998</v>
      </c>
      <c r="Y22" s="1471">
        <f t="shared" si="74"/>
        <v>3.7334399999999999</v>
      </c>
      <c r="Z22" s="1471">
        <f t="shared" si="74"/>
        <v>2.7693690000000002</v>
      </c>
      <c r="AA22" s="1471">
        <f t="shared" si="74"/>
        <v>2.7210730000000001</v>
      </c>
      <c r="AB22" s="1471">
        <f t="shared" si="74"/>
        <v>2.0514459999999999</v>
      </c>
      <c r="AC22" s="1612">
        <f t="shared" si="74"/>
        <v>1.355734</v>
      </c>
      <c r="AD22" s="1470">
        <f t="shared" si="46"/>
        <v>89.399012999999982</v>
      </c>
      <c r="AE22" s="1471">
        <f>AE86+AE136+AE195+AE156+AE49+AE177+AE121</f>
        <v>2.6607440000000002</v>
      </c>
      <c r="AF22" s="1471">
        <f t="shared" ref="AF22:AP22" si="75">AF86+AF136+AF195+AF156+AF49+AF177+AF121</f>
        <v>12.595935000000001</v>
      </c>
      <c r="AG22" s="1471">
        <f t="shared" si="75"/>
        <v>1.5039139999999998</v>
      </c>
      <c r="AH22" s="1471">
        <f t="shared" si="75"/>
        <v>2.1224819999999998</v>
      </c>
      <c r="AI22" s="1471">
        <f t="shared" si="75"/>
        <v>2.6708030000000003</v>
      </c>
      <c r="AJ22" s="1471">
        <f t="shared" si="75"/>
        <v>12.194156</v>
      </c>
      <c r="AK22" s="1471">
        <f t="shared" si="75"/>
        <v>3.590649</v>
      </c>
      <c r="AL22" s="1471">
        <f t="shared" si="75"/>
        <v>42.991951</v>
      </c>
      <c r="AM22" s="1471">
        <f t="shared" si="75"/>
        <v>3.5669200000000005</v>
      </c>
      <c r="AN22" s="1471">
        <f t="shared" si="75"/>
        <v>1.9095790000000001</v>
      </c>
      <c r="AO22" s="1471">
        <f t="shared" si="75"/>
        <v>1.6565450000000002</v>
      </c>
      <c r="AP22" s="2001">
        <f t="shared" si="75"/>
        <v>1.9353349999999998</v>
      </c>
      <c r="AQ22" s="1470">
        <f t="shared" si="48"/>
        <v>95.927731538963627</v>
      </c>
      <c r="AR22" s="1471">
        <f t="shared" ref="AR22:BC22" si="76">AR86+AR136+AR195+AR156+AR49+AR177+AR121</f>
        <v>6.6933605271352992</v>
      </c>
      <c r="AS22" s="1471">
        <f t="shared" si="76"/>
        <v>16.128726765883311</v>
      </c>
      <c r="AT22" s="1471">
        <f t="shared" si="76"/>
        <v>5.2744983523833557</v>
      </c>
      <c r="AU22" s="1471">
        <f t="shared" si="76"/>
        <v>5.9146807573090507</v>
      </c>
      <c r="AV22" s="1471">
        <f t="shared" si="76"/>
        <v>6.3053737706340645</v>
      </c>
      <c r="AW22" s="1471">
        <f t="shared" si="76"/>
        <v>8.2202469156534139</v>
      </c>
      <c r="AX22" s="1471">
        <f t="shared" si="76"/>
        <v>7.5651407416608585</v>
      </c>
      <c r="AY22" s="1471">
        <f t="shared" si="76"/>
        <v>7.5651407416608585</v>
      </c>
      <c r="AZ22" s="1471">
        <f t="shared" si="76"/>
        <v>7.5651407416608585</v>
      </c>
      <c r="BA22" s="1471">
        <f t="shared" si="76"/>
        <v>7.5651407416608585</v>
      </c>
      <c r="BB22" s="1471">
        <f t="shared" si="76"/>
        <v>7.5651407416608585</v>
      </c>
      <c r="BC22" s="2001">
        <f t="shared" si="76"/>
        <v>9.5651407416608585</v>
      </c>
    </row>
    <row r="23" spans="2:55">
      <c r="B23" s="3281"/>
      <c r="C23" s="1613" t="s">
        <v>424</v>
      </c>
      <c r="D23" s="1470">
        <f t="shared" si="42"/>
        <v>0</v>
      </c>
      <c r="E23" s="1471"/>
      <c r="F23" s="1471"/>
      <c r="G23" s="1471"/>
      <c r="H23" s="1471"/>
      <c r="I23" s="1471"/>
      <c r="J23" s="1471"/>
      <c r="K23" s="1471"/>
      <c r="L23" s="1471"/>
      <c r="M23" s="1471"/>
      <c r="N23" s="1471"/>
      <c r="O23" s="1471"/>
      <c r="P23" s="1471"/>
      <c r="Q23" s="1470">
        <f t="shared" si="44"/>
        <v>29.633619000000003</v>
      </c>
      <c r="R23" s="1471">
        <f t="shared" ref="R23:AC23" si="77">R46+R66+R84+R117</f>
        <v>0</v>
      </c>
      <c r="S23" s="1471">
        <f t="shared" si="77"/>
        <v>0</v>
      </c>
      <c r="T23" s="1471">
        <f t="shared" si="77"/>
        <v>0</v>
      </c>
      <c r="U23" s="1471">
        <f t="shared" si="77"/>
        <v>0</v>
      </c>
      <c r="V23" s="1471">
        <f t="shared" si="77"/>
        <v>0</v>
      </c>
      <c r="W23" s="1471">
        <f t="shared" si="77"/>
        <v>0</v>
      </c>
      <c r="X23" s="1471">
        <f t="shared" si="77"/>
        <v>17.191980000000001</v>
      </c>
      <c r="Y23" s="1471">
        <f t="shared" si="77"/>
        <v>0</v>
      </c>
      <c r="Z23" s="1471">
        <f t="shared" si="77"/>
        <v>0</v>
      </c>
      <c r="AA23" s="1471">
        <f t="shared" si="77"/>
        <v>2.48644</v>
      </c>
      <c r="AB23" s="1471">
        <f t="shared" si="77"/>
        <v>5.7687939999999998</v>
      </c>
      <c r="AC23" s="1471">
        <f t="shared" si="77"/>
        <v>4.1864049999999997</v>
      </c>
      <c r="AD23" s="1470">
        <f t="shared" si="46"/>
        <v>0</v>
      </c>
      <c r="AE23" s="1471">
        <f t="shared" ref="AE23:AP23" si="78">AE84+AE117+AE46</f>
        <v>0</v>
      </c>
      <c r="AF23" s="1471">
        <f t="shared" si="78"/>
        <v>0</v>
      </c>
      <c r="AG23" s="1471">
        <f t="shared" si="78"/>
        <v>0</v>
      </c>
      <c r="AH23" s="1471">
        <f t="shared" si="78"/>
        <v>0</v>
      </c>
      <c r="AI23" s="1471">
        <f t="shared" si="78"/>
        <v>0</v>
      </c>
      <c r="AJ23" s="1471">
        <f t="shared" si="78"/>
        <v>0</v>
      </c>
      <c r="AK23" s="1471">
        <f t="shared" si="78"/>
        <v>0</v>
      </c>
      <c r="AL23" s="1471">
        <f t="shared" si="78"/>
        <v>0</v>
      </c>
      <c r="AM23" s="1471">
        <f t="shared" si="78"/>
        <v>0</v>
      </c>
      <c r="AN23" s="1471">
        <f t="shared" si="78"/>
        <v>0</v>
      </c>
      <c r="AO23" s="1471">
        <f t="shared" si="78"/>
        <v>0</v>
      </c>
      <c r="AP23" s="2001">
        <f t="shared" si="78"/>
        <v>0</v>
      </c>
      <c r="AQ23" s="1470">
        <f t="shared" si="48"/>
        <v>0</v>
      </c>
      <c r="AR23" s="1471">
        <f t="shared" ref="AR23:BC23" si="79">AR84+AR117+AR46</f>
        <v>0</v>
      </c>
      <c r="AS23" s="1471">
        <f t="shared" si="79"/>
        <v>0</v>
      </c>
      <c r="AT23" s="1471">
        <f t="shared" si="79"/>
        <v>0</v>
      </c>
      <c r="AU23" s="1471">
        <f t="shared" si="79"/>
        <v>0</v>
      </c>
      <c r="AV23" s="1471">
        <f t="shared" si="79"/>
        <v>0</v>
      </c>
      <c r="AW23" s="1471">
        <f t="shared" si="79"/>
        <v>0</v>
      </c>
      <c r="AX23" s="1471">
        <f t="shared" si="79"/>
        <v>0</v>
      </c>
      <c r="AY23" s="1471">
        <f t="shared" si="79"/>
        <v>0</v>
      </c>
      <c r="AZ23" s="1471">
        <f t="shared" si="79"/>
        <v>0</v>
      </c>
      <c r="BA23" s="1471">
        <f t="shared" si="79"/>
        <v>0</v>
      </c>
      <c r="BB23" s="1471">
        <f t="shared" si="79"/>
        <v>0</v>
      </c>
      <c r="BC23" s="2001">
        <f t="shared" si="79"/>
        <v>0</v>
      </c>
    </row>
    <row r="24" spans="2:55">
      <c r="B24" s="3281"/>
      <c r="C24" s="1613" t="s">
        <v>571</v>
      </c>
      <c r="D24" s="1470">
        <f t="shared" si="42"/>
        <v>0.33</v>
      </c>
      <c r="E24" s="1471">
        <f t="shared" ref="E24:P24" si="80">+E46+E66</f>
        <v>0</v>
      </c>
      <c r="F24" s="1471">
        <f t="shared" si="80"/>
        <v>0.33</v>
      </c>
      <c r="G24" s="1471">
        <f t="shared" si="80"/>
        <v>0</v>
      </c>
      <c r="H24" s="1471">
        <f t="shared" si="80"/>
        <v>0</v>
      </c>
      <c r="I24" s="1471">
        <f t="shared" si="80"/>
        <v>0</v>
      </c>
      <c r="J24" s="1471">
        <f t="shared" si="80"/>
        <v>0</v>
      </c>
      <c r="K24" s="1471">
        <f t="shared" si="80"/>
        <v>0</v>
      </c>
      <c r="L24" s="1471">
        <f t="shared" si="80"/>
        <v>0</v>
      </c>
      <c r="M24" s="1471">
        <f t="shared" si="80"/>
        <v>0</v>
      </c>
      <c r="N24" s="1471">
        <f t="shared" si="80"/>
        <v>0</v>
      </c>
      <c r="O24" s="1471">
        <f t="shared" si="80"/>
        <v>0</v>
      </c>
      <c r="P24" s="1471">
        <f t="shared" si="80"/>
        <v>0</v>
      </c>
      <c r="Q24" s="1470">
        <f t="shared" si="44"/>
        <v>671.43676400000004</v>
      </c>
      <c r="R24" s="1471">
        <f t="shared" ref="R24:AC24" si="81">R87+R122+R141+R160+R197</f>
        <v>14.575546000000001</v>
      </c>
      <c r="S24" s="1471">
        <f t="shared" si="81"/>
        <v>2.9087749999999999</v>
      </c>
      <c r="T24" s="1471">
        <f t="shared" si="81"/>
        <v>30.869992</v>
      </c>
      <c r="U24" s="1471">
        <f t="shared" si="81"/>
        <v>387.39</v>
      </c>
      <c r="V24" s="1471">
        <f t="shared" si="81"/>
        <v>0</v>
      </c>
      <c r="W24" s="1471">
        <f t="shared" si="81"/>
        <v>26.520121</v>
      </c>
      <c r="X24" s="1471">
        <f t="shared" si="81"/>
        <v>18.450600000000001</v>
      </c>
      <c r="Y24" s="1471">
        <f t="shared" si="81"/>
        <v>0</v>
      </c>
      <c r="Z24" s="1471">
        <f t="shared" si="81"/>
        <v>5.6392050000000005</v>
      </c>
      <c r="AA24" s="1471">
        <f t="shared" si="81"/>
        <v>149.40992700000001</v>
      </c>
      <c r="AB24" s="1471">
        <f t="shared" si="81"/>
        <v>7.2174450000000006</v>
      </c>
      <c r="AC24" s="1612">
        <f t="shared" si="81"/>
        <v>28.455153000000003</v>
      </c>
      <c r="AD24" s="1470">
        <f t="shared" si="46"/>
        <v>612.48977900000057</v>
      </c>
      <c r="AE24" s="1612">
        <f t="shared" ref="AE24:AP24" si="82">AE87+AE122+AE141+AE160+AE197+AE47+AE179</f>
        <v>40.335403000000639</v>
      </c>
      <c r="AF24" s="1471">
        <f t="shared" si="82"/>
        <v>138.96257400000002</v>
      </c>
      <c r="AG24" s="1471">
        <f t="shared" si="82"/>
        <v>26.669159000000001</v>
      </c>
      <c r="AH24" s="1471">
        <f t="shared" si="82"/>
        <v>16.094412999999999</v>
      </c>
      <c r="AI24" s="1471">
        <f t="shared" si="82"/>
        <v>17.143045000000004</v>
      </c>
      <c r="AJ24" s="1471">
        <f t="shared" si="82"/>
        <v>18.099584</v>
      </c>
      <c r="AK24" s="1471">
        <f t="shared" si="82"/>
        <v>56.597795000000005</v>
      </c>
      <c r="AL24" s="1471">
        <f t="shared" si="82"/>
        <v>85.826022999999978</v>
      </c>
      <c r="AM24" s="1471">
        <f t="shared" si="82"/>
        <v>45.567276</v>
      </c>
      <c r="AN24" s="1471">
        <f t="shared" si="82"/>
        <v>90.283509000000009</v>
      </c>
      <c r="AO24" s="1471">
        <f t="shared" si="82"/>
        <v>48.076235000000004</v>
      </c>
      <c r="AP24" s="2001">
        <f t="shared" si="82"/>
        <v>28.834762999999999</v>
      </c>
      <c r="AQ24" s="1470">
        <f t="shared" si="48"/>
        <v>927.97255228315669</v>
      </c>
      <c r="AR24" s="1612">
        <f t="shared" ref="AR24:BC24" si="83">AR87+AR122+AR141+AR160+AR197+AR47+AR179</f>
        <v>69.096069121017351</v>
      </c>
      <c r="AS24" s="1471">
        <f t="shared" si="83"/>
        <v>146.23872675808136</v>
      </c>
      <c r="AT24" s="1471">
        <f t="shared" si="83"/>
        <v>72.27951453427319</v>
      </c>
      <c r="AU24" s="1471">
        <f t="shared" si="83"/>
        <v>69.705213792033092</v>
      </c>
      <c r="AV24" s="1471">
        <f t="shared" si="83"/>
        <v>69.473037672983921</v>
      </c>
      <c r="AW24" s="1471">
        <f t="shared" si="83"/>
        <v>70.992798629252562</v>
      </c>
      <c r="AX24" s="1471">
        <f t="shared" si="83"/>
        <v>72.050398629252555</v>
      </c>
      <c r="AY24" s="1471">
        <f t="shared" si="83"/>
        <v>72.050398629252555</v>
      </c>
      <c r="AZ24" s="1471">
        <f t="shared" si="83"/>
        <v>72.050398629252555</v>
      </c>
      <c r="BA24" s="1471">
        <f t="shared" si="83"/>
        <v>72.050398629252555</v>
      </c>
      <c r="BB24" s="1471">
        <f t="shared" si="83"/>
        <v>70.992798629252562</v>
      </c>
      <c r="BC24" s="2001">
        <f t="shared" si="83"/>
        <v>70.992798629252562</v>
      </c>
    </row>
    <row r="25" spans="2:55">
      <c r="B25" s="3281"/>
      <c r="C25" s="1613" t="s">
        <v>420</v>
      </c>
      <c r="D25" s="1470">
        <f t="shared" si="42"/>
        <v>207.03267700000001</v>
      </c>
      <c r="E25" s="1471">
        <f t="shared" ref="E25:P25" si="84">+E45+E65+E123</f>
        <v>0</v>
      </c>
      <c r="F25" s="1471">
        <f t="shared" si="84"/>
        <v>12.96171</v>
      </c>
      <c r="G25" s="1471">
        <f t="shared" si="84"/>
        <v>10.644247</v>
      </c>
      <c r="H25" s="1471">
        <f t="shared" si="84"/>
        <v>9.5854400000000002</v>
      </c>
      <c r="I25" s="1471">
        <f t="shared" si="84"/>
        <v>10.491099999999999</v>
      </c>
      <c r="J25" s="1471">
        <f t="shared" si="84"/>
        <v>20.64</v>
      </c>
      <c r="K25" s="1471">
        <f t="shared" si="84"/>
        <v>28.376846</v>
      </c>
      <c r="L25" s="1471">
        <f t="shared" si="84"/>
        <v>22.866665999999999</v>
      </c>
      <c r="M25" s="1471">
        <f t="shared" si="84"/>
        <v>22.866665999999999</v>
      </c>
      <c r="N25" s="1471">
        <f t="shared" si="84"/>
        <v>22.866665999999999</v>
      </c>
      <c r="O25" s="1471">
        <f t="shared" si="84"/>
        <v>22.866665999999999</v>
      </c>
      <c r="P25" s="1471">
        <f t="shared" si="84"/>
        <v>22.866669999999999</v>
      </c>
      <c r="Q25" s="1470">
        <f t="shared" si="44"/>
        <v>347.64317299999993</v>
      </c>
      <c r="R25" s="1471">
        <f t="shared" ref="R25:AC25" si="85">+R45+R65+R123+R198</f>
        <v>30.699998999999998</v>
      </c>
      <c r="S25" s="1471">
        <f t="shared" si="85"/>
        <v>30.699998999999998</v>
      </c>
      <c r="T25" s="1471">
        <f t="shared" si="85"/>
        <v>33.069229999999997</v>
      </c>
      <c r="U25" s="1471">
        <f t="shared" si="85"/>
        <v>32.673940000000002</v>
      </c>
      <c r="V25" s="1471">
        <f t="shared" si="85"/>
        <v>31.499998999999999</v>
      </c>
      <c r="W25" s="1471">
        <f t="shared" si="85"/>
        <v>31.499998999999999</v>
      </c>
      <c r="X25" s="1471">
        <f t="shared" si="85"/>
        <v>31.499998999999999</v>
      </c>
      <c r="Y25" s="1471">
        <f t="shared" si="85"/>
        <v>31.499998999999999</v>
      </c>
      <c r="Z25" s="1471">
        <f t="shared" si="85"/>
        <v>31.499998999999999</v>
      </c>
      <c r="AA25" s="1471">
        <f t="shared" si="85"/>
        <v>0</v>
      </c>
      <c r="AB25" s="1471">
        <f t="shared" si="85"/>
        <v>31.499998999999999</v>
      </c>
      <c r="AC25" s="1612">
        <f t="shared" si="85"/>
        <v>31.500011000000001</v>
      </c>
      <c r="AD25" s="1470">
        <f t="shared" si="46"/>
        <v>408.72498899999999</v>
      </c>
      <c r="AE25" s="1471">
        <f t="shared" ref="AE25:AP25" si="86">+AE45+AE65+AE123+AE198</f>
        <v>31.499998999999999</v>
      </c>
      <c r="AF25" s="1471">
        <f t="shared" si="86"/>
        <v>31.499998999999999</v>
      </c>
      <c r="AG25" s="1471">
        <f t="shared" si="86"/>
        <v>31.499998999999999</v>
      </c>
      <c r="AH25" s="1471">
        <f t="shared" si="86"/>
        <v>31.499998999999999</v>
      </c>
      <c r="AI25" s="1471">
        <f t="shared" si="86"/>
        <v>31.499998999999999</v>
      </c>
      <c r="AJ25" s="1471">
        <f t="shared" si="86"/>
        <v>31.499998999999999</v>
      </c>
      <c r="AK25" s="1471">
        <f t="shared" si="86"/>
        <v>90.424999</v>
      </c>
      <c r="AL25" s="1471">
        <f t="shared" si="86"/>
        <v>31.499998999999999</v>
      </c>
      <c r="AM25" s="1471">
        <f t="shared" si="86"/>
        <v>31.499998999999999</v>
      </c>
      <c r="AN25" s="1471">
        <f t="shared" si="86"/>
        <v>31.499998999999999</v>
      </c>
      <c r="AO25" s="1471">
        <f t="shared" si="86"/>
        <v>31.499998999999999</v>
      </c>
      <c r="AP25" s="2001">
        <f t="shared" si="86"/>
        <v>3.3</v>
      </c>
      <c r="AQ25" s="1470">
        <f t="shared" si="48"/>
        <v>36.732407357154592</v>
      </c>
      <c r="AR25" s="1471">
        <f t="shared" ref="AR25:BC25" si="87">+AR45+AR65+AR123+AR198</f>
        <v>3.0610339464295495</v>
      </c>
      <c r="AS25" s="1471">
        <f t="shared" si="87"/>
        <v>3.0610339464295495</v>
      </c>
      <c r="AT25" s="1471">
        <f t="shared" si="87"/>
        <v>3.0610339464295495</v>
      </c>
      <c r="AU25" s="1471">
        <f t="shared" si="87"/>
        <v>3.0610339464295495</v>
      </c>
      <c r="AV25" s="1471">
        <f t="shared" si="87"/>
        <v>3.0610339464295495</v>
      </c>
      <c r="AW25" s="1471">
        <f t="shared" si="87"/>
        <v>3.0610339464295495</v>
      </c>
      <c r="AX25" s="1471">
        <f t="shared" si="87"/>
        <v>3.0610339464295495</v>
      </c>
      <c r="AY25" s="1471">
        <f t="shared" si="87"/>
        <v>3.0610339464295495</v>
      </c>
      <c r="AZ25" s="1471">
        <f t="shared" si="87"/>
        <v>3.0610339464295495</v>
      </c>
      <c r="BA25" s="1471">
        <f t="shared" si="87"/>
        <v>3.0610339464295495</v>
      </c>
      <c r="BB25" s="1471">
        <f t="shared" si="87"/>
        <v>3.0610339464295495</v>
      </c>
      <c r="BC25" s="2001">
        <f t="shared" si="87"/>
        <v>3.0610339464295495</v>
      </c>
    </row>
    <row r="26" spans="2:55">
      <c r="B26" s="1736"/>
      <c r="C26" s="1613" t="s">
        <v>87</v>
      </c>
      <c r="D26" s="1470">
        <f t="shared" si="42"/>
        <v>0</v>
      </c>
      <c r="E26" s="1471"/>
      <c r="F26" s="1471"/>
      <c r="G26" s="1471"/>
      <c r="H26" s="1471"/>
      <c r="I26" s="1471"/>
      <c r="J26" s="1471"/>
      <c r="K26" s="1471"/>
      <c r="L26" s="1471"/>
      <c r="M26" s="1471"/>
      <c r="N26" s="1471"/>
      <c r="O26" s="1471"/>
      <c r="P26" s="1471"/>
      <c r="Q26" s="1470">
        <f t="shared" si="44"/>
        <v>750</v>
      </c>
      <c r="R26" s="1471">
        <f>R50+R88</f>
        <v>0</v>
      </c>
      <c r="S26" s="1471">
        <f t="shared" ref="S26:AC26" si="88">S50+S88</f>
        <v>0</v>
      </c>
      <c r="T26" s="1471">
        <f t="shared" si="88"/>
        <v>0</v>
      </c>
      <c r="U26" s="1471">
        <f t="shared" si="88"/>
        <v>0</v>
      </c>
      <c r="V26" s="1471">
        <f t="shared" si="88"/>
        <v>0</v>
      </c>
      <c r="W26" s="1471">
        <f t="shared" si="88"/>
        <v>0</v>
      </c>
      <c r="X26" s="1471">
        <f t="shared" si="88"/>
        <v>750</v>
      </c>
      <c r="Y26" s="1471">
        <f t="shared" si="88"/>
        <v>0</v>
      </c>
      <c r="Z26" s="1471">
        <f t="shared" si="88"/>
        <v>0</v>
      </c>
      <c r="AA26" s="1471">
        <f t="shared" si="88"/>
        <v>0</v>
      </c>
      <c r="AB26" s="1471">
        <f t="shared" si="88"/>
        <v>0</v>
      </c>
      <c r="AC26" s="1612">
        <f t="shared" si="88"/>
        <v>0</v>
      </c>
      <c r="AD26" s="1470">
        <f t="shared" si="46"/>
        <v>3.1992400000000001</v>
      </c>
      <c r="AE26" s="1471">
        <f t="shared" ref="AE26:AP26" si="89">AE50+AE88</f>
        <v>0</v>
      </c>
      <c r="AF26" s="1471">
        <f t="shared" si="89"/>
        <v>0</v>
      </c>
      <c r="AG26" s="1471">
        <f t="shared" si="89"/>
        <v>0.42304000000000003</v>
      </c>
      <c r="AH26" s="1471">
        <f t="shared" si="89"/>
        <v>0</v>
      </c>
      <c r="AI26" s="1471">
        <f t="shared" si="89"/>
        <v>0.39660000000000001</v>
      </c>
      <c r="AJ26" s="1471">
        <f t="shared" si="89"/>
        <v>1.0576000000000001</v>
      </c>
      <c r="AK26" s="1471">
        <f t="shared" si="89"/>
        <v>0</v>
      </c>
      <c r="AL26" s="1471">
        <f t="shared" si="89"/>
        <v>0</v>
      </c>
      <c r="AM26" s="1471">
        <f t="shared" si="89"/>
        <v>0</v>
      </c>
      <c r="AN26" s="1471">
        <f t="shared" si="89"/>
        <v>0.52880000000000005</v>
      </c>
      <c r="AO26" s="1471">
        <f t="shared" si="89"/>
        <v>0.79320000000000002</v>
      </c>
      <c r="AP26" s="2001">
        <f t="shared" si="89"/>
        <v>0</v>
      </c>
      <c r="AQ26" s="1470">
        <f t="shared" si="48"/>
        <v>3.9924400000000002</v>
      </c>
      <c r="AR26" s="1471">
        <f t="shared" ref="AR26:BC26" si="90">AR50+AR88</f>
        <v>0</v>
      </c>
      <c r="AS26" s="1471">
        <f t="shared" si="90"/>
        <v>0</v>
      </c>
      <c r="AT26" s="1471">
        <f t="shared" si="90"/>
        <v>0.42304000000000003</v>
      </c>
      <c r="AU26" s="1471">
        <f t="shared" si="90"/>
        <v>0</v>
      </c>
      <c r="AV26" s="1471">
        <f t="shared" si="90"/>
        <v>0.39660000000000001</v>
      </c>
      <c r="AW26" s="1471">
        <f t="shared" si="90"/>
        <v>1.0576000000000001</v>
      </c>
      <c r="AX26" s="1471">
        <f t="shared" si="90"/>
        <v>0</v>
      </c>
      <c r="AY26" s="1471">
        <f t="shared" si="90"/>
        <v>0</v>
      </c>
      <c r="AZ26" s="1471">
        <f t="shared" si="90"/>
        <v>0</v>
      </c>
      <c r="BA26" s="1471">
        <f t="shared" si="90"/>
        <v>0</v>
      </c>
      <c r="BB26" s="1471">
        <f t="shared" si="90"/>
        <v>1.0576000000000001</v>
      </c>
      <c r="BC26" s="2001">
        <f t="shared" si="90"/>
        <v>1.0576000000000001</v>
      </c>
    </row>
    <row r="27" spans="2:55">
      <c r="B27" s="3288" t="s">
        <v>446</v>
      </c>
      <c r="C27" s="3280"/>
      <c r="D27" s="1469">
        <f t="shared" ref="D27:AP27" si="91">+D9-D15</f>
        <v>1014.9980140000007</v>
      </c>
      <c r="E27" s="1469">
        <f t="shared" si="91"/>
        <v>-0.78743999999960579</v>
      </c>
      <c r="F27" s="1469">
        <f t="shared" si="91"/>
        <v>67.440203000000338</v>
      </c>
      <c r="G27" s="1469">
        <f t="shared" si="91"/>
        <v>30.067865999999981</v>
      </c>
      <c r="H27" s="1469">
        <f t="shared" si="91"/>
        <v>92.769116000000395</v>
      </c>
      <c r="I27" s="1469">
        <f t="shared" si="91"/>
        <v>229.85116099999959</v>
      </c>
      <c r="J27" s="1469">
        <f t="shared" si="91"/>
        <v>-61.010630999999876</v>
      </c>
      <c r="K27" s="1469">
        <f t="shared" si="91"/>
        <v>-2.022151000000008</v>
      </c>
      <c r="L27" s="1469">
        <f t="shared" si="91"/>
        <v>151.98015000000032</v>
      </c>
      <c r="M27" s="1469">
        <f t="shared" si="91"/>
        <v>170.40870699999914</v>
      </c>
      <c r="N27" s="1469">
        <f t="shared" si="91"/>
        <v>328.6470760000002</v>
      </c>
      <c r="O27" s="1469">
        <f t="shared" si="91"/>
        <v>-367.26141499999994</v>
      </c>
      <c r="P27" s="1469">
        <f t="shared" si="91"/>
        <v>374.91537200000039</v>
      </c>
      <c r="Q27" s="1469">
        <f t="shared" si="91"/>
        <v>1846.354422000004</v>
      </c>
      <c r="R27" s="1469">
        <f t="shared" si="91"/>
        <v>-256.54540100000008</v>
      </c>
      <c r="S27" s="1469">
        <f t="shared" si="91"/>
        <v>-487.28289600000016</v>
      </c>
      <c r="T27" s="1469">
        <f t="shared" si="91"/>
        <v>-96.695209999999406</v>
      </c>
      <c r="U27" s="1469">
        <f t="shared" si="91"/>
        <v>985.61685800000123</v>
      </c>
      <c r="V27" s="1469">
        <f t="shared" si="91"/>
        <v>330.67032900000049</v>
      </c>
      <c r="W27" s="1469">
        <f t="shared" si="91"/>
        <v>16.299691999999936</v>
      </c>
      <c r="X27" s="1469">
        <f t="shared" si="91"/>
        <v>-1000.2736809999997</v>
      </c>
      <c r="Y27" s="1469">
        <f t="shared" si="91"/>
        <v>461.23665799999981</v>
      </c>
      <c r="Z27" s="1469">
        <f t="shared" si="91"/>
        <v>1123.2940710000003</v>
      </c>
      <c r="AA27" s="1469">
        <f t="shared" si="91"/>
        <v>655.06160999999975</v>
      </c>
      <c r="AB27" s="1469">
        <f t="shared" si="91"/>
        <v>47.895914000006542</v>
      </c>
      <c r="AC27" s="1610">
        <f t="shared" si="91"/>
        <v>67.07647799999495</v>
      </c>
      <c r="AD27" s="1469">
        <f t="shared" si="91"/>
        <v>5594.8472770000008</v>
      </c>
      <c r="AE27" s="1469">
        <f t="shared" si="91"/>
        <v>102.02676300000076</v>
      </c>
      <c r="AF27" s="1469">
        <f t="shared" si="91"/>
        <v>1478.9814530000003</v>
      </c>
      <c r="AG27" s="1469">
        <f t="shared" si="91"/>
        <v>27.296733000000131</v>
      </c>
      <c r="AH27" s="1469">
        <f t="shared" si="91"/>
        <v>484.09454800000003</v>
      </c>
      <c r="AI27" s="1469">
        <f t="shared" si="91"/>
        <v>198.70107100000041</v>
      </c>
      <c r="AJ27" s="1469">
        <f t="shared" si="91"/>
        <v>612.89567499999976</v>
      </c>
      <c r="AK27" s="1469">
        <f t="shared" si="91"/>
        <v>384.75</v>
      </c>
      <c r="AL27" s="1469">
        <f t="shared" si="91"/>
        <v>524.4173039999996</v>
      </c>
      <c r="AM27" s="1469">
        <f t="shared" si="91"/>
        <v>643.63879600000018</v>
      </c>
      <c r="AN27" s="1469">
        <f t="shared" si="91"/>
        <v>578.20047099999965</v>
      </c>
      <c r="AO27" s="1469">
        <f t="shared" si="91"/>
        <v>1172.2785180000001</v>
      </c>
      <c r="AP27" s="2000">
        <f t="shared" si="91"/>
        <v>-612.43405499999949</v>
      </c>
      <c r="AQ27" s="1469">
        <f t="shared" ref="AQ27:BC27" si="92">+AQ9-AQ15</f>
        <v>7033.7162905270161</v>
      </c>
      <c r="AR27" s="1469">
        <f t="shared" si="92"/>
        <v>199.31324886687435</v>
      </c>
      <c r="AS27" s="1469">
        <f t="shared" si="92"/>
        <v>1382.313637312438</v>
      </c>
      <c r="AT27" s="1469">
        <f t="shared" si="92"/>
        <v>356.93554296021921</v>
      </c>
      <c r="AU27" s="1469">
        <f t="shared" si="92"/>
        <v>541.51886532972912</v>
      </c>
      <c r="AV27" s="1469">
        <f t="shared" si="92"/>
        <v>606.27592949300288</v>
      </c>
      <c r="AW27" s="1469">
        <f t="shared" si="92"/>
        <v>990.6712945489262</v>
      </c>
      <c r="AX27" s="1469">
        <f t="shared" si="92"/>
        <v>528.05779483947663</v>
      </c>
      <c r="AY27" s="1469">
        <f t="shared" si="92"/>
        <v>489.45077824368764</v>
      </c>
      <c r="AZ27" s="1469">
        <f t="shared" si="92"/>
        <v>490.25077824368782</v>
      </c>
      <c r="BA27" s="1469">
        <f t="shared" si="92"/>
        <v>481.00077824368782</v>
      </c>
      <c r="BB27" s="1469">
        <f t="shared" si="92"/>
        <v>479.28286420159748</v>
      </c>
      <c r="BC27" s="2000">
        <f t="shared" si="92"/>
        <v>488.64477824368441</v>
      </c>
    </row>
    <row r="28" spans="2:55" s="1997" customFormat="1" hidden="1" outlineLevel="1">
      <c r="B28" s="3293"/>
      <c r="C28" s="3294"/>
      <c r="D28" s="2263"/>
      <c r="E28" s="2264"/>
      <c r="F28" s="2264"/>
      <c r="G28" s="2265"/>
      <c r="H28" s="2264"/>
      <c r="I28" s="2264"/>
      <c r="J28" s="2264"/>
      <c r="K28" s="2264"/>
      <c r="L28" s="2264"/>
      <c r="M28" s="2264"/>
      <c r="N28" s="2264"/>
      <c r="O28" s="2264"/>
      <c r="P28" s="2264"/>
      <c r="Q28" s="2266"/>
      <c r="R28" s="2266"/>
      <c r="S28" s="2266"/>
      <c r="T28" s="2266"/>
      <c r="U28" s="2266"/>
      <c r="V28" s="2266"/>
      <c r="W28" s="2266"/>
      <c r="X28" s="2266"/>
      <c r="Y28" s="2266"/>
      <c r="Z28" s="2266"/>
      <c r="AA28" s="2266"/>
      <c r="AB28" s="2266"/>
      <c r="AC28" s="2266"/>
      <c r="AD28" s="2267"/>
      <c r="AE28" s="2266"/>
      <c r="AF28" s="2266"/>
      <c r="AG28" s="2266"/>
      <c r="AH28" s="2266"/>
      <c r="AI28" s="2266"/>
      <c r="AJ28" s="2871"/>
      <c r="AK28" s="2266"/>
      <c r="AL28" s="2266"/>
      <c r="AM28" s="2266"/>
      <c r="AN28" s="2266"/>
      <c r="AO28" s="2266"/>
      <c r="AP28" s="2266"/>
      <c r="AQ28" s="2267"/>
      <c r="AR28" s="2266"/>
      <c r="AS28" s="2266"/>
      <c r="AT28" s="2266"/>
      <c r="AU28" s="2266"/>
      <c r="AV28" s="2266"/>
      <c r="AW28" s="2266"/>
      <c r="AX28" s="2266"/>
      <c r="AY28" s="2266"/>
      <c r="AZ28" s="2266"/>
      <c r="BA28" s="2266"/>
      <c r="BB28" s="2266"/>
      <c r="BC28" s="2266"/>
    </row>
    <row r="29" spans="2:55" s="1997" customFormat="1" hidden="1" outlineLevel="1">
      <c r="B29" s="3286"/>
      <c r="C29" s="3287"/>
      <c r="D29" s="2321">
        <f>D27/D9</f>
        <v>3.7964650968537843E-2</v>
      </c>
      <c r="E29" s="2268"/>
      <c r="F29" s="2268"/>
      <c r="G29" s="2269"/>
      <c r="H29" s="2268"/>
      <c r="I29" s="2268"/>
      <c r="J29" s="2268"/>
      <c r="K29" s="2268"/>
      <c r="L29" s="2268"/>
      <c r="M29" s="2268"/>
      <c r="N29" s="2268"/>
      <c r="O29" s="2268"/>
      <c r="P29" s="2268"/>
      <c r="Q29" s="2321">
        <f>Q27/Q9</f>
        <v>4.6208278214936796E-2</v>
      </c>
      <c r="R29" s="2270"/>
      <c r="S29" s="2270"/>
      <c r="T29" s="2270"/>
      <c r="U29" s="2270"/>
      <c r="V29" s="2270"/>
      <c r="W29" s="2270"/>
      <c r="X29" s="2270"/>
      <c r="Y29" s="2270"/>
      <c r="Z29" s="2270"/>
      <c r="AA29" s="2270"/>
      <c r="AB29" s="2270"/>
      <c r="AC29" s="2270"/>
      <c r="AD29" s="2321">
        <f>AD27/AD9</f>
        <v>0.10052112281128282</v>
      </c>
      <c r="AE29" s="2858"/>
      <c r="AF29" s="2858"/>
      <c r="AG29" s="2858"/>
      <c r="AH29" s="2858"/>
      <c r="AI29" s="2858"/>
      <c r="AJ29" s="2858"/>
      <c r="AK29" s="2858"/>
      <c r="AL29" s="2858"/>
      <c r="AM29" s="2858"/>
      <c r="AN29" s="2858"/>
      <c r="AO29" s="2858"/>
      <c r="AP29" s="2858"/>
      <c r="AQ29" s="2793">
        <f>AQ27/AQ9</f>
        <v>0.11765953964600104</v>
      </c>
      <c r="AR29" s="2270"/>
      <c r="AS29" s="2270"/>
      <c r="AT29" s="2270"/>
      <c r="AU29" s="2270"/>
      <c r="AV29" s="2270"/>
      <c r="AW29" s="2270"/>
      <c r="AX29" s="2270"/>
      <c r="AY29" s="2270"/>
      <c r="AZ29" s="2270"/>
      <c r="BA29" s="2270"/>
      <c r="BB29" s="2270"/>
      <c r="BC29" s="2270"/>
    </row>
    <row r="30" spans="2:55" s="1997" customFormat="1" collapsed="1">
      <c r="B30" s="2555"/>
      <c r="C30" s="2556"/>
      <c r="D30" s="2321"/>
      <c r="E30" s="2268"/>
      <c r="F30" s="2268"/>
      <c r="G30" s="2269"/>
      <c r="H30" s="2268"/>
      <c r="I30" s="2268"/>
      <c r="J30" s="2268"/>
      <c r="K30" s="2268"/>
      <c r="L30" s="2268"/>
      <c r="M30" s="2268"/>
      <c r="N30" s="2268"/>
      <c r="O30" s="2268"/>
      <c r="P30" s="2268"/>
      <c r="Q30" s="2321"/>
      <c r="R30" s="2270"/>
      <c r="S30" s="2270"/>
      <c r="T30" s="2270"/>
      <c r="U30" s="2270"/>
      <c r="V30" s="2270"/>
      <c r="W30" s="2270"/>
      <c r="X30" s="2270"/>
      <c r="Y30" s="2270"/>
      <c r="Z30" s="2270"/>
      <c r="AA30" s="2270"/>
      <c r="AB30" s="2270"/>
      <c r="AC30" s="2270"/>
      <c r="AD30" s="2321"/>
      <c r="AE30" s="2270"/>
      <c r="AF30" s="2270"/>
      <c r="AG30" s="2270"/>
      <c r="AH30" s="2270"/>
      <c r="AI30" s="2270"/>
      <c r="AJ30" s="2858"/>
      <c r="AK30" s="2270"/>
      <c r="AL30" s="2270"/>
      <c r="AM30" s="2270"/>
      <c r="AN30" s="2270"/>
      <c r="AO30" s="2270"/>
      <c r="AP30" s="2270"/>
      <c r="AQ30" s="2793"/>
      <c r="AR30" s="2270"/>
      <c r="AS30" s="2270"/>
      <c r="AT30" s="2270"/>
      <c r="AU30" s="2270"/>
      <c r="AV30" s="2270"/>
      <c r="AW30" s="2270"/>
      <c r="AX30" s="2270"/>
      <c r="AY30" s="2270"/>
      <c r="AZ30" s="2270"/>
      <c r="BA30" s="2270"/>
      <c r="BB30" s="2270"/>
      <c r="BC30" s="2270"/>
    </row>
    <row r="31" spans="2:55" s="1997" customFormat="1" hidden="1" outlineLevel="1">
      <c r="B31" s="1998"/>
      <c r="C31" s="1999"/>
      <c r="D31" s="2321"/>
      <c r="E31" s="1995"/>
      <c r="F31" s="1995"/>
      <c r="G31" s="1996"/>
      <c r="H31" s="1995"/>
      <c r="I31" s="1995"/>
      <c r="J31" s="1995"/>
      <c r="K31" s="1995"/>
      <c r="L31" s="1995"/>
      <c r="M31" s="1995"/>
      <c r="N31" s="1995"/>
      <c r="O31" s="1995"/>
      <c r="P31" s="1995"/>
      <c r="Q31" s="2321"/>
      <c r="R31" s="1776"/>
      <c r="S31" s="1776"/>
      <c r="T31" s="1776"/>
      <c r="U31" s="1776"/>
      <c r="V31" s="1776"/>
      <c r="W31" s="1776"/>
      <c r="X31" s="1776"/>
      <c r="Y31" s="1776"/>
      <c r="Z31" s="1776"/>
      <c r="AA31" s="1776"/>
      <c r="AB31" s="1776"/>
      <c r="AC31" s="1776"/>
      <c r="AD31" s="2321"/>
      <c r="AE31" s="1776"/>
      <c r="AF31" s="1776"/>
      <c r="AG31" s="1776"/>
      <c r="AH31" s="1776"/>
      <c r="AI31" s="1776"/>
      <c r="AJ31" s="2872"/>
      <c r="AK31" s="1776"/>
      <c r="AL31" s="1776"/>
      <c r="AM31" s="1776"/>
      <c r="AN31" s="1776"/>
      <c r="AO31" s="1776"/>
      <c r="AP31" s="1776"/>
      <c r="AQ31" s="2793"/>
      <c r="AR31" s="2325"/>
      <c r="AS31" s="2325"/>
      <c r="AT31" s="2325"/>
      <c r="AU31" s="2325"/>
      <c r="AV31" s="1776"/>
      <c r="AW31" s="1776"/>
      <c r="AX31" s="1776"/>
      <c r="AY31" s="1776"/>
      <c r="AZ31" s="1776"/>
      <c r="BA31" s="1776"/>
      <c r="BB31" s="1776"/>
      <c r="BC31" s="1776"/>
    </row>
    <row r="32" spans="2:55" collapsed="1">
      <c r="B32" s="1620" t="s">
        <v>585</v>
      </c>
      <c r="C32" s="1621"/>
      <c r="E32" s="1622"/>
      <c r="F32" s="1622"/>
      <c r="G32" s="1622"/>
      <c r="H32" s="1622"/>
      <c r="I32" s="1622"/>
      <c r="J32" s="1622"/>
      <c r="K32" s="1622"/>
      <c r="L32" s="1622"/>
      <c r="M32" s="1622"/>
      <c r="N32" s="1622"/>
      <c r="O32" s="1622"/>
      <c r="P32" s="1622"/>
      <c r="R32" s="1622"/>
      <c r="S32" s="1622"/>
      <c r="T32" s="1622"/>
      <c r="U32" s="1622"/>
      <c r="V32" s="1622"/>
      <c r="W32" s="1622"/>
      <c r="X32" s="1622"/>
      <c r="Y32" s="1622"/>
      <c r="Z32" s="1622"/>
      <c r="AA32" s="1622"/>
      <c r="AB32" s="1622"/>
      <c r="AC32" s="1623"/>
      <c r="AE32" s="2326"/>
      <c r="AF32" s="2326"/>
      <c r="AG32" s="2326"/>
      <c r="AH32" s="2326"/>
      <c r="AI32" s="2326"/>
      <c r="AJ32" s="2326"/>
      <c r="AK32" s="2326"/>
      <c r="AL32" s="2326"/>
      <c r="AM32" s="2326"/>
      <c r="AN32" s="2326"/>
      <c r="AO32" s="2326"/>
      <c r="AP32" s="2321"/>
      <c r="AQ32" s="1618"/>
      <c r="AR32" s="1622"/>
      <c r="AS32" s="1622"/>
      <c r="AT32" s="2324"/>
      <c r="AU32" s="2324"/>
      <c r="AV32" s="2324"/>
      <c r="AW32" s="2324"/>
      <c r="AX32" s="2324"/>
      <c r="AY32" s="2324"/>
      <c r="AZ32" s="2324"/>
      <c r="BA32" s="2324"/>
      <c r="BB32" s="2324"/>
      <c r="BC32" s="2324"/>
    </row>
    <row r="33" spans="2:58">
      <c r="B33" s="3282" t="s">
        <v>439</v>
      </c>
      <c r="C33" s="3283"/>
      <c r="D33" s="3275" t="s">
        <v>494</v>
      </c>
      <c r="E33" s="3276"/>
      <c r="F33" s="3276"/>
      <c r="G33" s="3276"/>
      <c r="H33" s="3276"/>
      <c r="I33" s="3276"/>
      <c r="J33" s="3276"/>
      <c r="K33" s="3276"/>
      <c r="L33" s="3276"/>
      <c r="M33" s="3276"/>
      <c r="N33" s="3276"/>
      <c r="O33" s="3276"/>
      <c r="P33" s="3295"/>
      <c r="Q33" s="3275" t="s">
        <v>546</v>
      </c>
      <c r="R33" s="3276"/>
      <c r="S33" s="3276"/>
      <c r="T33" s="3276"/>
      <c r="U33" s="3276"/>
      <c r="V33" s="3276"/>
      <c r="W33" s="3276"/>
      <c r="X33" s="3276"/>
      <c r="Y33" s="3276"/>
      <c r="Z33" s="3276"/>
      <c r="AA33" s="3276"/>
      <c r="AB33" s="3276"/>
      <c r="AC33" s="3298"/>
      <c r="AD33" s="3275" t="s">
        <v>572</v>
      </c>
      <c r="AE33" s="3276"/>
      <c r="AF33" s="3276"/>
      <c r="AG33" s="3276"/>
      <c r="AH33" s="3276"/>
      <c r="AI33" s="3276"/>
      <c r="AJ33" s="3276"/>
      <c r="AK33" s="3276"/>
      <c r="AL33" s="3276"/>
      <c r="AM33" s="3276"/>
      <c r="AN33" s="3276"/>
      <c r="AO33" s="3276"/>
      <c r="AP33" s="3276"/>
      <c r="AQ33" s="3277" t="s">
        <v>586</v>
      </c>
      <c r="AR33" s="3278"/>
      <c r="AS33" s="3278"/>
      <c r="AT33" s="3278"/>
      <c r="AU33" s="3278"/>
      <c r="AV33" s="3278"/>
      <c r="AW33" s="3278"/>
      <c r="AX33" s="3278"/>
      <c r="AY33" s="3278"/>
      <c r="AZ33" s="3278"/>
      <c r="BA33" s="3278"/>
      <c r="BB33" s="3278"/>
      <c r="BC33" s="3278"/>
    </row>
    <row r="34" spans="2:58">
      <c r="B34" s="3284"/>
      <c r="C34" s="3285"/>
      <c r="D34" s="1104" t="s">
        <v>492</v>
      </c>
      <c r="E34" s="1320" t="s">
        <v>461</v>
      </c>
      <c r="F34" s="1320" t="s">
        <v>440</v>
      </c>
      <c r="G34" s="1320" t="s">
        <v>4</v>
      </c>
      <c r="H34" s="1320" t="s">
        <v>5</v>
      </c>
      <c r="I34" s="1320" t="s">
        <v>6</v>
      </c>
      <c r="J34" s="1320" t="s">
        <v>7</v>
      </c>
      <c r="K34" s="1320" t="s">
        <v>8</v>
      </c>
      <c r="L34" s="1320" t="s">
        <v>9</v>
      </c>
      <c r="M34" s="1320" t="s">
        <v>10</v>
      </c>
      <c r="N34" s="1320" t="s">
        <v>11</v>
      </c>
      <c r="O34" s="1320" t="s">
        <v>12</v>
      </c>
      <c r="P34" s="1320" t="s">
        <v>13</v>
      </c>
      <c r="Q34" s="1104" t="s">
        <v>492</v>
      </c>
      <c r="R34" s="1320" t="s">
        <v>2</v>
      </c>
      <c r="S34" s="1320" t="s">
        <v>440</v>
      </c>
      <c r="T34" s="1320" t="s">
        <v>4</v>
      </c>
      <c r="U34" s="1320" t="s">
        <v>5</v>
      </c>
      <c r="V34" s="1320" t="s">
        <v>6</v>
      </c>
      <c r="W34" s="1320" t="s">
        <v>7</v>
      </c>
      <c r="X34" s="1320" t="s">
        <v>8</v>
      </c>
      <c r="Y34" s="1320" t="s">
        <v>9</v>
      </c>
      <c r="Z34" s="1320" t="s">
        <v>10</v>
      </c>
      <c r="AA34" s="1320" t="s">
        <v>11</v>
      </c>
      <c r="AB34" s="1320" t="s">
        <v>441</v>
      </c>
      <c r="AC34" s="1609" t="s">
        <v>442</v>
      </c>
      <c r="AD34" s="2319" t="s">
        <v>492</v>
      </c>
      <c r="AE34" s="1320" t="s">
        <v>2</v>
      </c>
      <c r="AF34" s="1320" t="s">
        <v>440</v>
      </c>
      <c r="AG34" s="1320" t="s">
        <v>4</v>
      </c>
      <c r="AH34" s="1320" t="s">
        <v>5</v>
      </c>
      <c r="AI34" s="1320" t="s">
        <v>6</v>
      </c>
      <c r="AJ34" s="1320" t="s">
        <v>7</v>
      </c>
      <c r="AK34" s="1320" t="s">
        <v>8</v>
      </c>
      <c r="AL34" s="1320" t="s">
        <v>9</v>
      </c>
      <c r="AM34" s="1320" t="s">
        <v>10</v>
      </c>
      <c r="AN34" s="1320" t="s">
        <v>11</v>
      </c>
      <c r="AO34" s="1320" t="s">
        <v>441</v>
      </c>
      <c r="AP34" s="2316" t="s">
        <v>442</v>
      </c>
      <c r="AQ34" s="2792" t="s">
        <v>492</v>
      </c>
      <c r="AR34" s="2323" t="s">
        <v>2</v>
      </c>
      <c r="AS34" s="2323" t="s">
        <v>440</v>
      </c>
      <c r="AT34" s="2323" t="s">
        <v>4</v>
      </c>
      <c r="AU34" s="2323" t="s">
        <v>5</v>
      </c>
      <c r="AV34" s="2323" t="s">
        <v>6</v>
      </c>
      <c r="AW34" s="2323" t="s">
        <v>7</v>
      </c>
      <c r="AX34" s="2323" t="s">
        <v>8</v>
      </c>
      <c r="AY34" s="2323" t="s">
        <v>9</v>
      </c>
      <c r="AZ34" s="2323" t="s">
        <v>10</v>
      </c>
      <c r="BA34" s="2323" t="s">
        <v>11</v>
      </c>
      <c r="BB34" s="2323" t="s">
        <v>441</v>
      </c>
      <c r="BC34" s="2788" t="s">
        <v>442</v>
      </c>
    </row>
    <row r="35" spans="2:58">
      <c r="B35" s="3290" t="s">
        <v>447</v>
      </c>
      <c r="C35" s="3291"/>
      <c r="D35" s="1469">
        <f>SUM(E35:P35)</f>
        <v>7281.9939079999986</v>
      </c>
      <c r="E35" s="1469">
        <f t="shared" ref="E35:P35" si="93">SUM(E36:E39)</f>
        <v>31.406331999999999</v>
      </c>
      <c r="F35" s="1469">
        <f t="shared" si="93"/>
        <v>8.7426999999999992</v>
      </c>
      <c r="G35" s="1469">
        <f t="shared" si="93"/>
        <v>7.0408499999999998</v>
      </c>
      <c r="H35" s="1469">
        <f t="shared" si="93"/>
        <v>1.762</v>
      </c>
      <c r="I35" s="1469">
        <f t="shared" si="93"/>
        <v>444.58969999999999</v>
      </c>
      <c r="J35" s="1469">
        <f t="shared" si="93"/>
        <v>476.73085999999995</v>
      </c>
      <c r="K35" s="1469">
        <f t="shared" si="93"/>
        <v>396.33629999999999</v>
      </c>
      <c r="L35" s="1469">
        <f t="shared" si="93"/>
        <v>1896.0477980000001</v>
      </c>
      <c r="M35" s="1469">
        <f t="shared" si="93"/>
        <v>529.97445000000005</v>
      </c>
      <c r="N35" s="1469">
        <f t="shared" si="93"/>
        <v>1907.0398999999998</v>
      </c>
      <c r="O35" s="1469">
        <f t="shared" si="93"/>
        <v>862.62545</v>
      </c>
      <c r="P35" s="1469">
        <f t="shared" si="93"/>
        <v>719.69756800000005</v>
      </c>
      <c r="Q35" s="1469">
        <f>SUM(R35:AC35)</f>
        <v>14221.025154999999</v>
      </c>
      <c r="R35" s="1471">
        <f t="shared" ref="R35:AC35" si="94">SUM(R36:R39)</f>
        <v>234.68045000000004</v>
      </c>
      <c r="S35" s="1471">
        <f t="shared" si="94"/>
        <v>51.050499999999992</v>
      </c>
      <c r="T35" s="1471">
        <f t="shared" si="94"/>
        <v>713.51486399999999</v>
      </c>
      <c r="U35" s="1471">
        <f t="shared" si="94"/>
        <v>1368.3895459999999</v>
      </c>
      <c r="V35" s="1471">
        <f t="shared" si="94"/>
        <v>1688.595454</v>
      </c>
      <c r="W35" s="1471">
        <f t="shared" si="94"/>
        <v>391.4</v>
      </c>
      <c r="X35" s="1471">
        <f t="shared" si="94"/>
        <v>1179.2809999999999</v>
      </c>
      <c r="Y35" s="1471">
        <f t="shared" si="94"/>
        <v>1923.089909</v>
      </c>
      <c r="Z35" s="1471">
        <f t="shared" si="94"/>
        <v>2308.8423640000001</v>
      </c>
      <c r="AA35" s="1471">
        <f t="shared" si="94"/>
        <v>2566.3211590000001</v>
      </c>
      <c r="AB35" s="1471">
        <f t="shared" si="94"/>
        <v>1565.1435449999999</v>
      </c>
      <c r="AC35" s="1612">
        <f t="shared" si="94"/>
        <v>230.716364</v>
      </c>
      <c r="AD35" s="1469">
        <f>SUM(AE35:AP35)</f>
        <v>10165.249491</v>
      </c>
      <c r="AE35" s="1469">
        <f t="shared" ref="AE35:AP35" si="95">SUM(AE36:AE39)</f>
        <v>517.91272550000008</v>
      </c>
      <c r="AF35" s="1469">
        <f t="shared" si="95"/>
        <v>781.31886499999996</v>
      </c>
      <c r="AG35" s="1469">
        <f t="shared" si="95"/>
        <v>425.9666805</v>
      </c>
      <c r="AH35" s="1469">
        <f t="shared" si="95"/>
        <v>923.247975</v>
      </c>
      <c r="AI35" s="1469">
        <f t="shared" si="95"/>
        <v>239.86618249999998</v>
      </c>
      <c r="AJ35" s="1469">
        <f t="shared" si="95"/>
        <v>593.45118200000002</v>
      </c>
      <c r="AK35" s="1469">
        <f t="shared" si="95"/>
        <v>1271.143444</v>
      </c>
      <c r="AL35" s="1469">
        <f t="shared" si="95"/>
        <v>1189.6017259999999</v>
      </c>
      <c r="AM35" s="1469">
        <f t="shared" si="95"/>
        <v>1371.3818179999998</v>
      </c>
      <c r="AN35" s="1469">
        <f t="shared" si="95"/>
        <v>900.3672610000001</v>
      </c>
      <c r="AO35" s="1469">
        <f t="shared" si="95"/>
        <v>1350.4373604999998</v>
      </c>
      <c r="AP35" s="2000">
        <f t="shared" si="95"/>
        <v>600.55427100000009</v>
      </c>
      <c r="AQ35" s="1469">
        <f>SUM(AR35:BC35)</f>
        <v>18112</v>
      </c>
      <c r="AR35" s="1469">
        <f t="shared" ref="AR35:BC35" si="96">SUM(AR36:AR39)</f>
        <v>1490.6209138333331</v>
      </c>
      <c r="AS35" s="1469">
        <f t="shared" si="96"/>
        <v>1490.6209138333331</v>
      </c>
      <c r="AT35" s="1469">
        <f t="shared" si="96"/>
        <v>1490.6209138333331</v>
      </c>
      <c r="AU35" s="1469">
        <f t="shared" si="96"/>
        <v>1547.4321398333332</v>
      </c>
      <c r="AV35" s="1469">
        <f t="shared" si="96"/>
        <v>1490.6209138333331</v>
      </c>
      <c r="AW35" s="1469">
        <f t="shared" si="96"/>
        <v>1490.6209138333331</v>
      </c>
      <c r="AX35" s="1469">
        <f t="shared" si="96"/>
        <v>1558.2647218333332</v>
      </c>
      <c r="AY35" s="1469">
        <f t="shared" si="96"/>
        <v>1510.220913833333</v>
      </c>
      <c r="AZ35" s="1469">
        <f t="shared" si="96"/>
        <v>1511.4209138333331</v>
      </c>
      <c r="BA35" s="1469">
        <f t="shared" si="96"/>
        <v>1510.220913833333</v>
      </c>
      <c r="BB35" s="1469">
        <f t="shared" si="96"/>
        <v>1510.220913833333</v>
      </c>
      <c r="BC35" s="2000">
        <f t="shared" si="96"/>
        <v>1511.114913833333</v>
      </c>
    </row>
    <row r="36" spans="2:58">
      <c r="B36" s="1624"/>
      <c r="C36" s="1611" t="s">
        <v>435</v>
      </c>
      <c r="D36" s="1470">
        <f t="shared" ref="D36:D39" si="97">SUM(E36:P36)</f>
        <v>6967.1327979999996</v>
      </c>
      <c r="E36" s="1471">
        <v>3.5811999999999999</v>
      </c>
      <c r="F36" s="1471">
        <v>2.1583999999999999</v>
      </c>
      <c r="G36" s="1471">
        <v>2.13</v>
      </c>
      <c r="H36" s="1471">
        <v>1.762</v>
      </c>
      <c r="I36" s="1471">
        <v>444.58969999999999</v>
      </c>
      <c r="J36" s="1471">
        <v>453.35319999999996</v>
      </c>
      <c r="K36" s="1471">
        <v>393.35919999999999</v>
      </c>
      <c r="L36" s="1471">
        <v>1877.5249980000001</v>
      </c>
      <c r="M36" s="1471">
        <v>518.95900000000006</v>
      </c>
      <c r="N36" s="1471">
        <v>1900.1554499999997</v>
      </c>
      <c r="O36" s="1471">
        <v>859.15959999999995</v>
      </c>
      <c r="P36" s="1471">
        <v>510.40005000000002</v>
      </c>
      <c r="Q36" s="1470">
        <f>SUM(R36:AC36)</f>
        <v>12733.135195999999</v>
      </c>
      <c r="R36" s="1471">
        <v>221.55265000000003</v>
      </c>
      <c r="S36" s="1471">
        <v>3.9504999999999999</v>
      </c>
      <c r="T36" s="1471">
        <v>704.71486400000003</v>
      </c>
      <c r="U36" s="1471">
        <v>997.40772800000002</v>
      </c>
      <c r="V36" s="1472">
        <v>1685.504545</v>
      </c>
      <c r="W36" s="1471">
        <v>387.95</v>
      </c>
      <c r="X36" s="1471">
        <v>1137.221</v>
      </c>
      <c r="Y36" s="1471">
        <v>1835.3489999999999</v>
      </c>
      <c r="Z36" s="1471">
        <v>1958.7760000000001</v>
      </c>
      <c r="AA36" s="1471">
        <v>2538.3490000000002</v>
      </c>
      <c r="AB36" s="2600">
        <f>231.643545+800</f>
        <v>1031.6435449999999</v>
      </c>
      <c r="AC36" s="1612">
        <v>230.716364</v>
      </c>
      <c r="AD36" s="1470">
        <f>SUM(AE36:AP36)</f>
        <v>9035.2574700000005</v>
      </c>
      <c r="AE36" s="1471">
        <v>514.68545300000005</v>
      </c>
      <c r="AF36" s="1471">
        <v>428.09159199999999</v>
      </c>
      <c r="AG36" s="1471">
        <v>423.91668099999998</v>
      </c>
      <c r="AH36" s="1471">
        <v>857.84583999999995</v>
      </c>
      <c r="AI36" s="1472">
        <v>231.14345499999999</v>
      </c>
      <c r="AJ36" s="1471">
        <v>443.66027200000002</v>
      </c>
      <c r="AK36" s="1471">
        <v>1158.104182</v>
      </c>
      <c r="AL36" s="1471">
        <v>1132.6630909999999</v>
      </c>
      <c r="AM36" s="1471">
        <v>1290.6181819999999</v>
      </c>
      <c r="AN36" s="1471">
        <v>808.18563600000004</v>
      </c>
      <c r="AO36" s="1471">
        <v>1311.373724</v>
      </c>
      <c r="AP36" s="2001">
        <v>434.96936199999999</v>
      </c>
      <c r="AQ36" s="1470">
        <f>SUM(AR36:BC36)</f>
        <v>15527.450965999997</v>
      </c>
      <c r="AR36" s="1471">
        <v>1293.9542471666664</v>
      </c>
      <c r="AS36" s="1471">
        <v>1293.9542471666664</v>
      </c>
      <c r="AT36" s="1471">
        <v>1293.9542471666664</v>
      </c>
      <c r="AU36" s="1471">
        <v>1293.9542471666664</v>
      </c>
      <c r="AV36" s="1472">
        <v>1293.9542471666664</v>
      </c>
      <c r="AW36" s="1471">
        <v>1293.9542471666664</v>
      </c>
      <c r="AX36" s="1471">
        <v>1293.9542471666664</v>
      </c>
      <c r="AY36" s="1471">
        <v>1293.9542471666664</v>
      </c>
      <c r="AZ36" s="1471">
        <v>1293.9542471666664</v>
      </c>
      <c r="BA36" s="1471">
        <v>1293.9542471666664</v>
      </c>
      <c r="BB36" s="1471">
        <v>1293.9542471666664</v>
      </c>
      <c r="BC36" s="2001">
        <v>1293.9542471666664</v>
      </c>
      <c r="BF36" s="2874"/>
    </row>
    <row r="37" spans="2:58">
      <c r="B37" s="3281"/>
      <c r="C37" s="1611" t="s">
        <v>529</v>
      </c>
      <c r="D37" s="1470">
        <f t="shared" si="97"/>
        <v>314.86111</v>
      </c>
      <c r="E37" s="1472">
        <v>27.825132</v>
      </c>
      <c r="F37" s="1472">
        <v>6.5842999999999998</v>
      </c>
      <c r="G37" s="1472">
        <v>4.9108499999999999</v>
      </c>
      <c r="H37" s="1472">
        <v>0</v>
      </c>
      <c r="I37" s="1472">
        <v>0</v>
      </c>
      <c r="J37" s="1472">
        <v>23.377659999999999</v>
      </c>
      <c r="K37" s="1472">
        <v>2.9771000000000001</v>
      </c>
      <c r="L37" s="1472">
        <v>18.5228</v>
      </c>
      <c r="M37" s="1472">
        <v>11.01545</v>
      </c>
      <c r="N37" s="1472">
        <v>6.8844500000000002</v>
      </c>
      <c r="O37" s="1472">
        <v>3.4658500000000001</v>
      </c>
      <c r="P37" s="1472">
        <v>209.297518</v>
      </c>
      <c r="Q37" s="1470">
        <f t="shared" ref="Q37:Q39" si="98">SUM(R37:AC37)</f>
        <v>1458.8899999999999</v>
      </c>
      <c r="R37" s="1472">
        <v>12.1</v>
      </c>
      <c r="S37" s="1472">
        <v>47.099999999999994</v>
      </c>
      <c r="T37" s="1472">
        <v>8.8000000000000007</v>
      </c>
      <c r="U37" s="1472">
        <v>370.98181799999998</v>
      </c>
      <c r="V37" s="1472">
        <v>3.0909089999999999</v>
      </c>
      <c r="W37" s="1472">
        <v>3.45</v>
      </c>
      <c r="X37" s="1472">
        <v>42.059999999999995</v>
      </c>
      <c r="Y37" s="1472">
        <v>87.740909000000002</v>
      </c>
      <c r="Z37" s="1472">
        <v>350.06636400000002</v>
      </c>
      <c r="AA37" s="1472"/>
      <c r="AB37" s="2601">
        <f>1333.5-800</f>
        <v>533.5</v>
      </c>
      <c r="AC37" s="1625"/>
      <c r="AD37" s="1470">
        <f t="shared" ref="AD37:AD39" si="99">SUM(AE37:AP37)</f>
        <v>905.44298700000002</v>
      </c>
      <c r="AE37" s="1472">
        <v>3.2272725000000002</v>
      </c>
      <c r="AF37" s="1472">
        <v>353.22727300000003</v>
      </c>
      <c r="AG37" s="1472">
        <v>2.0499995000000002</v>
      </c>
      <c r="AH37" s="1472">
        <v>8.5909089999999999</v>
      </c>
      <c r="AI37" s="1472">
        <v>8.7227274999999995</v>
      </c>
      <c r="AJ37" s="1472">
        <v>149.79091</v>
      </c>
      <c r="AK37" s="1472">
        <v>45.395454000000001</v>
      </c>
      <c r="AL37" s="1472">
        <v>37.338634999999996</v>
      </c>
      <c r="AM37" s="1472">
        <v>59.963636000000001</v>
      </c>
      <c r="AN37" s="1472">
        <v>72.581625000000003</v>
      </c>
      <c r="AO37" s="1472">
        <v>19.4636365</v>
      </c>
      <c r="AP37" s="2790">
        <v>145.09090900000001</v>
      </c>
      <c r="AQ37" s="1470">
        <f t="shared" ref="AQ37:AQ39" si="100">SUM(AR37:BC37)</f>
        <v>2360</v>
      </c>
      <c r="AR37" s="1472">
        <v>196.66666666666666</v>
      </c>
      <c r="AS37" s="1472">
        <v>196.66666666666666</v>
      </c>
      <c r="AT37" s="1472">
        <v>196.66666666666666</v>
      </c>
      <c r="AU37" s="1472">
        <v>196.66666666666666</v>
      </c>
      <c r="AV37" s="1472">
        <v>196.66666666666666</v>
      </c>
      <c r="AW37" s="1472">
        <v>196.66666666666666</v>
      </c>
      <c r="AX37" s="1472">
        <v>196.66666666666666</v>
      </c>
      <c r="AY37" s="1472">
        <v>196.66666666666666</v>
      </c>
      <c r="AZ37" s="1472">
        <v>196.66666666666666</v>
      </c>
      <c r="BA37" s="1472">
        <v>196.66666666666666</v>
      </c>
      <c r="BB37" s="1472">
        <v>196.66666666666666</v>
      </c>
      <c r="BC37" s="2790">
        <v>196.66666666666666</v>
      </c>
    </row>
    <row r="38" spans="2:58">
      <c r="B38" s="3281"/>
      <c r="C38" s="1611" t="s">
        <v>531</v>
      </c>
      <c r="D38" s="1470"/>
      <c r="E38" s="1472"/>
      <c r="F38" s="1472"/>
      <c r="G38" s="1472"/>
      <c r="H38" s="1472"/>
      <c r="I38" s="1472"/>
      <c r="J38" s="1472"/>
      <c r="K38" s="1472"/>
      <c r="L38" s="1472"/>
      <c r="M38" s="1472"/>
      <c r="N38" s="1472"/>
      <c r="O38" s="1472"/>
      <c r="P38" s="1472"/>
      <c r="Q38" s="1470">
        <f t="shared" si="98"/>
        <v>28.999959</v>
      </c>
      <c r="R38" s="1472">
        <v>1.0278</v>
      </c>
      <c r="S38" s="1472"/>
      <c r="T38" s="1472"/>
      <c r="U38" s="1472"/>
      <c r="V38" s="1472"/>
      <c r="W38" s="1472"/>
      <c r="X38" s="1472"/>
      <c r="Y38" s="1472"/>
      <c r="Z38" s="1472"/>
      <c r="AA38" s="1472">
        <v>27.972159000000001</v>
      </c>
      <c r="AB38" s="1472"/>
      <c r="AC38" s="1625"/>
      <c r="AD38" s="1470">
        <f t="shared" si="99"/>
        <v>224.54903400000001</v>
      </c>
      <c r="AE38" s="1472"/>
      <c r="AF38" s="1472"/>
      <c r="AG38" s="1472"/>
      <c r="AH38" s="1472">
        <v>56.811225999999998</v>
      </c>
      <c r="AI38" s="1472"/>
      <c r="AJ38" s="1472"/>
      <c r="AK38" s="1472">
        <v>67.643808000000007</v>
      </c>
      <c r="AL38" s="1472">
        <v>19.600000000000001</v>
      </c>
      <c r="AM38" s="1472">
        <v>20.8</v>
      </c>
      <c r="AN38" s="1472">
        <v>19.600000000000001</v>
      </c>
      <c r="AO38" s="1472">
        <v>19.600000000000001</v>
      </c>
      <c r="AP38" s="2790">
        <v>20.494</v>
      </c>
      <c r="AQ38" s="1470">
        <f t="shared" si="100"/>
        <v>224.54903400000001</v>
      </c>
      <c r="AR38" s="1472"/>
      <c r="AS38" s="1472"/>
      <c r="AT38" s="1472"/>
      <c r="AU38" s="1472">
        <v>56.811225999999998</v>
      </c>
      <c r="AV38" s="1472"/>
      <c r="AW38" s="1472"/>
      <c r="AX38" s="1472">
        <v>67.643808000000007</v>
      </c>
      <c r="AY38" s="1472">
        <v>19.600000000000001</v>
      </c>
      <c r="AZ38" s="1472">
        <v>20.8</v>
      </c>
      <c r="BA38" s="1472">
        <v>19.600000000000001</v>
      </c>
      <c r="BB38" s="1472">
        <v>19.600000000000001</v>
      </c>
      <c r="BC38" s="2790">
        <v>20.494</v>
      </c>
    </row>
    <row r="39" spans="2:58">
      <c r="B39" s="3289"/>
      <c r="C39" s="1611" t="s">
        <v>415</v>
      </c>
      <c r="D39" s="1470">
        <f t="shared" si="97"/>
        <v>0</v>
      </c>
      <c r="E39" s="1472">
        <v>0</v>
      </c>
      <c r="F39" s="1472">
        <v>0</v>
      </c>
      <c r="G39" s="1472">
        <v>0</v>
      </c>
      <c r="H39" s="1472">
        <v>0</v>
      </c>
      <c r="I39" s="1472">
        <v>0</v>
      </c>
      <c r="J39" s="1472">
        <v>0</v>
      </c>
      <c r="K39" s="1472">
        <v>0</v>
      </c>
      <c r="L39" s="1472">
        <v>0</v>
      </c>
      <c r="M39" s="1472">
        <v>0</v>
      </c>
      <c r="N39" s="1472">
        <v>0</v>
      </c>
      <c r="O39" s="1472">
        <v>0</v>
      </c>
      <c r="P39" s="1472">
        <v>0</v>
      </c>
      <c r="Q39" s="1470">
        <f t="shared" si="98"/>
        <v>0</v>
      </c>
      <c r="R39" s="1472"/>
      <c r="S39" s="1472"/>
      <c r="T39" s="1472"/>
      <c r="U39" s="1472"/>
      <c r="V39" s="1472"/>
      <c r="W39" s="1472"/>
      <c r="X39" s="1472"/>
      <c r="Y39" s="1472"/>
      <c r="Z39" s="1472"/>
      <c r="AA39" s="1472"/>
      <c r="AB39" s="1472"/>
      <c r="AC39" s="1625"/>
      <c r="AD39" s="1470">
        <f t="shared" si="99"/>
        <v>0</v>
      </c>
      <c r="AE39" s="1472"/>
      <c r="AF39" s="1472"/>
      <c r="AG39" s="1472"/>
      <c r="AH39" s="1472"/>
      <c r="AI39" s="1472"/>
      <c r="AJ39" s="1472"/>
      <c r="AK39" s="1472"/>
      <c r="AL39" s="1472"/>
      <c r="AM39" s="1472"/>
      <c r="AN39" s="1472"/>
      <c r="AO39" s="1472"/>
      <c r="AP39" s="2790"/>
      <c r="AQ39" s="1470">
        <f t="shared" si="100"/>
        <v>0</v>
      </c>
      <c r="AR39" s="1472"/>
      <c r="AS39" s="1472"/>
      <c r="AT39" s="1472"/>
      <c r="AU39" s="1472"/>
      <c r="AV39" s="1472"/>
      <c r="AW39" s="1472"/>
      <c r="AX39" s="1472"/>
      <c r="AY39" s="1472"/>
      <c r="AZ39" s="1472"/>
      <c r="BA39" s="1472"/>
      <c r="BB39" s="1472"/>
      <c r="BC39" s="2790"/>
    </row>
    <row r="40" spans="2:58">
      <c r="B40" s="3290" t="s">
        <v>417</v>
      </c>
      <c r="C40" s="3291"/>
      <c r="D40" s="1469">
        <f>SUM(E40:P40)</f>
        <v>6744.9306089999991</v>
      </c>
      <c r="E40" s="1469">
        <f t="shared" ref="E40:P40" si="101">SUM(E41:E48)</f>
        <v>9.8030810000000006</v>
      </c>
      <c r="F40" s="1469">
        <f t="shared" si="101"/>
        <v>7.0338279999999997</v>
      </c>
      <c r="G40" s="1469">
        <f t="shared" si="101"/>
        <v>16.801283999999999</v>
      </c>
      <c r="H40" s="1469">
        <f t="shared" si="101"/>
        <v>6.4035599999999997</v>
      </c>
      <c r="I40" s="1469">
        <f t="shared" si="101"/>
        <v>367.69037400000002</v>
      </c>
      <c r="J40" s="1469">
        <f t="shared" si="101"/>
        <v>580.55868399999997</v>
      </c>
      <c r="K40" s="1469">
        <f t="shared" si="101"/>
        <v>374.31101000000001</v>
      </c>
      <c r="L40" s="1469">
        <f t="shared" si="101"/>
        <v>1733.8893259999998</v>
      </c>
      <c r="M40" s="1469">
        <f t="shared" si="101"/>
        <v>490.63087399999995</v>
      </c>
      <c r="N40" s="1469">
        <f t="shared" si="101"/>
        <v>1609.9491809999997</v>
      </c>
      <c r="O40" s="1469">
        <f t="shared" si="101"/>
        <v>1048.0683989999998</v>
      </c>
      <c r="P40" s="1469">
        <f t="shared" si="101"/>
        <v>499.79100800000003</v>
      </c>
      <c r="Q40" s="1469">
        <f>SUM(R40:AC40)</f>
        <v>14708.743129</v>
      </c>
      <c r="R40" s="1469">
        <f>SUM(R41:R50)</f>
        <v>326.14167100000003</v>
      </c>
      <c r="S40" s="1469">
        <f t="shared" ref="S40:AC40" si="102">SUM(S41:S50)</f>
        <v>77.987338999999992</v>
      </c>
      <c r="T40" s="1469">
        <f t="shared" si="102"/>
        <v>824.318217</v>
      </c>
      <c r="U40" s="1469">
        <f t="shared" si="102"/>
        <v>1068.0068879999999</v>
      </c>
      <c r="V40" s="1469">
        <f t="shared" si="102"/>
        <v>1706.6163939999999</v>
      </c>
      <c r="W40" s="1469">
        <f t="shared" si="102"/>
        <v>272.41051600000003</v>
      </c>
      <c r="X40" s="1469">
        <f t="shared" si="102"/>
        <v>1867.047834</v>
      </c>
      <c r="Y40" s="1469">
        <f t="shared" si="102"/>
        <v>1933.8042189999996</v>
      </c>
      <c r="Z40" s="1469">
        <f t="shared" si="102"/>
        <v>1901.3808199999999</v>
      </c>
      <c r="AA40" s="1469">
        <f t="shared" si="102"/>
        <v>2486.7365280000004</v>
      </c>
      <c r="AB40" s="1469">
        <f t="shared" si="102"/>
        <v>1707.6860720000002</v>
      </c>
      <c r="AC40" s="1469">
        <f t="shared" si="102"/>
        <v>536.60663100000011</v>
      </c>
      <c r="AD40" s="1469">
        <f>SUM(AE40:AP40)</f>
        <v>9758.2271139999975</v>
      </c>
      <c r="AE40" s="1469">
        <f>SUM(AE41:AE50)</f>
        <v>510.59442500000006</v>
      </c>
      <c r="AF40" s="1469">
        <f t="shared" ref="AF40" si="103">SUM(AF41:AF50)</f>
        <v>606.27928600000007</v>
      </c>
      <c r="AG40" s="1469">
        <f t="shared" ref="AG40" si="104">SUM(AG41:AG50)</f>
        <v>447.89428750000002</v>
      </c>
      <c r="AH40" s="1469">
        <f t="shared" ref="AH40" si="105">SUM(AH41:AH50)</f>
        <v>815.44456549999995</v>
      </c>
      <c r="AI40" s="1469">
        <f t="shared" ref="AI40" si="106">SUM(AI41:AI50)</f>
        <v>320.48323249999999</v>
      </c>
      <c r="AJ40" s="1469">
        <f t="shared" ref="AJ40" si="107">SUM(AJ41:AJ50)</f>
        <v>633.5770774999985</v>
      </c>
      <c r="AK40" s="1469">
        <f t="shared" ref="AK40" si="108">SUM(AK41:AK50)</f>
        <v>1194.2968724999998</v>
      </c>
      <c r="AL40" s="1469">
        <f t="shared" ref="AL40" si="109">SUM(AL41:AL50)</f>
        <v>1234.5172489999998</v>
      </c>
      <c r="AM40" s="1469">
        <f t="shared" ref="AM40" si="110">SUM(AM41:AM50)</f>
        <v>1422.9344384999999</v>
      </c>
      <c r="AN40" s="1469">
        <f t="shared" ref="AN40" si="111">SUM(AN41:AN50)</f>
        <v>840.53125699999998</v>
      </c>
      <c r="AO40" s="1469">
        <f t="shared" ref="AO40" si="112">SUM(AO41:AO50)</f>
        <v>1137.8072835</v>
      </c>
      <c r="AP40" s="2000">
        <f t="shared" ref="AP40" si="113">SUM(AP41:AP50)</f>
        <v>593.86713949999989</v>
      </c>
      <c r="AQ40" s="1469">
        <f>SUM(AR40:BC40)</f>
        <v>17467.116477375246</v>
      </c>
      <c r="AR40" s="1469">
        <f>SUM(AR41:AR50)</f>
        <v>1455.5930397812708</v>
      </c>
      <c r="AS40" s="1469">
        <f t="shared" ref="AS40:BC40" si="114">SUM(AS41:AS50)</f>
        <v>1455.5930397812708</v>
      </c>
      <c r="AT40" s="1469">
        <f t="shared" si="114"/>
        <v>1455.5930397812708</v>
      </c>
      <c r="AU40" s="1469">
        <f t="shared" si="114"/>
        <v>1455.5930397812708</v>
      </c>
      <c r="AV40" s="1469">
        <f t="shared" si="114"/>
        <v>1455.5930397812708</v>
      </c>
      <c r="AW40" s="1469">
        <f t="shared" si="114"/>
        <v>1455.5930397812708</v>
      </c>
      <c r="AX40" s="1469">
        <f t="shared" si="114"/>
        <v>1455.5930397812708</v>
      </c>
      <c r="AY40" s="1469">
        <f t="shared" si="114"/>
        <v>1455.5930397812708</v>
      </c>
      <c r="AZ40" s="1469">
        <f t="shared" si="114"/>
        <v>1455.5930397812708</v>
      </c>
      <c r="BA40" s="1469">
        <f t="shared" si="114"/>
        <v>1455.5930397812708</v>
      </c>
      <c r="BB40" s="1469">
        <f t="shared" si="114"/>
        <v>1455.5930397812708</v>
      </c>
      <c r="BC40" s="2000">
        <f t="shared" si="114"/>
        <v>1455.5930397812708</v>
      </c>
    </row>
    <row r="41" spans="2:58">
      <c r="B41" s="1624"/>
      <c r="C41" s="1613" t="s">
        <v>449</v>
      </c>
      <c r="D41" s="1470">
        <f t="shared" ref="D41:D50" si="115">SUM(E41:P41)</f>
        <v>5888.6374999999998</v>
      </c>
      <c r="E41" s="1471">
        <v>2.3821910000000002</v>
      </c>
      <c r="F41" s="1471">
        <v>1.4088909999999999</v>
      </c>
      <c r="G41" s="1471">
        <v>1.3881270000000001</v>
      </c>
      <c r="H41" s="1471">
        <v>1.1343909999999999</v>
      </c>
      <c r="I41" s="1471">
        <v>362.02530000000002</v>
      </c>
      <c r="J41" s="1471">
        <v>359.66240199999999</v>
      </c>
      <c r="K41" s="1471">
        <v>299.60991000000001</v>
      </c>
      <c r="L41" s="1505">
        <v>1570.684454</v>
      </c>
      <c r="M41" s="1505">
        <v>409.27254499999998</v>
      </c>
      <c r="N41" s="1471">
        <v>1514.0764539999998</v>
      </c>
      <c r="O41" s="1471">
        <v>955.33674499999995</v>
      </c>
      <c r="P41" s="1471">
        <v>411.65609000000001</v>
      </c>
      <c r="Q41" s="1470">
        <f t="shared" ref="Q41:Q47" si="116">SUM(R41:AC41)</f>
        <v>12397.068670999999</v>
      </c>
      <c r="R41" s="1471">
        <v>198.20490000000001</v>
      </c>
      <c r="S41" s="1471">
        <v>39.874226999999998</v>
      </c>
      <c r="T41" s="1471">
        <v>749.90263600000003</v>
      </c>
      <c r="U41" s="1471">
        <v>998.66772700000001</v>
      </c>
      <c r="V41" s="1471">
        <v>1620.842455</v>
      </c>
      <c r="W41" s="1471">
        <v>209.983068</v>
      </c>
      <c r="X41" s="1471">
        <v>1000.0065</v>
      </c>
      <c r="Y41" s="1471">
        <v>1615.6524999999999</v>
      </c>
      <c r="Z41" s="1471">
        <v>1804.8700449999999</v>
      </c>
      <c r="AA41" s="1471">
        <v>2361.4110260000002</v>
      </c>
      <c r="AB41" s="1471">
        <v>1620.2863420000001</v>
      </c>
      <c r="AC41" s="1612">
        <v>177.367245</v>
      </c>
      <c r="AD41" s="1470">
        <f t="shared" ref="AD41:AD47" si="117">SUM(AE41:AP41)</f>
        <v>7894.2237489999998</v>
      </c>
      <c r="AE41" s="1471">
        <v>377.428225</v>
      </c>
      <c r="AF41" s="1471">
        <v>443.00159200000002</v>
      </c>
      <c r="AG41" s="1471">
        <v>333.661</v>
      </c>
      <c r="AH41" s="1471">
        <v>629.05103199999996</v>
      </c>
      <c r="AI41" s="1471">
        <v>203.90873999999999</v>
      </c>
      <c r="AJ41" s="1471">
        <v>414.815</v>
      </c>
      <c r="AK41" s="1471">
        <v>1074.35474</v>
      </c>
      <c r="AL41" s="1471">
        <v>1094.8175000000001</v>
      </c>
      <c r="AM41" s="1471">
        <v>1309.557</v>
      </c>
      <c r="AN41" s="1471">
        <v>675.56399999999996</v>
      </c>
      <c r="AO41" s="1471">
        <v>1053.37192</v>
      </c>
      <c r="AP41" s="2001">
        <v>284.69299999999998</v>
      </c>
      <c r="AQ41" s="1470">
        <f t="shared" ref="AQ41:AQ47" si="118">SUM(AR41:BC41)</f>
        <v>14010.417553609479</v>
      </c>
      <c r="AR41" s="1471">
        <v>1167.5347961341236</v>
      </c>
      <c r="AS41" s="1471">
        <v>1167.5347961341236</v>
      </c>
      <c r="AT41" s="1471">
        <v>1167.5347961341236</v>
      </c>
      <c r="AU41" s="1471">
        <v>1167.5347961341236</v>
      </c>
      <c r="AV41" s="1471">
        <v>1167.5347961341236</v>
      </c>
      <c r="AW41" s="1471">
        <v>1167.5347961341236</v>
      </c>
      <c r="AX41" s="1471">
        <v>1167.5347961341236</v>
      </c>
      <c r="AY41" s="1471">
        <v>1167.5347961341236</v>
      </c>
      <c r="AZ41" s="1471">
        <v>1167.5347961341236</v>
      </c>
      <c r="BA41" s="1471">
        <v>1167.5347961341236</v>
      </c>
      <c r="BB41" s="1471">
        <v>1167.5347961341236</v>
      </c>
      <c r="BC41" s="2001">
        <v>1167.5347961341236</v>
      </c>
    </row>
    <row r="42" spans="2:58">
      <c r="B42" s="3281"/>
      <c r="C42" s="1613" t="s">
        <v>422</v>
      </c>
      <c r="D42" s="1470">
        <f t="shared" si="115"/>
        <v>0</v>
      </c>
      <c r="E42" s="1472">
        <v>0</v>
      </c>
      <c r="F42" s="1472">
        <v>0</v>
      </c>
      <c r="G42" s="1472">
        <v>0</v>
      </c>
      <c r="H42" s="1472">
        <v>0</v>
      </c>
      <c r="I42" s="1472">
        <v>0</v>
      </c>
      <c r="J42" s="1472">
        <v>0</v>
      </c>
      <c r="K42" s="1472">
        <v>0</v>
      </c>
      <c r="L42" s="1472">
        <v>0</v>
      </c>
      <c r="M42" s="1472">
        <v>0</v>
      </c>
      <c r="N42" s="1472">
        <v>0</v>
      </c>
      <c r="O42" s="1472">
        <v>0</v>
      </c>
      <c r="P42" s="1472">
        <v>0</v>
      </c>
      <c r="Q42" s="1470">
        <f t="shared" si="116"/>
        <v>0</v>
      </c>
      <c r="R42" s="1472">
        <v>0</v>
      </c>
      <c r="S42" s="1472">
        <v>0</v>
      </c>
      <c r="T42" s="1472"/>
      <c r="U42" s="1472"/>
      <c r="V42" s="1472">
        <v>0</v>
      </c>
      <c r="W42" s="1472"/>
      <c r="X42" s="1472"/>
      <c r="Y42" s="1472"/>
      <c r="Z42" s="1472">
        <v>0</v>
      </c>
      <c r="AA42" s="1472"/>
      <c r="AB42" s="1472"/>
      <c r="AC42" s="1625"/>
      <c r="AD42" s="1470">
        <f t="shared" si="117"/>
        <v>261.40634749999998</v>
      </c>
      <c r="AE42" s="1472">
        <v>26.429202499999999</v>
      </c>
      <c r="AF42" s="1472">
        <v>19.1056335</v>
      </c>
      <c r="AG42" s="1472">
        <v>43.200508499999998</v>
      </c>
      <c r="AH42" s="1472">
        <v>19.494169500000002</v>
      </c>
      <c r="AI42" s="1472">
        <v>18.548449999999999</v>
      </c>
      <c r="AJ42" s="1472">
        <v>20.3762665</v>
      </c>
      <c r="AK42" s="1472">
        <v>27.837773500000001</v>
      </c>
      <c r="AL42" s="1472">
        <v>16.470000500000001</v>
      </c>
      <c r="AM42" s="1472">
        <v>21.473051000000002</v>
      </c>
      <c r="AN42" s="1472">
        <v>18.386056</v>
      </c>
      <c r="AO42" s="1472">
        <v>14.031169500000001</v>
      </c>
      <c r="AP42" s="1472">
        <v>16.054066500000001</v>
      </c>
      <c r="AQ42" s="1470">
        <f t="shared" si="118"/>
        <v>415.94453335294997</v>
      </c>
      <c r="AR42" s="1472">
        <v>34.662044446079165</v>
      </c>
      <c r="AS42" s="1472">
        <v>34.662044446079165</v>
      </c>
      <c r="AT42" s="1472">
        <v>34.662044446079165</v>
      </c>
      <c r="AU42" s="1472">
        <v>34.662044446079165</v>
      </c>
      <c r="AV42" s="1472">
        <v>34.662044446079165</v>
      </c>
      <c r="AW42" s="1472">
        <v>34.662044446079165</v>
      </c>
      <c r="AX42" s="1472">
        <v>34.662044446079165</v>
      </c>
      <c r="AY42" s="1472">
        <v>34.662044446079165</v>
      </c>
      <c r="AZ42" s="1472">
        <v>34.662044446079165</v>
      </c>
      <c r="BA42" s="1472">
        <v>34.662044446079165</v>
      </c>
      <c r="BB42" s="1472">
        <v>34.662044446079165</v>
      </c>
      <c r="BC42" s="2790">
        <v>34.662044446079165</v>
      </c>
    </row>
    <row r="43" spans="2:58">
      <c r="B43" s="3281"/>
      <c r="C43" s="1613" t="s">
        <v>517</v>
      </c>
      <c r="D43" s="1470"/>
      <c r="E43" s="1472"/>
      <c r="F43" s="1472"/>
      <c r="G43" s="1472"/>
      <c r="H43" s="1472"/>
      <c r="I43" s="1472"/>
      <c r="J43" s="1472"/>
      <c r="K43" s="1472"/>
      <c r="L43" s="1472"/>
      <c r="M43" s="1472"/>
      <c r="N43" s="1472"/>
      <c r="O43" s="1472"/>
      <c r="P43" s="1472"/>
      <c r="Q43" s="1470">
        <f t="shared" si="116"/>
        <v>10.068216</v>
      </c>
      <c r="R43" s="1472"/>
      <c r="S43" s="1472"/>
      <c r="T43" s="1472"/>
      <c r="U43" s="1472"/>
      <c r="V43" s="1472"/>
      <c r="W43" s="1472">
        <v>1.216513</v>
      </c>
      <c r="X43" s="1472">
        <v>1.5032699999999999</v>
      </c>
      <c r="Y43" s="1472">
        <v>1.5646739999999999</v>
      </c>
      <c r="Z43" s="1472">
        <v>1.582614</v>
      </c>
      <c r="AA43" s="1472">
        <v>1.4133249999999999</v>
      </c>
      <c r="AB43" s="1472">
        <v>1.390091</v>
      </c>
      <c r="AC43" s="1625">
        <v>1.397729</v>
      </c>
      <c r="AD43" s="1470">
        <f t="shared" si="117"/>
        <v>17.929443000000003</v>
      </c>
      <c r="AE43" s="1472">
        <v>1.4965679999999999</v>
      </c>
      <c r="AF43" s="1472">
        <v>1.522802</v>
      </c>
      <c r="AG43" s="1472">
        <v>1.579159</v>
      </c>
      <c r="AH43" s="1472">
        <v>1.366358</v>
      </c>
      <c r="AI43" s="1472">
        <v>1.3841380000000001</v>
      </c>
      <c r="AJ43" s="1472">
        <v>1.366268</v>
      </c>
      <c r="AK43" s="1472">
        <v>1.4257629999999999</v>
      </c>
      <c r="AL43" s="1472">
        <v>1.4766589999999999</v>
      </c>
      <c r="AM43" s="1472">
        <f>1.445101+0.7</f>
        <v>2.1451009999999999</v>
      </c>
      <c r="AN43" s="1472">
        <v>1.410984</v>
      </c>
      <c r="AO43" s="1472">
        <v>1.360344</v>
      </c>
      <c r="AP43" s="2790">
        <v>1.3952990000000001</v>
      </c>
      <c r="AQ43" s="1470">
        <f t="shared" si="118"/>
        <v>27.889883835935695</v>
      </c>
      <c r="AR43" s="1472">
        <v>2.3241569863279752</v>
      </c>
      <c r="AS43" s="1472">
        <v>2.3241569863279752</v>
      </c>
      <c r="AT43" s="1472">
        <v>2.3241569863279752</v>
      </c>
      <c r="AU43" s="1472">
        <v>2.3241569863279752</v>
      </c>
      <c r="AV43" s="1472">
        <v>2.3241569863279752</v>
      </c>
      <c r="AW43" s="1472">
        <v>2.3241569863279752</v>
      </c>
      <c r="AX43" s="1472">
        <v>2.3241569863279752</v>
      </c>
      <c r="AY43" s="1472">
        <v>2.3241569863279752</v>
      </c>
      <c r="AZ43" s="1472">
        <v>2.3241569863279752</v>
      </c>
      <c r="BA43" s="1472">
        <v>2.3241569863279752</v>
      </c>
      <c r="BB43" s="1472">
        <v>2.3241569863279752</v>
      </c>
      <c r="BC43" s="2790">
        <v>2.3241569863279752</v>
      </c>
    </row>
    <row r="44" spans="2:58">
      <c r="B44" s="3281"/>
      <c r="C44" s="1613" t="s">
        <v>450</v>
      </c>
      <c r="D44" s="1470">
        <f t="shared" si="115"/>
        <v>725.5456089999999</v>
      </c>
      <c r="E44" s="1472">
        <v>7.42089</v>
      </c>
      <c r="F44" s="1472">
        <v>5.294937</v>
      </c>
      <c r="G44" s="1472">
        <v>14.753157</v>
      </c>
      <c r="H44" s="1472">
        <v>5.2691689999999998</v>
      </c>
      <c r="I44" s="1472">
        <v>5.6650739999999997</v>
      </c>
      <c r="J44" s="1472">
        <v>220.89628199999999</v>
      </c>
      <c r="K44" s="1472">
        <v>54.334434000000002</v>
      </c>
      <c r="L44" s="1472">
        <v>142.83820599999999</v>
      </c>
      <c r="M44" s="1472">
        <v>60.401662999999999</v>
      </c>
      <c r="N44" s="1472">
        <v>68.538561000000001</v>
      </c>
      <c r="O44" s="1472">
        <v>72.364988000000011</v>
      </c>
      <c r="P44" s="1472">
        <v>67.768248</v>
      </c>
      <c r="Q44" s="1470">
        <f t="shared" si="116"/>
        <v>1039.3540960000003</v>
      </c>
      <c r="R44" s="1472">
        <v>99.736772000000002</v>
      </c>
      <c r="S44" s="1472">
        <v>9.9131129999999992</v>
      </c>
      <c r="T44" s="1472">
        <v>44.646351000000003</v>
      </c>
      <c r="U44" s="1472">
        <v>37.824807</v>
      </c>
      <c r="V44" s="1472">
        <v>54.555415000000004</v>
      </c>
      <c r="W44" s="1472">
        <v>32.999415999999997</v>
      </c>
      <c r="X44" s="1472"/>
      <c r="Y44" s="1472">
        <v>233.883768</v>
      </c>
      <c r="Z44" s="1472">
        <v>51.185819000000002</v>
      </c>
      <c r="AA44" s="1472">
        <v>121.200366</v>
      </c>
      <c r="AB44" s="1472">
        <v>51.802619</v>
      </c>
      <c r="AC44" s="1625">
        <v>301.60565000000003</v>
      </c>
      <c r="AD44" s="1470">
        <f t="shared" si="117"/>
        <v>1094.5011239999999</v>
      </c>
      <c r="AE44" s="1472">
        <v>62.763165999999998</v>
      </c>
      <c r="AF44" s="1472">
        <v>102.659402</v>
      </c>
      <c r="AG44" s="1472">
        <v>33.034338499999997</v>
      </c>
      <c r="AH44" s="1472">
        <v>129.01104599999999</v>
      </c>
      <c r="AI44" s="1472">
        <v>60.24736</v>
      </c>
      <c r="AJ44" s="1472">
        <v>158.97237950000002</v>
      </c>
      <c r="AK44" s="1472">
        <v>45.402480000000004</v>
      </c>
      <c r="AL44" s="1472">
        <v>79.131950000000003</v>
      </c>
      <c r="AM44" s="1472">
        <f>46.591257+1.898927</f>
        <v>48.490183999999999</v>
      </c>
      <c r="AN44" s="1472">
        <v>75.240455000000011</v>
      </c>
      <c r="AO44" s="1472">
        <v>24.061995</v>
      </c>
      <c r="AP44" s="2790">
        <v>275.48636799999997</v>
      </c>
      <c r="AQ44" s="1470">
        <f t="shared" si="118"/>
        <v>1865.1328709867221</v>
      </c>
      <c r="AR44" s="1472">
        <v>155.42773924889354</v>
      </c>
      <c r="AS44" s="1472">
        <v>155.42773924889354</v>
      </c>
      <c r="AT44" s="1472">
        <v>155.42773924889354</v>
      </c>
      <c r="AU44" s="1472">
        <v>155.42773924889354</v>
      </c>
      <c r="AV44" s="1472">
        <v>155.42773924889354</v>
      </c>
      <c r="AW44" s="1472">
        <v>155.42773924889354</v>
      </c>
      <c r="AX44" s="1472">
        <v>155.42773924889354</v>
      </c>
      <c r="AY44" s="1472">
        <v>155.42773924889354</v>
      </c>
      <c r="AZ44" s="1472">
        <v>155.42773924889354</v>
      </c>
      <c r="BA44" s="1472">
        <v>155.42773924889354</v>
      </c>
      <c r="BB44" s="1472">
        <v>155.42773924889354</v>
      </c>
      <c r="BC44" s="2790">
        <v>155.42773924889354</v>
      </c>
    </row>
    <row r="45" spans="2:58">
      <c r="B45" s="3281"/>
      <c r="C45" s="1613" t="s">
        <v>451</v>
      </c>
      <c r="D45" s="1470">
        <f t="shared" si="115"/>
        <v>122.19999999999999</v>
      </c>
      <c r="E45" s="1472">
        <v>0</v>
      </c>
      <c r="F45" s="1472">
        <v>0</v>
      </c>
      <c r="G45" s="1472">
        <v>0</v>
      </c>
      <c r="H45" s="1472">
        <v>0</v>
      </c>
      <c r="I45" s="1472">
        <v>0</v>
      </c>
      <c r="J45" s="1472">
        <v>0</v>
      </c>
      <c r="K45" s="1472">
        <v>20.366665999999999</v>
      </c>
      <c r="L45" s="1472">
        <v>20.366665999999999</v>
      </c>
      <c r="M45" s="1472">
        <v>20.366665999999999</v>
      </c>
      <c r="N45" s="1472">
        <v>20.366665999999999</v>
      </c>
      <c r="O45" s="1472">
        <v>20.366665999999999</v>
      </c>
      <c r="P45" s="1472">
        <v>20.366669999999999</v>
      </c>
      <c r="Q45" s="1470">
        <f t="shared" si="116"/>
        <v>313.74317300000001</v>
      </c>
      <c r="R45" s="1472">
        <v>28.199998999999998</v>
      </c>
      <c r="S45" s="1472">
        <v>28.199998999999998</v>
      </c>
      <c r="T45" s="1472">
        <v>29.76923</v>
      </c>
      <c r="U45" s="1472">
        <v>30.173939999999998</v>
      </c>
      <c r="V45" s="1472">
        <v>28.199998999999998</v>
      </c>
      <c r="W45" s="1472">
        <v>28.199998999999998</v>
      </c>
      <c r="X45" s="1472">
        <v>28.199998999999998</v>
      </c>
      <c r="Y45" s="1472">
        <v>28.199998999999998</v>
      </c>
      <c r="Z45" s="1472">
        <v>28.199998999999998</v>
      </c>
      <c r="AA45" s="1472"/>
      <c r="AB45" s="1472">
        <v>28.199998999999998</v>
      </c>
      <c r="AC45" s="1625">
        <v>28.200011</v>
      </c>
      <c r="AD45" s="1470">
        <f t="shared" si="117"/>
        <v>319.79998899999998</v>
      </c>
      <c r="AE45" s="1472">
        <v>28.999998999999999</v>
      </c>
      <c r="AF45" s="1472">
        <v>28.999998999999999</v>
      </c>
      <c r="AG45" s="1472">
        <v>28.999998999999999</v>
      </c>
      <c r="AH45" s="1472">
        <v>28.999998999999999</v>
      </c>
      <c r="AI45" s="1472">
        <v>28.999998999999999</v>
      </c>
      <c r="AJ45" s="1472">
        <v>28.999998999999999</v>
      </c>
      <c r="AK45" s="1472">
        <v>28.999998999999999</v>
      </c>
      <c r="AL45" s="1472">
        <v>28.999998999999999</v>
      </c>
      <c r="AM45" s="1472">
        <f>28.199999+0.8</f>
        <v>28.999998999999999</v>
      </c>
      <c r="AN45" s="1472">
        <v>28.999998999999999</v>
      </c>
      <c r="AO45" s="1472">
        <v>28.999998999999999</v>
      </c>
      <c r="AP45" s="1472">
        <v>0.8</v>
      </c>
      <c r="AQ45" s="1470">
        <f t="shared" si="118"/>
        <v>0</v>
      </c>
      <c r="AR45" s="1472"/>
      <c r="AS45" s="1472"/>
      <c r="AT45" s="1472"/>
      <c r="AU45" s="1472"/>
      <c r="AV45" s="1472"/>
      <c r="AW45" s="1472"/>
      <c r="AX45" s="1472"/>
      <c r="AY45" s="1472"/>
      <c r="AZ45" s="1472"/>
      <c r="BA45" s="1472"/>
      <c r="BB45" s="1472"/>
      <c r="BC45" s="2790"/>
      <c r="BE45" s="489"/>
    </row>
    <row r="46" spans="2:58">
      <c r="B46" s="3281"/>
      <c r="C46" s="1613" t="s">
        <v>424</v>
      </c>
      <c r="D46" s="1470">
        <f t="shared" si="115"/>
        <v>0.33</v>
      </c>
      <c r="E46" s="1472">
        <v>0</v>
      </c>
      <c r="F46" s="1472">
        <v>0.33</v>
      </c>
      <c r="G46" s="1472">
        <v>0</v>
      </c>
      <c r="H46" s="1472">
        <v>0</v>
      </c>
      <c r="I46" s="1472">
        <v>0</v>
      </c>
      <c r="J46" s="1472">
        <v>0</v>
      </c>
      <c r="K46" s="1472">
        <v>0</v>
      </c>
      <c r="L46" s="1472">
        <v>0</v>
      </c>
      <c r="M46" s="1472">
        <v>0</v>
      </c>
      <c r="N46" s="1472">
        <v>0</v>
      </c>
      <c r="O46" s="1472">
        <v>0</v>
      </c>
      <c r="P46" s="1472">
        <v>0</v>
      </c>
      <c r="Q46" s="1470">
        <f t="shared" si="116"/>
        <v>29.633619000000003</v>
      </c>
      <c r="R46" s="1472">
        <v>0</v>
      </c>
      <c r="S46" s="1472">
        <v>0</v>
      </c>
      <c r="T46" s="1472"/>
      <c r="U46" s="1472"/>
      <c r="V46" s="1472">
        <v>0</v>
      </c>
      <c r="W46" s="1472"/>
      <c r="X46" s="1472">
        <v>17.191980000000001</v>
      </c>
      <c r="Y46" s="1472"/>
      <c r="Z46" s="1472"/>
      <c r="AA46" s="1472">
        <v>2.48644</v>
      </c>
      <c r="AB46" s="1472">
        <v>5.7687939999999998</v>
      </c>
      <c r="AC46" s="1625">
        <v>4.1864049999999997</v>
      </c>
      <c r="AD46" s="1470">
        <f t="shared" si="117"/>
        <v>0</v>
      </c>
      <c r="AE46" s="1472"/>
      <c r="AF46" s="1472"/>
      <c r="AG46" s="1472"/>
      <c r="AH46" s="1472"/>
      <c r="AI46" s="1472"/>
      <c r="AJ46" s="1472"/>
      <c r="AK46" s="1472"/>
      <c r="AL46" s="1472"/>
      <c r="AM46" s="1472"/>
      <c r="AN46" s="1472"/>
      <c r="AO46" s="1472"/>
      <c r="AP46" s="2790"/>
      <c r="AQ46" s="1470">
        <f t="shared" si="118"/>
        <v>0</v>
      </c>
      <c r="AR46" s="1472"/>
      <c r="AS46" s="1472"/>
      <c r="AT46" s="1472"/>
      <c r="AU46" s="1472"/>
      <c r="AV46" s="1472"/>
      <c r="AW46" s="1472"/>
      <c r="AX46" s="1472"/>
      <c r="AY46" s="1472"/>
      <c r="AZ46" s="1472"/>
      <c r="BA46" s="1472"/>
      <c r="BB46" s="1472"/>
      <c r="BC46" s="2790"/>
    </row>
    <row r="47" spans="2:58">
      <c r="B47" s="3281"/>
      <c r="C47" s="1613" t="s">
        <v>520</v>
      </c>
      <c r="D47" s="1470">
        <f t="shared" si="115"/>
        <v>0</v>
      </c>
      <c r="E47" s="1472"/>
      <c r="F47" s="1472"/>
      <c r="G47" s="1472"/>
      <c r="H47" s="1472"/>
      <c r="I47" s="1472"/>
      <c r="J47" s="1472"/>
      <c r="K47" s="1472"/>
      <c r="L47" s="1472"/>
      <c r="M47" s="1472"/>
      <c r="N47" s="1472"/>
      <c r="O47" s="1472"/>
      <c r="P47" s="1472"/>
      <c r="Q47" s="1470">
        <f t="shared" si="116"/>
        <v>0</v>
      </c>
      <c r="R47" s="1472"/>
      <c r="S47" s="1472"/>
      <c r="T47" s="1472"/>
      <c r="U47" s="1472"/>
      <c r="V47" s="1472"/>
      <c r="W47" s="1472"/>
      <c r="X47" s="1472"/>
      <c r="Y47" s="1472"/>
      <c r="Z47" s="1472"/>
      <c r="AA47" s="1472"/>
      <c r="AB47" s="1472"/>
      <c r="AC47" s="1625"/>
      <c r="AD47" s="1470">
        <f t="shared" si="117"/>
        <v>160.36945399999854</v>
      </c>
      <c r="AE47" s="1472">
        <v>12.956761999999999</v>
      </c>
      <c r="AF47" s="1472">
        <v>10.4293365</v>
      </c>
      <c r="AG47" s="1472">
        <v>6.4911354999999995</v>
      </c>
      <c r="AH47" s="1472">
        <v>7.0251700000000001</v>
      </c>
      <c r="AI47" s="1472">
        <v>6.2858395000000007</v>
      </c>
      <c r="AJ47" s="1472">
        <v>8.5094204999985692</v>
      </c>
      <c r="AK47" s="1472">
        <v>13.6775685</v>
      </c>
      <c r="AL47" s="1472">
        <v>13.1121515</v>
      </c>
      <c r="AM47" s="1472">
        <f>9.243945+1.6931345</f>
        <v>10.937079499999999</v>
      </c>
      <c r="AN47" s="1472">
        <v>40.418059</v>
      </c>
      <c r="AO47" s="1472">
        <v>15.585153999999999</v>
      </c>
      <c r="AP47" s="2790">
        <v>14.941777500000001</v>
      </c>
      <c r="AQ47" s="1470">
        <f t="shared" si="118"/>
        <v>686.75456689392149</v>
      </c>
      <c r="AR47" s="1472">
        <f t="shared" ref="AR47:BC47" si="119">(17.8046411793684)+39.4249060617917</f>
        <v>57.229547241160105</v>
      </c>
      <c r="AS47" s="1472">
        <f t="shared" si="119"/>
        <v>57.229547241160105</v>
      </c>
      <c r="AT47" s="1472">
        <f t="shared" si="119"/>
        <v>57.229547241160105</v>
      </c>
      <c r="AU47" s="1472">
        <f t="shared" si="119"/>
        <v>57.229547241160105</v>
      </c>
      <c r="AV47" s="1472">
        <f t="shared" si="119"/>
        <v>57.229547241160105</v>
      </c>
      <c r="AW47" s="1472">
        <f t="shared" si="119"/>
        <v>57.229547241160105</v>
      </c>
      <c r="AX47" s="1472">
        <f t="shared" si="119"/>
        <v>57.229547241160105</v>
      </c>
      <c r="AY47" s="1472">
        <f t="shared" si="119"/>
        <v>57.229547241160105</v>
      </c>
      <c r="AZ47" s="1472">
        <f t="shared" si="119"/>
        <v>57.229547241160105</v>
      </c>
      <c r="BA47" s="1472">
        <f t="shared" si="119"/>
        <v>57.229547241160105</v>
      </c>
      <c r="BB47" s="1472">
        <f t="shared" si="119"/>
        <v>57.229547241160105</v>
      </c>
      <c r="BC47" s="2790">
        <f t="shared" si="119"/>
        <v>57.229547241160105</v>
      </c>
    </row>
    <row r="48" spans="2:58">
      <c r="B48" s="3281"/>
      <c r="C48" s="1613" t="s">
        <v>452</v>
      </c>
      <c r="D48" s="1470">
        <f t="shared" si="115"/>
        <v>8.2175000000000011</v>
      </c>
      <c r="E48" s="1472">
        <v>0</v>
      </c>
      <c r="F48" s="1472">
        <v>0</v>
      </c>
      <c r="G48" s="1472">
        <v>0.66</v>
      </c>
      <c r="H48" s="1472">
        <v>0</v>
      </c>
      <c r="I48" s="1472">
        <v>0</v>
      </c>
      <c r="J48" s="1472">
        <v>0</v>
      </c>
      <c r="K48" s="1472">
        <v>0</v>
      </c>
      <c r="L48" s="1472">
        <v>0</v>
      </c>
      <c r="M48" s="1472">
        <v>0.59</v>
      </c>
      <c r="N48" s="1472">
        <v>6.9675000000000002</v>
      </c>
      <c r="O48" s="1472">
        <v>0</v>
      </c>
      <c r="P48" s="1472">
        <v>0</v>
      </c>
      <c r="Q48" s="1470">
        <f>SUM(R48:AC48)</f>
        <v>168.87535399999996</v>
      </c>
      <c r="R48" s="1472">
        <v>0</v>
      </c>
      <c r="S48" s="1472">
        <v>0</v>
      </c>
      <c r="T48" s="1472"/>
      <c r="U48" s="1472">
        <v>1.340414</v>
      </c>
      <c r="V48" s="1472">
        <v>3.0185249999999999</v>
      </c>
      <c r="W48" s="1472">
        <v>1.1520000000000001E-2</v>
      </c>
      <c r="X48" s="1472">
        <v>70.146084999999971</v>
      </c>
      <c r="Y48" s="1472">
        <v>54.503278000000002</v>
      </c>
      <c r="Z48" s="1472">
        <v>15.542343000000001</v>
      </c>
      <c r="AA48" s="1472">
        <v>0.22537099999999999</v>
      </c>
      <c r="AB48" s="1472">
        <v>0.23822699999999999</v>
      </c>
      <c r="AC48" s="1625">
        <v>23.849591</v>
      </c>
      <c r="AD48" s="1470">
        <f>SUM(AE48:AP48)</f>
        <v>9.9970075000000005</v>
      </c>
      <c r="AE48" s="1472">
        <v>0.52050249999999998</v>
      </c>
      <c r="AF48" s="1472">
        <v>0.56052100000000005</v>
      </c>
      <c r="AG48" s="1472">
        <v>0.92814700000000006</v>
      </c>
      <c r="AH48" s="1472">
        <v>0.49679100000000004</v>
      </c>
      <c r="AI48" s="1472">
        <v>1.108706</v>
      </c>
      <c r="AJ48" s="1472">
        <v>0.537744</v>
      </c>
      <c r="AK48" s="1472">
        <v>2.5985485000000001</v>
      </c>
      <c r="AL48" s="1472">
        <v>0.50898900000000002</v>
      </c>
      <c r="AM48" s="1472">
        <f>0.204183+1.127841</f>
        <v>1.3320240000000001</v>
      </c>
      <c r="AN48" s="1472">
        <v>0.51170400000000005</v>
      </c>
      <c r="AO48" s="1472">
        <v>0.396702</v>
      </c>
      <c r="AP48" s="2790">
        <v>0.49662850000000003</v>
      </c>
      <c r="AQ48" s="1470">
        <f>SUM(AR48:BC48)</f>
        <v>410.97706869623767</v>
      </c>
      <c r="AR48" s="1472">
        <v>34.248089058019815</v>
      </c>
      <c r="AS48" s="1472">
        <v>34.248089058019815</v>
      </c>
      <c r="AT48" s="1472">
        <v>34.248089058019815</v>
      </c>
      <c r="AU48" s="1472">
        <v>34.248089058019815</v>
      </c>
      <c r="AV48" s="1472">
        <v>34.248089058019815</v>
      </c>
      <c r="AW48" s="1472">
        <v>34.248089058019815</v>
      </c>
      <c r="AX48" s="1472">
        <v>34.248089058019815</v>
      </c>
      <c r="AY48" s="1472">
        <v>34.248089058019815</v>
      </c>
      <c r="AZ48" s="1472">
        <v>34.248089058019815</v>
      </c>
      <c r="BA48" s="1472">
        <v>34.248089058019815</v>
      </c>
      <c r="BB48" s="1472">
        <v>34.248089058019815</v>
      </c>
      <c r="BC48" s="2790">
        <v>34.248089058019815</v>
      </c>
    </row>
    <row r="49" spans="2:55">
      <c r="B49" s="1736"/>
      <c r="C49" s="1613" t="s">
        <v>84</v>
      </c>
      <c r="D49" s="1470">
        <f t="shared" si="115"/>
        <v>0</v>
      </c>
      <c r="E49" s="1472"/>
      <c r="F49" s="1472"/>
      <c r="G49" s="1472"/>
      <c r="H49" s="1472"/>
      <c r="I49" s="1472"/>
      <c r="J49" s="1472"/>
      <c r="K49" s="1472"/>
      <c r="L49" s="1472"/>
      <c r="M49" s="1472"/>
      <c r="N49" s="1472"/>
      <c r="O49" s="1472"/>
      <c r="P49" s="1472"/>
      <c r="Q49" s="1470">
        <f>SUM(R49:AC49)</f>
        <v>0</v>
      </c>
      <c r="R49" s="1472"/>
      <c r="S49" s="1472"/>
      <c r="T49" s="1472"/>
      <c r="U49" s="1472"/>
      <c r="V49" s="1472"/>
      <c r="W49" s="1472"/>
      <c r="X49" s="1472"/>
      <c r="Y49" s="1472"/>
      <c r="Z49" s="1472"/>
      <c r="AA49" s="1472"/>
      <c r="AB49" s="1472"/>
      <c r="AC49" s="1625"/>
      <c r="AD49" s="1470">
        <f>SUM(AE49:AP49)</f>
        <v>0</v>
      </c>
      <c r="AE49" s="1472"/>
      <c r="AF49" s="1472"/>
      <c r="AG49" s="1472"/>
      <c r="AH49" s="1472"/>
      <c r="AI49" s="1472"/>
      <c r="AJ49" s="1472"/>
      <c r="AK49" s="1472"/>
      <c r="AL49" s="1472"/>
      <c r="AM49" s="1472"/>
      <c r="AN49" s="1472"/>
      <c r="AO49" s="1472"/>
      <c r="AP49" s="2790"/>
      <c r="AQ49" s="1470">
        <f>SUM(AR49:BC49)</f>
        <v>49.999999999999993</v>
      </c>
      <c r="AR49" s="1472">
        <v>4.166666666666667</v>
      </c>
      <c r="AS49" s="1472">
        <v>4.166666666666667</v>
      </c>
      <c r="AT49" s="1472">
        <v>4.166666666666667</v>
      </c>
      <c r="AU49" s="1472">
        <v>4.166666666666667</v>
      </c>
      <c r="AV49" s="1472">
        <v>4.166666666666667</v>
      </c>
      <c r="AW49" s="1472">
        <v>4.166666666666667</v>
      </c>
      <c r="AX49" s="1472">
        <v>4.166666666666667</v>
      </c>
      <c r="AY49" s="1472">
        <v>4.166666666666667</v>
      </c>
      <c r="AZ49" s="1472">
        <v>4.166666666666667</v>
      </c>
      <c r="BA49" s="1472">
        <v>4.166666666666667</v>
      </c>
      <c r="BB49" s="1472">
        <v>4.166666666666667</v>
      </c>
      <c r="BC49" s="2790">
        <v>4.166666666666667</v>
      </c>
    </row>
    <row r="50" spans="2:55">
      <c r="B50" s="1737"/>
      <c r="C50" s="1613" t="s">
        <v>87</v>
      </c>
      <c r="D50" s="1470">
        <f t="shared" si="115"/>
        <v>0</v>
      </c>
      <c r="E50" s="1472"/>
      <c r="F50" s="1472"/>
      <c r="G50" s="1472"/>
      <c r="H50" s="1472"/>
      <c r="I50" s="1472"/>
      <c r="J50" s="1472"/>
      <c r="K50" s="1472"/>
      <c r="L50" s="1472"/>
      <c r="M50" s="1472"/>
      <c r="N50" s="1472"/>
      <c r="O50" s="1472"/>
      <c r="P50" s="1472"/>
      <c r="Q50" s="1470">
        <f>SUM(R50:AC50)</f>
        <v>750</v>
      </c>
      <c r="R50" s="1472"/>
      <c r="S50" s="1472"/>
      <c r="T50" s="1472"/>
      <c r="U50" s="1472"/>
      <c r="V50" s="1472"/>
      <c r="W50" s="1472"/>
      <c r="X50" s="1472">
        <v>750</v>
      </c>
      <c r="Y50" s="1472"/>
      <c r="Z50" s="1472"/>
      <c r="AA50" s="1472"/>
      <c r="AB50" s="1472"/>
      <c r="AC50" s="1625"/>
      <c r="AD50" s="1470">
        <f>SUM(AE50:AP50)</f>
        <v>0</v>
      </c>
      <c r="AE50" s="1472"/>
      <c r="AF50" s="1472"/>
      <c r="AG50" s="1472"/>
      <c r="AH50" s="1472"/>
      <c r="AI50" s="1472"/>
      <c r="AJ50" s="1472"/>
      <c r="AK50" s="1472"/>
      <c r="AL50" s="1472"/>
      <c r="AM50" s="1472"/>
      <c r="AN50" s="1472"/>
      <c r="AO50" s="1472"/>
      <c r="AP50" s="2790"/>
      <c r="AQ50" s="1470">
        <f>SUM(AR50:BC50)</f>
        <v>0</v>
      </c>
      <c r="AR50" s="1472"/>
      <c r="AS50" s="1472"/>
      <c r="AT50" s="1472"/>
      <c r="AU50" s="1472"/>
      <c r="AV50" s="1472"/>
      <c r="AW50" s="1472"/>
      <c r="AX50" s="1472"/>
      <c r="AY50" s="1472"/>
      <c r="AZ50" s="1472"/>
      <c r="BA50" s="1472"/>
      <c r="BB50" s="1472"/>
      <c r="BC50" s="2790"/>
    </row>
    <row r="51" spans="2:55" ht="19" customHeight="1">
      <c r="B51" s="3292" t="s">
        <v>446</v>
      </c>
      <c r="C51" s="3291"/>
      <c r="D51" s="1469">
        <f>SUM(E51:P51)</f>
        <v>537.0632990000006</v>
      </c>
      <c r="E51" s="1469">
        <f t="shared" ref="E51:P51" si="120">E35-E40</f>
        <v>21.603251</v>
      </c>
      <c r="F51" s="1469">
        <f t="shared" si="120"/>
        <v>1.7088719999999995</v>
      </c>
      <c r="G51" s="1469">
        <f t="shared" si="120"/>
        <v>-9.7604340000000001</v>
      </c>
      <c r="H51" s="1469">
        <f t="shared" si="120"/>
        <v>-4.6415600000000001</v>
      </c>
      <c r="I51" s="1469">
        <f t="shared" si="120"/>
        <v>76.899325999999974</v>
      </c>
      <c r="J51" s="1469">
        <f t="shared" si="120"/>
        <v>-103.82782400000002</v>
      </c>
      <c r="K51" s="1469">
        <f t="shared" si="120"/>
        <v>22.025289999999984</v>
      </c>
      <c r="L51" s="1469">
        <f t="shared" si="120"/>
        <v>162.1584720000003</v>
      </c>
      <c r="M51" s="1469">
        <f t="shared" si="120"/>
        <v>39.343576000000098</v>
      </c>
      <c r="N51" s="1469">
        <f t="shared" si="120"/>
        <v>297.09071900000004</v>
      </c>
      <c r="O51" s="1469">
        <f t="shared" si="120"/>
        <v>-185.44294899999977</v>
      </c>
      <c r="P51" s="1469">
        <f t="shared" si="120"/>
        <v>219.90656000000001</v>
      </c>
      <c r="Q51" s="1469">
        <f>SUM(R51:AC51)</f>
        <v>-487.71797400000003</v>
      </c>
      <c r="R51" s="1469">
        <f>R35-R40</f>
        <v>-91.461220999999995</v>
      </c>
      <c r="S51" s="1469">
        <f t="shared" ref="S51:AC51" si="121">S35-S40</f>
        <v>-26.936838999999999</v>
      </c>
      <c r="T51" s="1469">
        <f t="shared" si="121"/>
        <v>-110.80335300000002</v>
      </c>
      <c r="U51" s="1469">
        <f t="shared" si="121"/>
        <v>300.38265799999999</v>
      </c>
      <c r="V51" s="1469">
        <f t="shared" si="121"/>
        <v>-18.020939999999882</v>
      </c>
      <c r="W51" s="1469">
        <f t="shared" si="121"/>
        <v>118.98948399999995</v>
      </c>
      <c r="X51" s="1469">
        <f t="shared" si="121"/>
        <v>-687.76683400000002</v>
      </c>
      <c r="Y51" s="1469">
        <f t="shared" si="121"/>
        <v>-10.714309999999614</v>
      </c>
      <c r="Z51" s="1469">
        <f t="shared" si="121"/>
        <v>407.46154400000023</v>
      </c>
      <c r="AA51" s="1469">
        <f t="shared" si="121"/>
        <v>79.584630999999717</v>
      </c>
      <c r="AB51" s="1469">
        <f t="shared" si="121"/>
        <v>-142.54252700000029</v>
      </c>
      <c r="AC51" s="1610">
        <f t="shared" si="121"/>
        <v>-305.89026700000011</v>
      </c>
      <c r="AD51" s="1469">
        <f>SUM(AE51:AP51)</f>
        <v>407.02237700000177</v>
      </c>
      <c r="AE51" s="1469">
        <f>AE35-AE40</f>
        <v>7.3183005000000207</v>
      </c>
      <c r="AF51" s="1469">
        <f t="shared" ref="AF51:AP51" si="122">AF35-AF40</f>
        <v>175.03957899999989</v>
      </c>
      <c r="AG51" s="1469">
        <f t="shared" si="122"/>
        <v>-21.927607000000023</v>
      </c>
      <c r="AH51" s="1469">
        <f t="shared" si="122"/>
        <v>107.80340950000004</v>
      </c>
      <c r="AI51" s="1469">
        <f t="shared" si="122"/>
        <v>-80.617050000000006</v>
      </c>
      <c r="AJ51" s="1469">
        <f t="shared" si="122"/>
        <v>-40.125895499998478</v>
      </c>
      <c r="AK51" s="1469">
        <f t="shared" si="122"/>
        <v>76.846571500000209</v>
      </c>
      <c r="AL51" s="1469">
        <f t="shared" si="122"/>
        <v>-44.915522999999894</v>
      </c>
      <c r="AM51" s="1469">
        <f t="shared" si="122"/>
        <v>-51.552620500000103</v>
      </c>
      <c r="AN51" s="1469">
        <f t="shared" si="122"/>
        <v>59.836004000000116</v>
      </c>
      <c r="AO51" s="1469">
        <f t="shared" si="122"/>
        <v>212.6300769999998</v>
      </c>
      <c r="AP51" s="2000">
        <f t="shared" si="122"/>
        <v>6.6871315000001914</v>
      </c>
      <c r="AQ51" s="1469">
        <f>SUM(AR51:BC51)</f>
        <v>644.88352262474746</v>
      </c>
      <c r="AR51" s="1469">
        <f>AR35-AR40</f>
        <v>35.027874052062316</v>
      </c>
      <c r="AS51" s="1469">
        <f t="shared" ref="AS51:BC51" si="123">AS35-AS40</f>
        <v>35.027874052062316</v>
      </c>
      <c r="AT51" s="1469">
        <f t="shared" si="123"/>
        <v>35.027874052062316</v>
      </c>
      <c r="AU51" s="1469">
        <f t="shared" si="123"/>
        <v>91.839100052062349</v>
      </c>
      <c r="AV51" s="1469">
        <f t="shared" si="123"/>
        <v>35.027874052062316</v>
      </c>
      <c r="AW51" s="1469">
        <f t="shared" si="123"/>
        <v>35.027874052062316</v>
      </c>
      <c r="AX51" s="1469">
        <f t="shared" si="123"/>
        <v>102.67168205206235</v>
      </c>
      <c r="AY51" s="1469">
        <f t="shared" si="123"/>
        <v>54.627874052062225</v>
      </c>
      <c r="AZ51" s="1469">
        <f t="shared" si="123"/>
        <v>55.82787405206227</v>
      </c>
      <c r="BA51" s="1469">
        <f t="shared" si="123"/>
        <v>54.627874052062225</v>
      </c>
      <c r="BB51" s="1469">
        <f t="shared" si="123"/>
        <v>54.627874052062225</v>
      </c>
      <c r="BC51" s="2000">
        <f t="shared" si="123"/>
        <v>55.52187405206223</v>
      </c>
    </row>
    <row r="52" spans="2:55" hidden="1" outlineLevel="1">
      <c r="B52" s="1614"/>
      <c r="C52" s="1615"/>
      <c r="D52" s="1616"/>
      <c r="E52" s="1616"/>
      <c r="F52" s="1616"/>
      <c r="G52" s="1616"/>
      <c r="H52" s="1616"/>
      <c r="I52" s="1616"/>
      <c r="J52" s="1616"/>
      <c r="K52" s="1616"/>
      <c r="L52" s="1616"/>
      <c r="M52" s="1616"/>
      <c r="N52" s="1616"/>
      <c r="O52" s="1616"/>
      <c r="P52" s="1616"/>
      <c r="Q52" s="1616"/>
      <c r="R52" s="1617"/>
      <c r="S52" s="1616"/>
      <c r="T52" s="1616"/>
      <c r="U52" s="1616"/>
      <c r="V52" s="1616"/>
      <c r="W52" s="1616"/>
      <c r="X52" s="1616"/>
      <c r="Y52" s="1616"/>
      <c r="Z52" s="1616"/>
      <c r="AA52" s="1616"/>
      <c r="AB52" s="1616"/>
      <c r="AC52" s="1626"/>
      <c r="AD52" s="2321"/>
      <c r="AE52" s="1617"/>
      <c r="AF52" s="1617"/>
      <c r="AG52" s="1617"/>
      <c r="AH52" s="1617"/>
      <c r="AI52" s="1617"/>
      <c r="AJ52" s="1617"/>
      <c r="AK52" s="2795"/>
      <c r="AL52" s="2795"/>
      <c r="AM52" s="2795"/>
      <c r="AN52" s="2795"/>
      <c r="AO52" s="2795"/>
      <c r="AP52" s="1616"/>
      <c r="AQ52" s="2793"/>
      <c r="AR52" s="1617"/>
      <c r="AS52" s="1617"/>
      <c r="AT52" s="1617"/>
      <c r="AU52" s="1617"/>
      <c r="AV52" s="1617"/>
      <c r="AW52" s="1617"/>
      <c r="AX52" s="1616"/>
      <c r="AY52" s="1616"/>
      <c r="AZ52" s="1616"/>
      <c r="BA52" s="1616"/>
      <c r="BB52" s="1616"/>
      <c r="BC52" s="1616"/>
    </row>
    <row r="53" spans="2:55" collapsed="1">
      <c r="B53" s="1614"/>
      <c r="C53" s="1615"/>
      <c r="D53" s="1618"/>
      <c r="E53" s="1618"/>
      <c r="F53" s="1618"/>
      <c r="G53" s="1618"/>
      <c r="H53" s="1618"/>
      <c r="I53" s="1618"/>
      <c r="J53" s="1618"/>
      <c r="K53" s="1618"/>
      <c r="L53" s="1618"/>
      <c r="M53" s="1618"/>
      <c r="N53" s="1618"/>
      <c r="O53" s="1618"/>
      <c r="P53" s="1618"/>
      <c r="Q53" s="1618"/>
      <c r="R53" s="1618"/>
      <c r="S53" s="1618"/>
      <c r="T53" s="1618"/>
      <c r="U53" s="1618"/>
      <c r="V53" s="1618"/>
      <c r="W53" s="1618"/>
      <c r="X53" s="1618"/>
      <c r="Y53" s="1618"/>
      <c r="Z53" s="1618"/>
      <c r="AA53" s="1618"/>
      <c r="AB53" s="1618"/>
      <c r="AC53" s="1619"/>
      <c r="AD53" s="2857"/>
      <c r="AE53" s="2857"/>
      <c r="AF53" s="2857"/>
      <c r="AG53" s="2857"/>
      <c r="AH53" s="2857"/>
      <c r="AI53" s="2857"/>
      <c r="AJ53" s="2857"/>
      <c r="AK53" s="2857"/>
      <c r="AL53" s="2857"/>
      <c r="AM53" s="2857"/>
      <c r="AN53" s="2857"/>
      <c r="AO53" s="2857"/>
      <c r="AP53" s="2857"/>
      <c r="AQ53" s="1618"/>
      <c r="AR53" s="1618"/>
      <c r="AS53" s="1618"/>
      <c r="AT53" s="1618"/>
      <c r="AU53" s="1618"/>
      <c r="AV53" s="1618"/>
      <c r="AW53" s="1618"/>
      <c r="AX53" s="1618"/>
      <c r="AY53" s="1618"/>
      <c r="AZ53" s="1618"/>
      <c r="BA53" s="1618"/>
      <c r="BB53" s="1618"/>
      <c r="BC53" s="1618"/>
    </row>
    <row r="54" spans="2:55" hidden="1" outlineLevel="1">
      <c r="B54" s="1620"/>
      <c r="C54" s="1621"/>
      <c r="D54" s="1616"/>
      <c r="E54" s="1616"/>
      <c r="F54" s="1616"/>
      <c r="G54" s="1616"/>
      <c r="H54" s="1616"/>
      <c r="I54" s="1616"/>
      <c r="J54" s="1616"/>
      <c r="K54" s="1616"/>
      <c r="L54" s="1616"/>
      <c r="M54" s="1616"/>
      <c r="N54" s="1616"/>
      <c r="O54" s="1616"/>
      <c r="P54" s="1616"/>
      <c r="Q54" s="1616"/>
      <c r="R54" s="1617"/>
      <c r="S54" s="1616"/>
      <c r="T54" s="1616"/>
      <c r="U54" s="1616"/>
      <c r="V54" s="1616"/>
      <c r="W54" s="1616"/>
      <c r="X54" s="1616"/>
      <c r="Y54" s="1616"/>
      <c r="Z54" s="1616"/>
      <c r="AA54" s="1616"/>
      <c r="AB54" s="1616"/>
      <c r="AC54" s="1626"/>
      <c r="AD54" s="2859"/>
      <c r="AE54" s="2860"/>
      <c r="AF54" s="2859"/>
      <c r="AG54" s="2859"/>
      <c r="AH54" s="2859"/>
      <c r="AI54" s="2859"/>
      <c r="AJ54" s="2859"/>
      <c r="AK54" s="2859"/>
      <c r="AL54" s="2859"/>
      <c r="AM54" s="2859"/>
      <c r="AN54" s="2859"/>
      <c r="AO54" s="2859"/>
      <c r="AP54" s="2859"/>
      <c r="AQ54" s="1616"/>
      <c r="AR54" s="1617"/>
      <c r="AS54" s="1616"/>
      <c r="AT54" s="1616"/>
      <c r="AU54" s="1616"/>
      <c r="AV54" s="1616"/>
      <c r="AW54" s="1616"/>
      <c r="AX54" s="1616"/>
      <c r="AY54" s="1616"/>
      <c r="AZ54" s="1616"/>
      <c r="BA54" s="1616"/>
      <c r="BB54" s="1616"/>
      <c r="BC54" s="1616"/>
    </row>
    <row r="55" spans="2:55" hidden="1" outlineLevel="1">
      <c r="B55" s="3282" t="s">
        <v>439</v>
      </c>
      <c r="C55" s="3283"/>
      <c r="D55" s="3275" t="s">
        <v>494</v>
      </c>
      <c r="E55" s="3276"/>
      <c r="F55" s="3276"/>
      <c r="G55" s="3276"/>
      <c r="H55" s="3276"/>
      <c r="I55" s="3276"/>
      <c r="J55" s="3276"/>
      <c r="K55" s="3276"/>
      <c r="L55" s="3276"/>
      <c r="M55" s="3276"/>
      <c r="N55" s="3276"/>
      <c r="O55" s="3276"/>
      <c r="P55" s="3295"/>
      <c r="Q55" s="3275" t="s">
        <v>493</v>
      </c>
      <c r="R55" s="3276"/>
      <c r="S55" s="3276"/>
      <c r="T55" s="3276"/>
      <c r="U55" s="3276"/>
      <c r="V55" s="3276"/>
      <c r="W55" s="3276"/>
      <c r="X55" s="3276"/>
      <c r="Y55" s="3276"/>
      <c r="Z55" s="3276"/>
      <c r="AA55" s="3276"/>
      <c r="AB55" s="3276"/>
      <c r="AC55" s="3298"/>
      <c r="AD55" s="3296"/>
      <c r="AE55" s="3297"/>
      <c r="AF55" s="3297"/>
      <c r="AG55" s="3297"/>
      <c r="AH55" s="3297"/>
      <c r="AI55" s="3297"/>
      <c r="AJ55" s="3297"/>
      <c r="AK55" s="3297"/>
      <c r="AL55" s="3297"/>
      <c r="AM55" s="3297"/>
      <c r="AN55" s="3297"/>
      <c r="AO55" s="3297"/>
      <c r="AP55" s="3297"/>
      <c r="AQ55" s="3275"/>
      <c r="AR55" s="3276"/>
      <c r="AS55" s="3276"/>
      <c r="AT55" s="3276"/>
      <c r="AU55" s="3276"/>
      <c r="AV55" s="3276"/>
      <c r="AW55" s="3276"/>
      <c r="AX55" s="3276"/>
      <c r="AY55" s="3276"/>
      <c r="AZ55" s="3276"/>
      <c r="BA55" s="3276"/>
      <c r="BB55" s="3276"/>
      <c r="BC55" s="3276"/>
    </row>
    <row r="56" spans="2:55" hidden="1" outlineLevel="1">
      <c r="B56" s="3284"/>
      <c r="C56" s="3285"/>
      <c r="D56" s="1104" t="s">
        <v>492</v>
      </c>
      <c r="E56" s="1320" t="str">
        <f>E$34</f>
        <v>1월</v>
      </c>
      <c r="F56" s="1320" t="str">
        <f>F$34</f>
        <v>2월</v>
      </c>
      <c r="G56" s="1320" t="str">
        <f t="shared" ref="G56:P56" si="124">G$34</f>
        <v>3월</v>
      </c>
      <c r="H56" s="1320" t="str">
        <f t="shared" si="124"/>
        <v>4월</v>
      </c>
      <c r="I56" s="1320" t="str">
        <f t="shared" si="124"/>
        <v>5월</v>
      </c>
      <c r="J56" s="1320" t="str">
        <f t="shared" si="124"/>
        <v>6월</v>
      </c>
      <c r="K56" s="1320" t="str">
        <f t="shared" si="124"/>
        <v>7월</v>
      </c>
      <c r="L56" s="1320" t="str">
        <f t="shared" si="124"/>
        <v>8월</v>
      </c>
      <c r="M56" s="1320" t="str">
        <f t="shared" si="124"/>
        <v>9월</v>
      </c>
      <c r="N56" s="1320" t="str">
        <f t="shared" si="124"/>
        <v>10월</v>
      </c>
      <c r="O56" s="1320" t="str">
        <f t="shared" si="124"/>
        <v>11월</v>
      </c>
      <c r="P56" s="1320" t="str">
        <f t="shared" si="124"/>
        <v>12월</v>
      </c>
      <c r="Q56" s="1104" t="s">
        <v>492</v>
      </c>
      <c r="R56" s="1320" t="s">
        <v>2</v>
      </c>
      <c r="S56" s="1320" t="s">
        <v>440</v>
      </c>
      <c r="T56" s="1320" t="s">
        <v>4</v>
      </c>
      <c r="U56" s="1320" t="s">
        <v>5</v>
      </c>
      <c r="V56" s="1320" t="s">
        <v>6</v>
      </c>
      <c r="W56" s="1320" t="s">
        <v>7</v>
      </c>
      <c r="X56" s="1320" t="s">
        <v>8</v>
      </c>
      <c r="Y56" s="1320" t="s">
        <v>9</v>
      </c>
      <c r="Z56" s="1320" t="s">
        <v>10</v>
      </c>
      <c r="AA56" s="1320" t="s">
        <v>11</v>
      </c>
      <c r="AB56" s="1320" t="s">
        <v>441</v>
      </c>
      <c r="AC56" s="1609" t="s">
        <v>442</v>
      </c>
      <c r="AD56" s="2861"/>
      <c r="AE56" s="2862"/>
      <c r="AF56" s="2862"/>
      <c r="AG56" s="2862"/>
      <c r="AH56" s="2862"/>
      <c r="AI56" s="2862"/>
      <c r="AJ56" s="2862"/>
      <c r="AK56" s="2862"/>
      <c r="AL56" s="2862"/>
      <c r="AM56" s="2862"/>
      <c r="AN56" s="2862"/>
      <c r="AO56" s="2862"/>
      <c r="AP56" s="2863"/>
      <c r="AQ56" s="2319"/>
      <c r="AR56" s="1320"/>
      <c r="AS56" s="1320"/>
      <c r="AT56" s="1320"/>
      <c r="AU56" s="1320"/>
      <c r="AV56" s="1320"/>
      <c r="AW56" s="1320"/>
      <c r="AX56" s="1320"/>
      <c r="AY56" s="1320"/>
      <c r="AZ56" s="1320"/>
      <c r="BA56" s="1320"/>
      <c r="BB56" s="1320"/>
      <c r="BC56" s="2789"/>
    </row>
    <row r="57" spans="2:55" hidden="1" outlineLevel="1">
      <c r="B57" s="3290" t="s">
        <v>447</v>
      </c>
      <c r="C57" s="3291"/>
      <c r="D57" s="1469">
        <f t="shared" ref="D57:D68" si="125">SUM(E57:P57)</f>
        <v>0</v>
      </c>
      <c r="E57" s="1469">
        <f>SUM(E58:E60)</f>
        <v>0</v>
      </c>
      <c r="F57" s="1469">
        <f t="shared" ref="F57:P57" si="126">SUM(F58:F60)</f>
        <v>0</v>
      </c>
      <c r="G57" s="1469">
        <f t="shared" si="126"/>
        <v>0</v>
      </c>
      <c r="H57" s="1469">
        <f t="shared" si="126"/>
        <v>0</v>
      </c>
      <c r="I57" s="1469">
        <f t="shared" si="126"/>
        <v>0</v>
      </c>
      <c r="J57" s="1469">
        <f t="shared" si="126"/>
        <v>0</v>
      </c>
      <c r="K57" s="1469">
        <f t="shared" si="126"/>
        <v>0</v>
      </c>
      <c r="L57" s="1469">
        <f t="shared" si="126"/>
        <v>0</v>
      </c>
      <c r="M57" s="1469">
        <f t="shared" si="126"/>
        <v>0</v>
      </c>
      <c r="N57" s="1469">
        <f t="shared" si="126"/>
        <v>0</v>
      </c>
      <c r="O57" s="1469">
        <f t="shared" si="126"/>
        <v>0</v>
      </c>
      <c r="P57" s="1469">
        <f t="shared" si="126"/>
        <v>0</v>
      </c>
      <c r="Q57" s="1469">
        <f t="shared" ref="Q57:Q68" si="127">SUM(R57:AC57)</f>
        <v>0</v>
      </c>
      <c r="R57" s="1469">
        <f>SUM(R58:R60)</f>
        <v>0</v>
      </c>
      <c r="S57" s="1469">
        <f t="shared" ref="S57:AC57" si="128">SUM(S58:S60)</f>
        <v>0</v>
      </c>
      <c r="T57" s="1469">
        <f t="shared" si="128"/>
        <v>0</v>
      </c>
      <c r="U57" s="1469">
        <f t="shared" si="128"/>
        <v>0</v>
      </c>
      <c r="V57" s="1469">
        <f t="shared" si="128"/>
        <v>0</v>
      </c>
      <c r="W57" s="1469">
        <f t="shared" si="128"/>
        <v>0</v>
      </c>
      <c r="X57" s="1469">
        <f t="shared" si="128"/>
        <v>0</v>
      </c>
      <c r="Y57" s="1469">
        <f t="shared" si="128"/>
        <v>0</v>
      </c>
      <c r="Z57" s="1469">
        <f t="shared" si="128"/>
        <v>0</v>
      </c>
      <c r="AA57" s="1469">
        <f t="shared" si="128"/>
        <v>0</v>
      </c>
      <c r="AB57" s="1469">
        <f t="shared" si="128"/>
        <v>0</v>
      </c>
      <c r="AC57" s="1610">
        <f t="shared" si="128"/>
        <v>0</v>
      </c>
      <c r="AD57" s="2864"/>
      <c r="AE57" s="2864"/>
      <c r="AF57" s="2864"/>
      <c r="AG57" s="2864"/>
      <c r="AH57" s="2864"/>
      <c r="AI57" s="2864"/>
      <c r="AJ57" s="2864"/>
      <c r="AK57" s="2864"/>
      <c r="AL57" s="2864"/>
      <c r="AM57" s="2864"/>
      <c r="AN57" s="2864"/>
      <c r="AO57" s="2864"/>
      <c r="AP57" s="2865"/>
      <c r="AQ57" s="1469"/>
      <c r="AR57" s="1469"/>
      <c r="AS57" s="1469"/>
      <c r="AT57" s="1469"/>
      <c r="AU57" s="1469"/>
      <c r="AV57" s="1469"/>
      <c r="AW57" s="1469"/>
      <c r="AX57" s="1469"/>
      <c r="AY57" s="1469"/>
      <c r="AZ57" s="1469"/>
      <c r="BA57" s="1469"/>
      <c r="BB57" s="1469"/>
      <c r="BC57" s="2000"/>
    </row>
    <row r="58" spans="2:55" hidden="1" outlineLevel="1">
      <c r="B58" s="1684"/>
      <c r="C58" s="1611" t="s">
        <v>435</v>
      </c>
      <c r="D58" s="1470">
        <f t="shared" si="125"/>
        <v>0</v>
      </c>
      <c r="E58" s="1685"/>
      <c r="F58" s="1685"/>
      <c r="G58" s="1685"/>
      <c r="H58" s="1685"/>
      <c r="I58" s="1685"/>
      <c r="J58" s="1685"/>
      <c r="K58" s="1685"/>
      <c r="L58" s="1685"/>
      <c r="M58" s="1685"/>
      <c r="N58" s="1685"/>
      <c r="O58" s="1685"/>
      <c r="P58" s="1685"/>
      <c r="Q58" s="1470">
        <f t="shared" si="127"/>
        <v>0</v>
      </c>
      <c r="R58" s="1685"/>
      <c r="S58" s="1685"/>
      <c r="T58" s="1685"/>
      <c r="U58" s="1685"/>
      <c r="V58" s="1685"/>
      <c r="W58" s="1685"/>
      <c r="X58" s="1685"/>
      <c r="Y58" s="1685"/>
      <c r="Z58" s="1685"/>
      <c r="AA58" s="1685"/>
      <c r="AB58" s="1685"/>
      <c r="AC58" s="1687"/>
      <c r="AD58" s="2866"/>
      <c r="AE58" s="2867"/>
      <c r="AF58" s="2867"/>
      <c r="AG58" s="2867"/>
      <c r="AH58" s="2867"/>
      <c r="AI58" s="2867"/>
      <c r="AJ58" s="2867"/>
      <c r="AK58" s="2867"/>
      <c r="AL58" s="2867"/>
      <c r="AM58" s="2867"/>
      <c r="AN58" s="2867"/>
      <c r="AO58" s="2867"/>
      <c r="AP58" s="2868"/>
      <c r="AQ58" s="1470"/>
      <c r="AR58" s="1685"/>
      <c r="AS58" s="1685"/>
      <c r="AT58" s="1685"/>
      <c r="AU58" s="1685"/>
      <c r="AV58" s="1685"/>
      <c r="AW58" s="1685"/>
      <c r="AX58" s="1685"/>
      <c r="AY58" s="1685"/>
      <c r="AZ58" s="1685"/>
      <c r="BA58" s="1685"/>
      <c r="BB58" s="1685"/>
      <c r="BC58" s="2002"/>
    </row>
    <row r="59" spans="2:55" hidden="1" outlineLevel="1">
      <c r="B59" s="3281"/>
      <c r="C59" s="1611" t="s">
        <v>448</v>
      </c>
      <c r="D59" s="1470">
        <f t="shared" si="125"/>
        <v>0</v>
      </c>
      <c r="E59" s="1686"/>
      <c r="F59" s="1686"/>
      <c r="G59" s="1686"/>
      <c r="H59" s="1686"/>
      <c r="I59" s="1686"/>
      <c r="J59" s="1686"/>
      <c r="K59" s="1686"/>
      <c r="L59" s="1686"/>
      <c r="M59" s="1686"/>
      <c r="N59" s="1686"/>
      <c r="O59" s="1686"/>
      <c r="P59" s="1686"/>
      <c r="Q59" s="1470">
        <f t="shared" si="127"/>
        <v>0</v>
      </c>
      <c r="R59" s="1686"/>
      <c r="S59" s="1686"/>
      <c r="T59" s="1686"/>
      <c r="U59" s="1686"/>
      <c r="V59" s="1686"/>
      <c r="W59" s="1686"/>
      <c r="X59" s="1686"/>
      <c r="Y59" s="1686"/>
      <c r="Z59" s="1686"/>
      <c r="AA59" s="1686"/>
      <c r="AB59" s="1686"/>
      <c r="AC59" s="1688"/>
      <c r="AD59" s="2866"/>
      <c r="AE59" s="2869"/>
      <c r="AF59" s="2869"/>
      <c r="AG59" s="2869"/>
      <c r="AH59" s="2869"/>
      <c r="AI59" s="2869"/>
      <c r="AJ59" s="2869"/>
      <c r="AK59" s="2869"/>
      <c r="AL59" s="2869"/>
      <c r="AM59" s="2869"/>
      <c r="AN59" s="2869"/>
      <c r="AO59" s="2869"/>
      <c r="AP59" s="2870"/>
      <c r="AQ59" s="1470"/>
      <c r="AR59" s="1686"/>
      <c r="AS59" s="1686"/>
      <c r="AT59" s="1686"/>
      <c r="AU59" s="1686"/>
      <c r="AV59" s="1686"/>
      <c r="AW59" s="1686"/>
      <c r="AX59" s="1686"/>
      <c r="AY59" s="1686"/>
      <c r="AZ59" s="1686"/>
      <c r="BA59" s="1686"/>
      <c r="BB59" s="1686"/>
      <c r="BC59" s="2003"/>
    </row>
    <row r="60" spans="2:55" hidden="1" outlineLevel="1">
      <c r="B60" s="3289"/>
      <c r="C60" s="1611" t="s">
        <v>415</v>
      </c>
      <c r="D60" s="1470">
        <f t="shared" si="125"/>
        <v>0</v>
      </c>
      <c r="E60" s="1686"/>
      <c r="F60" s="1686"/>
      <c r="G60" s="1686"/>
      <c r="H60" s="1686"/>
      <c r="I60" s="1686"/>
      <c r="J60" s="1686"/>
      <c r="K60" s="1686"/>
      <c r="L60" s="1686"/>
      <c r="M60" s="1686"/>
      <c r="N60" s="1686"/>
      <c r="O60" s="1686"/>
      <c r="P60" s="1686"/>
      <c r="Q60" s="1470">
        <f t="shared" si="127"/>
        <v>0</v>
      </c>
      <c r="R60" s="1686"/>
      <c r="S60" s="1686"/>
      <c r="T60" s="1686"/>
      <c r="U60" s="1686"/>
      <c r="V60" s="1686"/>
      <c r="W60" s="1686"/>
      <c r="X60" s="1686"/>
      <c r="Y60" s="1686"/>
      <c r="Z60" s="1686"/>
      <c r="AA60" s="1686"/>
      <c r="AB60" s="1686"/>
      <c r="AC60" s="1688"/>
      <c r="AD60" s="2866"/>
      <c r="AE60" s="2869"/>
      <c r="AF60" s="2869"/>
      <c r="AG60" s="2869"/>
      <c r="AH60" s="2869"/>
      <c r="AI60" s="2869"/>
      <c r="AJ60" s="2869"/>
      <c r="AK60" s="2869"/>
      <c r="AL60" s="2869"/>
      <c r="AM60" s="2869"/>
      <c r="AN60" s="2869"/>
      <c r="AO60" s="2869"/>
      <c r="AP60" s="2870"/>
      <c r="AQ60" s="1470"/>
      <c r="AR60" s="1686"/>
      <c r="AS60" s="1686"/>
      <c r="AT60" s="1686"/>
      <c r="AU60" s="1686"/>
      <c r="AV60" s="1686"/>
      <c r="AW60" s="1686"/>
      <c r="AX60" s="1686"/>
      <c r="AY60" s="1686"/>
      <c r="AZ60" s="1686"/>
      <c r="BA60" s="1686"/>
      <c r="BB60" s="1686"/>
      <c r="BC60" s="2003"/>
    </row>
    <row r="61" spans="2:55" hidden="1" outlineLevel="1">
      <c r="B61" s="3290" t="s">
        <v>417</v>
      </c>
      <c r="C61" s="3291"/>
      <c r="D61" s="1469">
        <f t="shared" si="125"/>
        <v>0</v>
      </c>
      <c r="E61" s="1469">
        <f>SUM(E62:E67)</f>
        <v>0</v>
      </c>
      <c r="F61" s="1469">
        <f t="shared" ref="F61:P61" si="129">SUM(F62:F67)</f>
        <v>0</v>
      </c>
      <c r="G61" s="1469">
        <f t="shared" si="129"/>
        <v>0</v>
      </c>
      <c r="H61" s="1469">
        <f t="shared" si="129"/>
        <v>0</v>
      </c>
      <c r="I61" s="1469">
        <f t="shared" si="129"/>
        <v>0</v>
      </c>
      <c r="J61" s="1469">
        <f t="shared" si="129"/>
        <v>0</v>
      </c>
      <c r="K61" s="1469">
        <f t="shared" si="129"/>
        <v>0</v>
      </c>
      <c r="L61" s="1469">
        <f t="shared" si="129"/>
        <v>0</v>
      </c>
      <c r="M61" s="1469">
        <f t="shared" si="129"/>
        <v>0</v>
      </c>
      <c r="N61" s="1469">
        <f t="shared" si="129"/>
        <v>0</v>
      </c>
      <c r="O61" s="1469">
        <f t="shared" si="129"/>
        <v>0</v>
      </c>
      <c r="P61" s="1469">
        <f t="shared" si="129"/>
        <v>0</v>
      </c>
      <c r="Q61" s="1469">
        <f t="shared" si="127"/>
        <v>0</v>
      </c>
      <c r="R61" s="1469">
        <f>SUM(R62:R67)</f>
        <v>0</v>
      </c>
      <c r="S61" s="1469">
        <f t="shared" ref="S61:AC61" si="130">SUM(S62:S67)</f>
        <v>0</v>
      </c>
      <c r="T61" s="1469">
        <f t="shared" si="130"/>
        <v>0</v>
      </c>
      <c r="U61" s="1469">
        <f t="shared" si="130"/>
        <v>0</v>
      </c>
      <c r="V61" s="1469">
        <f t="shared" si="130"/>
        <v>0</v>
      </c>
      <c r="W61" s="1469">
        <f t="shared" si="130"/>
        <v>0</v>
      </c>
      <c r="X61" s="1469">
        <f t="shared" si="130"/>
        <v>0</v>
      </c>
      <c r="Y61" s="1469">
        <f t="shared" si="130"/>
        <v>0</v>
      </c>
      <c r="Z61" s="1469">
        <f t="shared" si="130"/>
        <v>0</v>
      </c>
      <c r="AA61" s="1469">
        <f t="shared" si="130"/>
        <v>0</v>
      </c>
      <c r="AB61" s="1469">
        <f t="shared" si="130"/>
        <v>0</v>
      </c>
      <c r="AC61" s="1610">
        <f t="shared" si="130"/>
        <v>0</v>
      </c>
      <c r="AD61" s="2864"/>
      <c r="AE61" s="2864"/>
      <c r="AF61" s="2864"/>
      <c r="AG61" s="2864"/>
      <c r="AH61" s="2864"/>
      <c r="AI61" s="2864"/>
      <c r="AJ61" s="2864"/>
      <c r="AK61" s="2864"/>
      <c r="AL61" s="2864"/>
      <c r="AM61" s="2864"/>
      <c r="AN61" s="2864"/>
      <c r="AO61" s="2864"/>
      <c r="AP61" s="2865"/>
      <c r="AQ61" s="1469"/>
      <c r="AR61" s="1469"/>
      <c r="AS61" s="1469"/>
      <c r="AT61" s="1469"/>
      <c r="AU61" s="1469"/>
      <c r="AV61" s="1469"/>
      <c r="AW61" s="1469"/>
      <c r="AX61" s="1469"/>
      <c r="AY61" s="1469"/>
      <c r="AZ61" s="1469"/>
      <c r="BA61" s="1469"/>
      <c r="BB61" s="1469"/>
      <c r="BC61" s="2000"/>
    </row>
    <row r="62" spans="2:55" hidden="1" outlineLevel="1">
      <c r="B62" s="1684"/>
      <c r="C62" s="1613" t="s">
        <v>453</v>
      </c>
      <c r="D62" s="1470">
        <f t="shared" si="125"/>
        <v>0</v>
      </c>
      <c r="E62" s="1685"/>
      <c r="F62" s="1685"/>
      <c r="G62" s="1685"/>
      <c r="H62" s="1685"/>
      <c r="I62" s="1685"/>
      <c r="J62" s="1685"/>
      <c r="K62" s="1685"/>
      <c r="L62" s="1685"/>
      <c r="M62" s="1685"/>
      <c r="N62" s="1685"/>
      <c r="O62" s="1685"/>
      <c r="P62" s="1685"/>
      <c r="Q62" s="1470">
        <f t="shared" si="127"/>
        <v>0</v>
      </c>
      <c r="R62" s="1685"/>
      <c r="S62" s="1685"/>
      <c r="T62" s="1685"/>
      <c r="U62" s="1685"/>
      <c r="V62" s="1685"/>
      <c r="W62" s="1685"/>
      <c r="X62" s="1685"/>
      <c r="Y62" s="1685"/>
      <c r="Z62" s="1685"/>
      <c r="AA62" s="1685"/>
      <c r="AB62" s="1685"/>
      <c r="AC62" s="1687"/>
      <c r="AD62" s="2866"/>
      <c r="AE62" s="2867"/>
      <c r="AF62" s="2867"/>
      <c r="AG62" s="2867"/>
      <c r="AH62" s="2867"/>
      <c r="AI62" s="2867"/>
      <c r="AJ62" s="2867"/>
      <c r="AK62" s="2867"/>
      <c r="AL62" s="2867"/>
      <c r="AM62" s="2867"/>
      <c r="AN62" s="2867"/>
      <c r="AO62" s="2867"/>
      <c r="AP62" s="2868"/>
      <c r="AQ62" s="1470"/>
      <c r="AR62" s="1685"/>
      <c r="AS62" s="1685"/>
      <c r="AT62" s="1685"/>
      <c r="AU62" s="1685"/>
      <c r="AV62" s="1685"/>
      <c r="AW62" s="1685"/>
      <c r="AX62" s="1685"/>
      <c r="AY62" s="1685"/>
      <c r="AZ62" s="1685"/>
      <c r="BA62" s="1685"/>
      <c r="BB62" s="1685"/>
      <c r="BC62" s="2002"/>
    </row>
    <row r="63" spans="2:55" hidden="1" outlineLevel="1">
      <c r="B63" s="3281"/>
      <c r="C63" s="1613" t="s">
        <v>422</v>
      </c>
      <c r="D63" s="1470">
        <f t="shared" si="125"/>
        <v>0</v>
      </c>
      <c r="E63" s="1685"/>
      <c r="F63" s="1685"/>
      <c r="G63" s="1685"/>
      <c r="H63" s="1685"/>
      <c r="I63" s="1685"/>
      <c r="J63" s="1685"/>
      <c r="K63" s="1685"/>
      <c r="L63" s="1685"/>
      <c r="M63" s="1685"/>
      <c r="N63" s="1685"/>
      <c r="O63" s="1685"/>
      <c r="P63" s="1685"/>
      <c r="Q63" s="1470">
        <f t="shared" si="127"/>
        <v>0</v>
      </c>
      <c r="R63" s="1685"/>
      <c r="S63" s="1685"/>
      <c r="T63" s="1685"/>
      <c r="U63" s="1685"/>
      <c r="V63" s="1685"/>
      <c r="W63" s="1685"/>
      <c r="X63" s="1685"/>
      <c r="Y63" s="1685"/>
      <c r="Z63" s="1685"/>
      <c r="AA63" s="1685"/>
      <c r="AB63" s="1685"/>
      <c r="AC63" s="1687"/>
      <c r="AD63" s="2866"/>
      <c r="AE63" s="2867"/>
      <c r="AF63" s="2867"/>
      <c r="AG63" s="2867"/>
      <c r="AH63" s="2867"/>
      <c r="AI63" s="2867"/>
      <c r="AJ63" s="2867"/>
      <c r="AK63" s="2867"/>
      <c r="AL63" s="2867"/>
      <c r="AM63" s="2867"/>
      <c r="AN63" s="2867"/>
      <c r="AO63" s="2867"/>
      <c r="AP63" s="2868"/>
      <c r="AQ63" s="1470"/>
      <c r="AR63" s="1685"/>
      <c r="AS63" s="1685"/>
      <c r="AT63" s="1685"/>
      <c r="AU63" s="1685"/>
      <c r="AV63" s="1685"/>
      <c r="AW63" s="1685"/>
      <c r="AX63" s="1685"/>
      <c r="AY63" s="1685"/>
      <c r="AZ63" s="1685"/>
      <c r="BA63" s="1685"/>
      <c r="BB63" s="1685"/>
      <c r="BC63" s="2002"/>
    </row>
    <row r="64" spans="2:55" hidden="1" outlineLevel="1">
      <c r="B64" s="3281"/>
      <c r="C64" s="1613" t="s">
        <v>423</v>
      </c>
      <c r="D64" s="1470">
        <f t="shared" si="125"/>
        <v>0</v>
      </c>
      <c r="E64" s="1686"/>
      <c r="F64" s="1686"/>
      <c r="G64" s="1686"/>
      <c r="H64" s="1685"/>
      <c r="I64" s="1686"/>
      <c r="J64" s="1686"/>
      <c r="K64" s="1686"/>
      <c r="L64" s="1686"/>
      <c r="M64" s="1686"/>
      <c r="N64" s="1686"/>
      <c r="O64" s="1686"/>
      <c r="P64" s="1686"/>
      <c r="Q64" s="1470">
        <f t="shared" si="127"/>
        <v>0</v>
      </c>
      <c r="R64" s="1686"/>
      <c r="S64" s="1686"/>
      <c r="T64" s="1686"/>
      <c r="U64" s="1686"/>
      <c r="V64" s="1686"/>
      <c r="W64" s="1686"/>
      <c r="X64" s="1686"/>
      <c r="Y64" s="1686"/>
      <c r="Z64" s="1686"/>
      <c r="AA64" s="1686"/>
      <c r="AB64" s="1686"/>
      <c r="AC64" s="1688"/>
      <c r="AD64" s="2866"/>
      <c r="AE64" s="2869"/>
      <c r="AF64" s="2869"/>
      <c r="AG64" s="2869"/>
      <c r="AH64" s="2869"/>
      <c r="AI64" s="2869"/>
      <c r="AJ64" s="2869"/>
      <c r="AK64" s="2869"/>
      <c r="AL64" s="2869"/>
      <c r="AM64" s="2869"/>
      <c r="AN64" s="2869"/>
      <c r="AO64" s="2869"/>
      <c r="AP64" s="2870"/>
      <c r="AQ64" s="1470"/>
      <c r="AR64" s="1686"/>
      <c r="AS64" s="1686"/>
      <c r="AT64" s="1686"/>
      <c r="AU64" s="1686"/>
      <c r="AV64" s="1686"/>
      <c r="AW64" s="1686"/>
      <c r="AX64" s="1686"/>
      <c r="AY64" s="1686"/>
      <c r="AZ64" s="1686"/>
      <c r="BA64" s="1686"/>
      <c r="BB64" s="1686"/>
      <c r="BC64" s="2003"/>
    </row>
    <row r="65" spans="2:58" hidden="1" outlineLevel="1">
      <c r="B65" s="3281"/>
      <c r="C65" s="1613" t="s">
        <v>454</v>
      </c>
      <c r="D65" s="1470">
        <f t="shared" si="125"/>
        <v>0</v>
      </c>
      <c r="E65" s="1686"/>
      <c r="F65" s="1686"/>
      <c r="G65" s="1686"/>
      <c r="H65" s="1685"/>
      <c r="I65" s="1686"/>
      <c r="J65" s="1686"/>
      <c r="K65" s="1686"/>
      <c r="L65" s="1686"/>
      <c r="M65" s="1686"/>
      <c r="N65" s="1686"/>
      <c r="O65" s="1686"/>
      <c r="P65" s="1686"/>
      <c r="Q65" s="1470">
        <f t="shared" si="127"/>
        <v>0</v>
      </c>
      <c r="R65" s="1686"/>
      <c r="S65" s="1686"/>
      <c r="T65" s="1686"/>
      <c r="U65" s="1686"/>
      <c r="V65" s="1686"/>
      <c r="W65" s="1686"/>
      <c r="X65" s="1686"/>
      <c r="Y65" s="1686"/>
      <c r="Z65" s="1686"/>
      <c r="AA65" s="1686"/>
      <c r="AB65" s="1686"/>
      <c r="AC65" s="1688"/>
      <c r="AD65" s="2866"/>
      <c r="AE65" s="2869"/>
      <c r="AF65" s="2869"/>
      <c r="AG65" s="2869"/>
      <c r="AH65" s="2869"/>
      <c r="AI65" s="2869"/>
      <c r="AJ65" s="2869"/>
      <c r="AK65" s="2869"/>
      <c r="AL65" s="2869"/>
      <c r="AM65" s="2869"/>
      <c r="AN65" s="2869"/>
      <c r="AO65" s="2869"/>
      <c r="AP65" s="2870"/>
      <c r="AQ65" s="1470"/>
      <c r="AR65" s="1686"/>
      <c r="AS65" s="1686"/>
      <c r="AT65" s="1686"/>
      <c r="AU65" s="1686"/>
      <c r="AV65" s="1686"/>
      <c r="AW65" s="1686"/>
      <c r="AX65" s="1686"/>
      <c r="AY65" s="1686"/>
      <c r="AZ65" s="1686"/>
      <c r="BA65" s="1686"/>
      <c r="BB65" s="1686"/>
      <c r="BC65" s="2003"/>
    </row>
    <row r="66" spans="2:58" hidden="1" outlineLevel="1">
      <c r="B66" s="3281"/>
      <c r="C66" s="1613" t="s">
        <v>424</v>
      </c>
      <c r="D66" s="1470">
        <f t="shared" si="125"/>
        <v>0</v>
      </c>
      <c r="E66" s="1686"/>
      <c r="F66" s="1686"/>
      <c r="G66" s="1686"/>
      <c r="H66" s="1685"/>
      <c r="I66" s="1686"/>
      <c r="J66" s="1686"/>
      <c r="K66" s="1686"/>
      <c r="L66" s="1685"/>
      <c r="M66" s="1686"/>
      <c r="N66" s="1686"/>
      <c r="O66" s="1686"/>
      <c r="P66" s="1686"/>
      <c r="Q66" s="1470">
        <f t="shared" si="127"/>
        <v>0</v>
      </c>
      <c r="R66" s="1686"/>
      <c r="S66" s="1686"/>
      <c r="T66" s="1686"/>
      <c r="U66" s="1686"/>
      <c r="V66" s="1686"/>
      <c r="W66" s="1686"/>
      <c r="X66" s="1686"/>
      <c r="Y66" s="1686"/>
      <c r="Z66" s="1686"/>
      <c r="AA66" s="1686"/>
      <c r="AB66" s="1686"/>
      <c r="AC66" s="1688"/>
      <c r="AD66" s="2866"/>
      <c r="AE66" s="2869"/>
      <c r="AF66" s="2869"/>
      <c r="AG66" s="2869"/>
      <c r="AH66" s="2869"/>
      <c r="AI66" s="2869"/>
      <c r="AJ66" s="2869"/>
      <c r="AK66" s="2869"/>
      <c r="AL66" s="2869"/>
      <c r="AM66" s="2869"/>
      <c r="AN66" s="2869"/>
      <c r="AO66" s="2869"/>
      <c r="AP66" s="2870"/>
      <c r="AQ66" s="1470"/>
      <c r="AR66" s="1686"/>
      <c r="AS66" s="1686"/>
      <c r="AT66" s="1686"/>
      <c r="AU66" s="1686"/>
      <c r="AV66" s="1686"/>
      <c r="AW66" s="1686"/>
      <c r="AX66" s="1686"/>
      <c r="AY66" s="1686"/>
      <c r="AZ66" s="1686"/>
      <c r="BA66" s="1686"/>
      <c r="BB66" s="1686"/>
      <c r="BC66" s="2003"/>
    </row>
    <row r="67" spans="2:58" hidden="1" outlineLevel="1">
      <c r="B67" s="3289"/>
      <c r="C67" s="1613" t="s">
        <v>452</v>
      </c>
      <c r="D67" s="1470">
        <f t="shared" si="125"/>
        <v>0</v>
      </c>
      <c r="E67" s="1686"/>
      <c r="F67" s="1686"/>
      <c r="G67" s="1686"/>
      <c r="H67" s="1685"/>
      <c r="I67" s="1686"/>
      <c r="J67" s="1686"/>
      <c r="K67" s="1686"/>
      <c r="L67" s="1685"/>
      <c r="M67" s="1686"/>
      <c r="N67" s="1686"/>
      <c r="O67" s="1686"/>
      <c r="P67" s="1686"/>
      <c r="Q67" s="1470">
        <f t="shared" si="127"/>
        <v>0</v>
      </c>
      <c r="R67" s="1686"/>
      <c r="S67" s="1686"/>
      <c r="T67" s="1686"/>
      <c r="U67" s="1686"/>
      <c r="V67" s="1686"/>
      <c r="W67" s="1686"/>
      <c r="X67" s="1686"/>
      <c r="Y67" s="1686"/>
      <c r="Z67" s="1686"/>
      <c r="AA67" s="1686"/>
      <c r="AB67" s="1686"/>
      <c r="AC67" s="1688"/>
      <c r="AD67" s="2866"/>
      <c r="AE67" s="2869"/>
      <c r="AF67" s="2869"/>
      <c r="AG67" s="2869"/>
      <c r="AH67" s="2869"/>
      <c r="AI67" s="2869"/>
      <c r="AJ67" s="2869"/>
      <c r="AK67" s="2869"/>
      <c r="AL67" s="2869"/>
      <c r="AM67" s="2869"/>
      <c r="AN67" s="2869"/>
      <c r="AO67" s="2869"/>
      <c r="AP67" s="2870"/>
      <c r="AQ67" s="1470"/>
      <c r="AR67" s="1686"/>
      <c r="AS67" s="1686"/>
      <c r="AT67" s="1686"/>
      <c r="AU67" s="1686"/>
      <c r="AV67" s="1686"/>
      <c r="AW67" s="1686"/>
      <c r="AX67" s="1686"/>
      <c r="AY67" s="1686"/>
      <c r="AZ67" s="1686"/>
      <c r="BA67" s="1686"/>
      <c r="BB67" s="1686"/>
      <c r="BC67" s="2003"/>
    </row>
    <row r="68" spans="2:58" hidden="1" outlineLevel="1">
      <c r="B68" s="3292" t="s">
        <v>421</v>
      </c>
      <c r="C68" s="3291"/>
      <c r="D68" s="1469">
        <f t="shared" si="125"/>
        <v>0</v>
      </c>
      <c r="E68" s="1469">
        <f>E57-E61</f>
        <v>0</v>
      </c>
      <c r="F68" s="1469">
        <f t="shared" ref="F68:P68" si="131">F57-F61</f>
        <v>0</v>
      </c>
      <c r="G68" s="1469">
        <f t="shared" si="131"/>
        <v>0</v>
      </c>
      <c r="H68" s="1469">
        <f t="shared" si="131"/>
        <v>0</v>
      </c>
      <c r="I68" s="1469">
        <f t="shared" si="131"/>
        <v>0</v>
      </c>
      <c r="J68" s="1469">
        <f t="shared" si="131"/>
        <v>0</v>
      </c>
      <c r="K68" s="1469">
        <f t="shared" si="131"/>
        <v>0</v>
      </c>
      <c r="L68" s="1469">
        <f t="shared" si="131"/>
        <v>0</v>
      </c>
      <c r="M68" s="1469">
        <f t="shared" si="131"/>
        <v>0</v>
      </c>
      <c r="N68" s="1469">
        <f t="shared" si="131"/>
        <v>0</v>
      </c>
      <c r="O68" s="1469">
        <f t="shared" si="131"/>
        <v>0</v>
      </c>
      <c r="P68" s="1469">
        <f t="shared" si="131"/>
        <v>0</v>
      </c>
      <c r="Q68" s="1469">
        <f t="shared" si="127"/>
        <v>0</v>
      </c>
      <c r="R68" s="1469">
        <f>R57-R61</f>
        <v>0</v>
      </c>
      <c r="S68" s="1469">
        <f t="shared" ref="S68:AC68" si="132">S57-S61</f>
        <v>0</v>
      </c>
      <c r="T68" s="1469">
        <f t="shared" si="132"/>
        <v>0</v>
      </c>
      <c r="U68" s="1469">
        <f t="shared" si="132"/>
        <v>0</v>
      </c>
      <c r="V68" s="1469">
        <f t="shared" si="132"/>
        <v>0</v>
      </c>
      <c r="W68" s="1469">
        <f t="shared" si="132"/>
        <v>0</v>
      </c>
      <c r="X68" s="1469">
        <f t="shared" si="132"/>
        <v>0</v>
      </c>
      <c r="Y68" s="1469">
        <f t="shared" si="132"/>
        <v>0</v>
      </c>
      <c r="Z68" s="1469">
        <f t="shared" si="132"/>
        <v>0</v>
      </c>
      <c r="AA68" s="1469">
        <f t="shared" si="132"/>
        <v>0</v>
      </c>
      <c r="AB68" s="1469">
        <f t="shared" si="132"/>
        <v>0</v>
      </c>
      <c r="AC68" s="1610">
        <f t="shared" si="132"/>
        <v>0</v>
      </c>
      <c r="AD68" s="2864"/>
      <c r="AE68" s="2864"/>
      <c r="AF68" s="2864"/>
      <c r="AG68" s="2864"/>
      <c r="AH68" s="2864"/>
      <c r="AI68" s="2864"/>
      <c r="AJ68" s="2864"/>
      <c r="AK68" s="2864"/>
      <c r="AL68" s="2864"/>
      <c r="AM68" s="2864"/>
      <c r="AN68" s="2864"/>
      <c r="AO68" s="2864"/>
      <c r="AP68" s="2865"/>
      <c r="AQ68" s="1469"/>
      <c r="AR68" s="1469"/>
      <c r="AS68" s="1469"/>
      <c r="AT68" s="1469"/>
      <c r="AU68" s="1469"/>
      <c r="AV68" s="1469"/>
      <c r="AW68" s="1469"/>
      <c r="AX68" s="1469"/>
      <c r="AY68" s="1469"/>
      <c r="AZ68" s="1469"/>
      <c r="BA68" s="1469"/>
      <c r="BB68" s="1469"/>
      <c r="BC68" s="2000"/>
    </row>
    <row r="69" spans="2:58" hidden="1" collapsed="1">
      <c r="B69" s="1614"/>
      <c r="C69" s="1615"/>
      <c r="D69" s="1618"/>
      <c r="E69" s="1618"/>
      <c r="F69" s="1618"/>
      <c r="G69" s="1618"/>
      <c r="H69" s="1618"/>
      <c r="I69" s="1618"/>
      <c r="J69" s="1618"/>
      <c r="K69" s="1618"/>
      <c r="L69" s="1618"/>
      <c r="M69" s="1618"/>
      <c r="N69" s="1618"/>
      <c r="O69" s="1618"/>
      <c r="P69" s="1618"/>
      <c r="Q69" s="1618"/>
      <c r="R69" s="1618"/>
      <c r="S69" s="1618"/>
      <c r="T69" s="1618"/>
      <c r="U69" s="1618"/>
      <c r="V69" s="1618"/>
      <c r="W69" s="1618"/>
      <c r="X69" s="1618"/>
      <c r="Y69" s="1618"/>
      <c r="Z69" s="1618"/>
      <c r="AA69" s="1618"/>
      <c r="AB69" s="1618"/>
      <c r="AC69" s="1619"/>
      <c r="AD69" s="2857"/>
      <c r="AE69" s="2857"/>
      <c r="AF69" s="2857"/>
      <c r="AG69" s="2857"/>
      <c r="AH69" s="2857"/>
      <c r="AI69" s="2857"/>
      <c r="AJ69" s="2857"/>
      <c r="AK69" s="2857"/>
      <c r="AL69" s="2857"/>
      <c r="AM69" s="2857"/>
      <c r="AN69" s="2857"/>
      <c r="AO69" s="2857"/>
      <c r="AP69" s="2857"/>
      <c r="AQ69" s="1618"/>
      <c r="AR69" s="1618"/>
      <c r="AS69" s="1618"/>
      <c r="AT69" s="1618"/>
      <c r="AU69" s="1618"/>
      <c r="AV69" s="1618"/>
      <c r="AW69" s="1618"/>
      <c r="AX69" s="1618"/>
      <c r="AY69" s="1618"/>
      <c r="AZ69" s="1618"/>
      <c r="BA69" s="1618"/>
      <c r="BB69" s="1618"/>
      <c r="BC69" s="1618"/>
    </row>
    <row r="70" spans="2:58" hidden="1">
      <c r="B70" s="1614"/>
      <c r="C70" s="1615"/>
      <c r="D70" s="1616"/>
      <c r="E70" s="1618"/>
      <c r="F70" s="1618"/>
      <c r="G70" s="1618"/>
      <c r="H70" s="1618"/>
      <c r="I70" s="1618"/>
      <c r="J70" s="1618"/>
      <c r="K70" s="1618"/>
      <c r="L70" s="1618"/>
      <c r="M70" s="1618"/>
      <c r="N70" s="1618"/>
      <c r="O70" s="1618"/>
      <c r="P70" s="1618"/>
      <c r="Q70" s="1616"/>
      <c r="R70" s="1618"/>
      <c r="S70" s="1618"/>
      <c r="T70" s="1618"/>
      <c r="U70" s="1618"/>
      <c r="V70" s="1618"/>
      <c r="W70" s="1618"/>
      <c r="X70" s="1618"/>
      <c r="Y70" s="1618"/>
      <c r="Z70" s="1618"/>
      <c r="AA70" s="1618"/>
      <c r="AB70" s="1618"/>
      <c r="AC70" s="1619"/>
      <c r="AD70" s="2859"/>
      <c r="AE70" s="2857"/>
      <c r="AF70" s="2857"/>
      <c r="AG70" s="2857"/>
      <c r="AH70" s="2857"/>
      <c r="AI70" s="2857"/>
      <c r="AJ70" s="2857"/>
      <c r="AK70" s="2857"/>
      <c r="AL70" s="2857"/>
      <c r="AM70" s="2857"/>
      <c r="AN70" s="2857"/>
      <c r="AO70" s="2857"/>
      <c r="AP70" s="2857"/>
      <c r="AQ70" s="1616"/>
      <c r="AR70" s="1618"/>
      <c r="AS70" s="1618"/>
      <c r="AT70" s="1618"/>
      <c r="AU70" s="1618"/>
      <c r="AV70" s="1618"/>
      <c r="AW70" s="1618"/>
      <c r="AX70" s="1618"/>
      <c r="AY70" s="1618"/>
      <c r="AZ70" s="1618"/>
      <c r="BA70" s="1618"/>
      <c r="BB70" s="1618"/>
      <c r="BC70" s="1618"/>
    </row>
    <row r="71" spans="2:58" hidden="1" outlineLevel="1">
      <c r="B71" s="1614"/>
      <c r="C71" s="1615"/>
      <c r="D71" s="2321"/>
      <c r="E71" s="1618"/>
      <c r="F71" s="1618"/>
      <c r="G71" s="1618"/>
      <c r="H71" s="1618"/>
      <c r="I71" s="1618"/>
      <c r="J71" s="1618"/>
      <c r="K71" s="1618"/>
      <c r="L71" s="1618"/>
      <c r="M71" s="1618"/>
      <c r="N71" s="1618"/>
      <c r="O71" s="1618"/>
      <c r="P71" s="1618"/>
      <c r="Q71" s="2321"/>
      <c r="R71" s="1618"/>
      <c r="S71" s="1618"/>
      <c r="T71" s="1618"/>
      <c r="U71" s="1618"/>
      <c r="V71" s="1618"/>
      <c r="W71" s="1618"/>
      <c r="X71" s="1618"/>
      <c r="Y71" s="1618"/>
      <c r="Z71" s="1618"/>
      <c r="AA71" s="1618"/>
      <c r="AB71" s="1618"/>
      <c r="AC71" s="1619"/>
      <c r="AD71" s="2321"/>
      <c r="AE71" s="2857"/>
      <c r="AF71" s="2857"/>
      <c r="AG71" s="2857"/>
      <c r="AH71" s="2857"/>
      <c r="AI71" s="2857"/>
      <c r="AJ71" s="2857"/>
      <c r="AK71" s="2857"/>
      <c r="AL71" s="2857"/>
      <c r="AM71" s="2857"/>
      <c r="AN71" s="2857"/>
      <c r="AO71" s="2857"/>
      <c r="AP71" s="2857"/>
      <c r="AQ71" s="2793"/>
      <c r="AR71" s="1618"/>
      <c r="AS71" s="1618"/>
      <c r="AT71" s="1618"/>
      <c r="AU71" s="1618"/>
      <c r="AV71" s="1618"/>
      <c r="AW71" s="1618"/>
      <c r="AX71" s="1618"/>
      <c r="AY71" s="1618"/>
      <c r="AZ71" s="1618"/>
      <c r="BA71" s="1618"/>
      <c r="BB71" s="1618"/>
      <c r="BC71" s="1618"/>
    </row>
    <row r="72" spans="2:58" collapsed="1">
      <c r="B72" s="1620" t="s">
        <v>584</v>
      </c>
      <c r="C72" s="1621"/>
      <c r="E72" s="1618"/>
      <c r="F72" s="1618"/>
      <c r="G72" s="1618"/>
      <c r="H72" s="1618"/>
      <c r="I72" s="1618"/>
      <c r="J72" s="1618"/>
      <c r="K72" s="1618"/>
      <c r="L72" s="1618"/>
      <c r="M72" s="1618"/>
      <c r="N72" s="1618"/>
      <c r="O72" s="1618"/>
      <c r="P72" s="1618"/>
      <c r="R72" s="1618"/>
      <c r="S72" s="1618"/>
      <c r="T72" s="1618"/>
      <c r="U72" s="1618"/>
      <c r="V72" s="1618"/>
      <c r="W72" s="1618"/>
      <c r="X72" s="1618"/>
      <c r="Y72" s="1618"/>
      <c r="Z72" s="1618"/>
      <c r="AA72" s="1618"/>
      <c r="AB72" s="1618"/>
      <c r="AC72" s="1619"/>
      <c r="AE72" s="2796"/>
      <c r="AF72" s="2796"/>
      <c r="AG72" s="2796"/>
      <c r="AH72" s="2796"/>
      <c r="AI72" s="2796"/>
      <c r="AJ72" s="2796"/>
      <c r="AK72" s="2796"/>
      <c r="AL72" s="2796"/>
      <c r="AM72" s="2796"/>
      <c r="AN72" s="2796"/>
      <c r="AO72" s="2796"/>
      <c r="AP72" s="2796"/>
      <c r="AQ72" s="1618"/>
      <c r="AR72" s="1618"/>
      <c r="AS72" s="1618"/>
      <c r="AT72" s="1618"/>
      <c r="AU72" s="1618"/>
      <c r="AV72" s="1618"/>
      <c r="AW72" s="1618"/>
      <c r="AX72" s="1618"/>
      <c r="AY72" s="1618"/>
      <c r="AZ72" s="1618"/>
      <c r="BA72" s="1618"/>
      <c r="BB72" s="1618"/>
      <c r="BC72" s="1618"/>
    </row>
    <row r="73" spans="2:58">
      <c r="B73" s="3282" t="s">
        <v>439</v>
      </c>
      <c r="C73" s="3283"/>
      <c r="D73" s="3275" t="s">
        <v>494</v>
      </c>
      <c r="E73" s="3276"/>
      <c r="F73" s="3276"/>
      <c r="G73" s="3276"/>
      <c r="H73" s="3276"/>
      <c r="I73" s="3276"/>
      <c r="J73" s="3276"/>
      <c r="K73" s="3276"/>
      <c r="L73" s="3276"/>
      <c r="M73" s="3276"/>
      <c r="N73" s="3276"/>
      <c r="O73" s="3276"/>
      <c r="P73" s="3295"/>
      <c r="Q73" s="3275" t="s">
        <v>546</v>
      </c>
      <c r="R73" s="3276"/>
      <c r="S73" s="3276"/>
      <c r="T73" s="3276"/>
      <c r="U73" s="3276"/>
      <c r="V73" s="3276"/>
      <c r="W73" s="3276"/>
      <c r="X73" s="3276"/>
      <c r="Y73" s="3276"/>
      <c r="Z73" s="3276"/>
      <c r="AA73" s="3276"/>
      <c r="AB73" s="3276"/>
      <c r="AC73" s="3298"/>
      <c r="AD73" s="3275" t="s">
        <v>572</v>
      </c>
      <c r="AE73" s="3276"/>
      <c r="AF73" s="3276"/>
      <c r="AG73" s="3276"/>
      <c r="AH73" s="3276"/>
      <c r="AI73" s="3276"/>
      <c r="AJ73" s="3276"/>
      <c r="AK73" s="3276"/>
      <c r="AL73" s="3276"/>
      <c r="AM73" s="3276"/>
      <c r="AN73" s="3276"/>
      <c r="AO73" s="3276"/>
      <c r="AP73" s="3276"/>
      <c r="AQ73" s="3277" t="s">
        <v>586</v>
      </c>
      <c r="AR73" s="3278"/>
      <c r="AS73" s="3278"/>
      <c r="AT73" s="3278"/>
      <c r="AU73" s="3278"/>
      <c r="AV73" s="3278"/>
      <c r="AW73" s="3278"/>
      <c r="AX73" s="3278"/>
      <c r="AY73" s="3278"/>
      <c r="AZ73" s="3278"/>
      <c r="BA73" s="3278"/>
      <c r="BB73" s="3278"/>
      <c r="BC73" s="3278"/>
    </row>
    <row r="74" spans="2:58">
      <c r="B74" s="3284"/>
      <c r="C74" s="3285"/>
      <c r="D74" s="1104" t="s">
        <v>492</v>
      </c>
      <c r="E74" s="1320" t="str">
        <f>E$34</f>
        <v>1월</v>
      </c>
      <c r="F74" s="1320" t="str">
        <f>F$34</f>
        <v>2월</v>
      </c>
      <c r="G74" s="1320" t="str">
        <f t="shared" ref="G74:P74" si="133">G$34</f>
        <v>3월</v>
      </c>
      <c r="H74" s="1320" t="str">
        <f t="shared" si="133"/>
        <v>4월</v>
      </c>
      <c r="I74" s="1320" t="str">
        <f t="shared" si="133"/>
        <v>5월</v>
      </c>
      <c r="J74" s="1320" t="str">
        <f t="shared" si="133"/>
        <v>6월</v>
      </c>
      <c r="K74" s="1320" t="str">
        <f t="shared" si="133"/>
        <v>7월</v>
      </c>
      <c r="L74" s="1320" t="str">
        <f t="shared" si="133"/>
        <v>8월</v>
      </c>
      <c r="M74" s="1320" t="str">
        <f t="shared" si="133"/>
        <v>9월</v>
      </c>
      <c r="N74" s="1320" t="str">
        <f t="shared" si="133"/>
        <v>10월</v>
      </c>
      <c r="O74" s="1320" t="str">
        <f t="shared" si="133"/>
        <v>11월</v>
      </c>
      <c r="P74" s="1320" t="str">
        <f t="shared" si="133"/>
        <v>12월</v>
      </c>
      <c r="Q74" s="1104" t="s">
        <v>492</v>
      </c>
      <c r="R74" s="1320" t="s">
        <v>2</v>
      </c>
      <c r="S74" s="1320" t="s">
        <v>440</v>
      </c>
      <c r="T74" s="1320" t="s">
        <v>4</v>
      </c>
      <c r="U74" s="1320" t="s">
        <v>5</v>
      </c>
      <c r="V74" s="1320" t="s">
        <v>6</v>
      </c>
      <c r="W74" s="1320" t="s">
        <v>7</v>
      </c>
      <c r="X74" s="1320" t="s">
        <v>8</v>
      </c>
      <c r="Y74" s="1320" t="s">
        <v>9</v>
      </c>
      <c r="Z74" s="1320" t="s">
        <v>10</v>
      </c>
      <c r="AA74" s="1320" t="s">
        <v>11</v>
      </c>
      <c r="AB74" s="1320" t="s">
        <v>441</v>
      </c>
      <c r="AC74" s="1609" t="s">
        <v>442</v>
      </c>
      <c r="AD74" s="1104" t="s">
        <v>492</v>
      </c>
      <c r="AE74" s="1320" t="s">
        <v>2</v>
      </c>
      <c r="AF74" s="1320" t="s">
        <v>440</v>
      </c>
      <c r="AG74" s="1320" t="s">
        <v>4</v>
      </c>
      <c r="AH74" s="1320" t="s">
        <v>5</v>
      </c>
      <c r="AI74" s="1320" t="s">
        <v>6</v>
      </c>
      <c r="AJ74" s="1320" t="s">
        <v>7</v>
      </c>
      <c r="AK74" s="1320" t="s">
        <v>8</v>
      </c>
      <c r="AL74" s="1320" t="s">
        <v>9</v>
      </c>
      <c r="AM74" s="1320" t="s">
        <v>10</v>
      </c>
      <c r="AN74" s="1320" t="s">
        <v>11</v>
      </c>
      <c r="AO74" s="1320" t="s">
        <v>441</v>
      </c>
      <c r="AP74" s="1915" t="s">
        <v>442</v>
      </c>
      <c r="AQ74" s="2792" t="s">
        <v>492</v>
      </c>
      <c r="AR74" s="2323" t="s">
        <v>2</v>
      </c>
      <c r="AS74" s="2323" t="s">
        <v>440</v>
      </c>
      <c r="AT74" s="2323" t="s">
        <v>4</v>
      </c>
      <c r="AU74" s="2323" t="s">
        <v>5</v>
      </c>
      <c r="AV74" s="2323" t="s">
        <v>6</v>
      </c>
      <c r="AW74" s="2323" t="s">
        <v>7</v>
      </c>
      <c r="AX74" s="2323" t="s">
        <v>8</v>
      </c>
      <c r="AY74" s="2323" t="s">
        <v>9</v>
      </c>
      <c r="AZ74" s="2323" t="s">
        <v>10</v>
      </c>
      <c r="BA74" s="2323" t="s">
        <v>11</v>
      </c>
      <c r="BB74" s="2323" t="s">
        <v>441</v>
      </c>
      <c r="BC74" s="2788" t="s">
        <v>442</v>
      </c>
    </row>
    <row r="75" spans="2:58">
      <c r="B75" s="3290" t="s">
        <v>426</v>
      </c>
      <c r="C75" s="3291"/>
      <c r="D75" s="1469">
        <f t="shared" ref="D75:D82" si="134">SUM(E75:P75)</f>
        <v>16748.370114000001</v>
      </c>
      <c r="E75" s="1469">
        <f>SUM(E76:E79)</f>
        <v>1755.8160740000001</v>
      </c>
      <c r="F75" s="1469">
        <f t="shared" ref="F75:P75" si="135">SUM(F76:F79)</f>
        <v>1864.5582400000001</v>
      </c>
      <c r="G75" s="1469">
        <f t="shared" si="135"/>
        <v>450.61599999999999</v>
      </c>
      <c r="H75" s="1469">
        <f t="shared" si="135"/>
        <v>2235.7863400000001</v>
      </c>
      <c r="I75" s="1469">
        <f t="shared" si="135"/>
        <v>3761.38996</v>
      </c>
      <c r="J75" s="1469">
        <f t="shared" si="135"/>
        <v>0</v>
      </c>
      <c r="K75" s="1469">
        <f t="shared" si="135"/>
        <v>0</v>
      </c>
      <c r="L75" s="1469">
        <f t="shared" si="135"/>
        <v>0</v>
      </c>
      <c r="M75" s="1469">
        <f t="shared" si="135"/>
        <v>2740.1271999999999</v>
      </c>
      <c r="N75" s="1469">
        <f t="shared" si="135"/>
        <v>863.76131999999996</v>
      </c>
      <c r="O75" s="1469">
        <f t="shared" si="135"/>
        <v>0</v>
      </c>
      <c r="P75" s="1469">
        <f t="shared" si="135"/>
        <v>3076.3149800000001</v>
      </c>
      <c r="Q75" s="1469">
        <f t="shared" ref="Q75:Q89" si="136">SUM(R75:AC75)</f>
        <v>17824.468129999997</v>
      </c>
      <c r="R75" s="1469">
        <f>SUM(R76:R79)</f>
        <v>0</v>
      </c>
      <c r="S75" s="1469">
        <f t="shared" ref="S75:AC75" si="137">SUM(S76:S79)</f>
        <v>1252.3212289999999</v>
      </c>
      <c r="T75" s="1469">
        <f t="shared" si="137"/>
        <v>1965.724966</v>
      </c>
      <c r="U75" s="1469">
        <f t="shared" si="137"/>
        <v>4117.6872720000001</v>
      </c>
      <c r="V75" s="1469">
        <f t="shared" si="137"/>
        <v>817.41848400000003</v>
      </c>
      <c r="W75" s="1469">
        <f t="shared" si="137"/>
        <v>311.055454</v>
      </c>
      <c r="X75" s="1469">
        <f t="shared" si="137"/>
        <v>0</v>
      </c>
      <c r="Y75" s="1469">
        <f t="shared" si="137"/>
        <v>2387.4692359999999</v>
      </c>
      <c r="Z75" s="1469">
        <f t="shared" si="137"/>
        <v>2683.830363</v>
      </c>
      <c r="AA75" s="1469">
        <f t="shared" si="137"/>
        <v>2735.5619999999999</v>
      </c>
      <c r="AB75" s="1469">
        <f t="shared" si="137"/>
        <v>905.981672</v>
      </c>
      <c r="AC75" s="1610">
        <f t="shared" si="137"/>
        <v>647.41745400000002</v>
      </c>
      <c r="AD75" s="1469">
        <f t="shared" ref="AD75:AD89" si="138">SUM(AE75:AP75)</f>
        <v>37119.426563000001</v>
      </c>
      <c r="AE75" s="1469">
        <f>SUM(AE76:AE79)</f>
        <v>625.70522449999999</v>
      </c>
      <c r="AF75" s="1469">
        <f t="shared" ref="AF75:AP75" si="139">SUM(AF76:AF79)</f>
        <v>4172.3454240000001</v>
      </c>
      <c r="AG75" s="1469">
        <f t="shared" si="139"/>
        <v>3382.4215525</v>
      </c>
      <c r="AH75" s="1469">
        <f t="shared" si="139"/>
        <v>1740.3580910000001</v>
      </c>
      <c r="AI75" s="1469">
        <f t="shared" si="139"/>
        <v>3397.3919015000001</v>
      </c>
      <c r="AJ75" s="1469">
        <f t="shared" si="139"/>
        <v>3622.6487110000003</v>
      </c>
      <c r="AK75" s="1469">
        <f t="shared" si="139"/>
        <v>3860.0676130000002</v>
      </c>
      <c r="AL75" s="1469">
        <f t="shared" si="139"/>
        <v>4439.9821620000002</v>
      </c>
      <c r="AM75" s="1469">
        <f t="shared" si="139"/>
        <v>3880.176363</v>
      </c>
      <c r="AN75" s="1469">
        <f t="shared" si="139"/>
        <v>3312.75101</v>
      </c>
      <c r="AO75" s="1469">
        <f t="shared" si="139"/>
        <v>3821.9692605</v>
      </c>
      <c r="AP75" s="2000">
        <f t="shared" si="139"/>
        <v>863.60925000000009</v>
      </c>
      <c r="AQ75" s="1469">
        <f t="shared" ref="AQ75:AQ89" si="140">SUM(AR75:BC75)</f>
        <v>37119.426563000001</v>
      </c>
      <c r="AR75" s="1469">
        <f>SUM(AR76:AR79)</f>
        <v>1432.668595277258</v>
      </c>
      <c r="AS75" s="1469">
        <f t="shared" ref="AS75:BC75" si="141">SUM(AS76:AS79)</f>
        <v>4792.4733230664506</v>
      </c>
      <c r="AT75" s="1469">
        <f t="shared" si="141"/>
        <v>4104.4112500523643</v>
      </c>
      <c r="AU75" s="1469">
        <f t="shared" si="141"/>
        <v>2464.5031603254497</v>
      </c>
      <c r="AV75" s="1469">
        <f t="shared" si="141"/>
        <v>4119.3707508110274</v>
      </c>
      <c r="AW75" s="1469">
        <f t="shared" si="141"/>
        <v>4363.3808256470138</v>
      </c>
      <c r="AX75" s="1469">
        <f t="shared" si="141"/>
        <v>2640.4364429700736</v>
      </c>
      <c r="AY75" s="1469">
        <f t="shared" si="141"/>
        <v>2640.4364429700736</v>
      </c>
      <c r="AZ75" s="1469">
        <f t="shared" si="141"/>
        <v>2640.4364429700736</v>
      </c>
      <c r="BA75" s="1469">
        <f t="shared" si="141"/>
        <v>2640.4364429700736</v>
      </c>
      <c r="BB75" s="1469">
        <f t="shared" si="141"/>
        <v>2640.4364429700736</v>
      </c>
      <c r="BC75" s="2000">
        <f t="shared" si="141"/>
        <v>2640.4364429700736</v>
      </c>
      <c r="BE75" s="489"/>
      <c r="BF75" s="489"/>
    </row>
    <row r="76" spans="2:58">
      <c r="B76" s="3281"/>
      <c r="C76" s="1627" t="s">
        <v>425</v>
      </c>
      <c r="D76" s="1470">
        <f t="shared" si="134"/>
        <v>16748.370114000001</v>
      </c>
      <c r="E76" s="1471">
        <v>1755.8160740000001</v>
      </c>
      <c r="F76" s="1471">
        <v>1864.5582400000001</v>
      </c>
      <c r="G76" s="1471">
        <v>450.61599999999999</v>
      </c>
      <c r="H76" s="1471">
        <v>2235.7863400000001</v>
      </c>
      <c r="I76" s="1471">
        <v>3761.38996</v>
      </c>
      <c r="J76" s="1471"/>
      <c r="K76" s="1471"/>
      <c r="L76" s="1471"/>
      <c r="M76" s="1471">
        <v>2740.1271999999999</v>
      </c>
      <c r="N76" s="1471">
        <v>863.76131999999996</v>
      </c>
      <c r="O76" s="1471">
        <v>0</v>
      </c>
      <c r="P76" s="1471">
        <v>3076.3149800000001</v>
      </c>
      <c r="Q76" s="1470">
        <f t="shared" si="136"/>
        <v>17820.536800000002</v>
      </c>
      <c r="R76" s="1471"/>
      <c r="S76" s="1471">
        <v>1252.3212289999999</v>
      </c>
      <c r="T76" s="1471">
        <v>1964.0696359999999</v>
      </c>
      <c r="U76" s="1471">
        <v>4117.6872720000001</v>
      </c>
      <c r="V76" s="1471">
        <v>817.41848400000003</v>
      </c>
      <c r="W76" s="1471">
        <v>311.055454</v>
      </c>
      <c r="X76" s="1471"/>
      <c r="Y76" s="1471">
        <v>2387.4692359999999</v>
      </c>
      <c r="Z76" s="1471">
        <v>2683.830363</v>
      </c>
      <c r="AA76" s="1471">
        <v>2734.1039999999998</v>
      </c>
      <c r="AB76" s="1471">
        <v>905.981672</v>
      </c>
      <c r="AC76" s="1612">
        <v>646.59945400000004</v>
      </c>
      <c r="AD76" s="1470">
        <f t="shared" si="138"/>
        <v>36850.308299999997</v>
      </c>
      <c r="AE76" s="1471">
        <v>603.95249699999999</v>
      </c>
      <c r="AF76" s="1471">
        <v>4139.5454220000001</v>
      </c>
      <c r="AG76" s="1471">
        <v>3380.3715529999999</v>
      </c>
      <c r="AH76" s="1471">
        <v>1731.767182</v>
      </c>
      <c r="AI76" s="1471">
        <v>3388.6691740000001</v>
      </c>
      <c r="AJ76" s="1471">
        <v>3622.5896200000002</v>
      </c>
      <c r="AK76" s="1471">
        <v>3854.926704</v>
      </c>
      <c r="AL76" s="1471">
        <v>4435.9253440000002</v>
      </c>
      <c r="AM76" s="1471">
        <v>3849.1672720000001</v>
      </c>
      <c r="AN76" s="1471">
        <v>3191.4013850000001</v>
      </c>
      <c r="AO76" s="1471">
        <v>3802.5056239999999</v>
      </c>
      <c r="AP76" s="2001">
        <v>849.48652300000003</v>
      </c>
      <c r="AQ76" s="1470">
        <f t="shared" si="140"/>
        <v>36845.346741500005</v>
      </c>
      <c r="AR76" s="1471">
        <v>1417.0884591105914</v>
      </c>
      <c r="AS76" s="1471">
        <v>4748.3204573997846</v>
      </c>
      <c r="AT76" s="1471">
        <v>4090.0083868856977</v>
      </c>
      <c r="AU76" s="1471">
        <v>2443.5593876587827</v>
      </c>
      <c r="AV76" s="1471">
        <v>4098.2951596443609</v>
      </c>
      <c r="AW76" s="1471">
        <v>4331.9097799803476</v>
      </c>
      <c r="AX76" s="1471">
        <v>2619.3608518034066</v>
      </c>
      <c r="AY76" s="1471">
        <v>2619.3608518034066</v>
      </c>
      <c r="AZ76" s="1471">
        <v>2619.3608518034066</v>
      </c>
      <c r="BA76" s="1471">
        <v>2619.3608518034066</v>
      </c>
      <c r="BB76" s="1471">
        <v>2619.3608518034066</v>
      </c>
      <c r="BC76" s="2001">
        <v>2619.3608518034066</v>
      </c>
      <c r="BE76" s="489"/>
      <c r="BF76" s="489"/>
    </row>
    <row r="77" spans="2:58">
      <c r="B77" s="3281"/>
      <c r="C77" s="1611" t="s">
        <v>455</v>
      </c>
      <c r="D77" s="1470">
        <f t="shared" si="134"/>
        <v>0</v>
      </c>
      <c r="E77" s="1471"/>
      <c r="F77" s="1471"/>
      <c r="G77" s="1471"/>
      <c r="H77" s="1471"/>
      <c r="I77" s="1471"/>
      <c r="J77" s="1471"/>
      <c r="K77" s="1471"/>
      <c r="L77" s="1471"/>
      <c r="M77" s="1471"/>
      <c r="N77" s="1471"/>
      <c r="O77" s="1471"/>
      <c r="P77" s="1471"/>
      <c r="Q77" s="1470">
        <f t="shared" si="136"/>
        <v>0</v>
      </c>
      <c r="R77" s="1471"/>
      <c r="S77" s="1471">
        <v>0</v>
      </c>
      <c r="T77" s="1471"/>
      <c r="U77" s="1471"/>
      <c r="V77" s="1471"/>
      <c r="W77" s="1471"/>
      <c r="X77" s="1471"/>
      <c r="Y77" s="1471"/>
      <c r="Z77" s="1471"/>
      <c r="AA77" s="1471"/>
      <c r="AB77" s="1471"/>
      <c r="AC77" s="1612"/>
      <c r="AD77" s="1470">
        <f t="shared" si="138"/>
        <v>0</v>
      </c>
      <c r="AE77" s="1471"/>
      <c r="AF77" s="1471"/>
      <c r="AG77" s="1471"/>
      <c r="AH77" s="1471"/>
      <c r="AI77" s="1471"/>
      <c r="AJ77" s="1471"/>
      <c r="AK77" s="1471"/>
      <c r="AL77" s="1471"/>
      <c r="AM77" s="1471"/>
      <c r="AN77" s="1471"/>
      <c r="AO77" s="1471"/>
      <c r="AP77" s="2001"/>
      <c r="AQ77" s="1470">
        <f t="shared" si="140"/>
        <v>0</v>
      </c>
      <c r="AR77" s="1471"/>
      <c r="AS77" s="1471"/>
      <c r="AT77" s="1471"/>
      <c r="AU77" s="1471"/>
      <c r="AV77" s="1471"/>
      <c r="AW77" s="1471"/>
      <c r="AX77" s="1471"/>
      <c r="AY77" s="1471"/>
      <c r="AZ77" s="1471"/>
      <c r="BA77" s="1471"/>
      <c r="BB77" s="1471"/>
      <c r="BC77" s="2001"/>
    </row>
    <row r="78" spans="2:58">
      <c r="B78" s="3281"/>
      <c r="C78" s="1611" t="s">
        <v>539</v>
      </c>
      <c r="D78" s="1470">
        <f t="shared" si="134"/>
        <v>0</v>
      </c>
      <c r="E78" s="1471"/>
      <c r="F78" s="1471"/>
      <c r="G78" s="1471"/>
      <c r="H78" s="1471"/>
      <c r="I78" s="1471"/>
      <c r="J78" s="1471"/>
      <c r="K78" s="1471"/>
      <c r="L78" s="1471"/>
      <c r="M78" s="1471"/>
      <c r="N78" s="1471"/>
      <c r="O78" s="1471"/>
      <c r="P78" s="1471"/>
      <c r="Q78" s="1470">
        <f t="shared" si="136"/>
        <v>1.65533</v>
      </c>
      <c r="R78" s="1471"/>
      <c r="S78" s="1471"/>
      <c r="T78" s="1471">
        <v>1.65533</v>
      </c>
      <c r="U78" s="1471"/>
      <c r="V78" s="1471"/>
      <c r="W78" s="1471"/>
      <c r="X78" s="1471"/>
      <c r="Y78" s="1471"/>
      <c r="Z78" s="1471"/>
      <c r="AA78" s="1471"/>
      <c r="AB78" s="1471"/>
      <c r="AC78" s="1612"/>
      <c r="AD78" s="1470">
        <f t="shared" si="138"/>
        <v>220.88389899999999</v>
      </c>
      <c r="AE78" s="1471">
        <v>3.2272725000000002</v>
      </c>
      <c r="AF78" s="1471">
        <v>32.800001999999999</v>
      </c>
      <c r="AG78" s="1471">
        <v>2.0499995000000002</v>
      </c>
      <c r="AH78" s="1471">
        <v>8.5909089999999999</v>
      </c>
      <c r="AI78" s="1471">
        <v>8.7227274999999995</v>
      </c>
      <c r="AJ78" s="1471">
        <v>19.118182000000001</v>
      </c>
      <c r="AK78" s="1471">
        <v>5.1409089999999997</v>
      </c>
      <c r="AL78" s="1471">
        <v>4.0568179999999998</v>
      </c>
      <c r="AM78" s="1471">
        <v>31.009091000000002</v>
      </c>
      <c r="AN78" s="1471">
        <v>72.581625000000003</v>
      </c>
      <c r="AO78" s="1471">
        <v>19.4636365</v>
      </c>
      <c r="AP78" s="2001">
        <v>14.122726999999999</v>
      </c>
      <c r="AQ78" s="1470">
        <f t="shared" si="140"/>
        <v>225.84545750000001</v>
      </c>
      <c r="AR78" s="1471">
        <v>11.560605833333334</v>
      </c>
      <c r="AS78" s="1471">
        <v>40.133335333333335</v>
      </c>
      <c r="AT78" s="1471">
        <v>10.383332833333334</v>
      </c>
      <c r="AU78" s="1471">
        <v>16.924242333333332</v>
      </c>
      <c r="AV78" s="1471">
        <v>17.056060833333333</v>
      </c>
      <c r="AW78" s="1471">
        <v>27.451515333333333</v>
      </c>
      <c r="AX78" s="1471">
        <v>17.056060833333333</v>
      </c>
      <c r="AY78" s="1471">
        <v>17.056060833333333</v>
      </c>
      <c r="AZ78" s="1471">
        <v>17.056060833333333</v>
      </c>
      <c r="BA78" s="1471">
        <v>17.056060833333333</v>
      </c>
      <c r="BB78" s="1471">
        <v>17.056060833333333</v>
      </c>
      <c r="BC78" s="2001">
        <v>17.056060833333333</v>
      </c>
      <c r="BE78" s="2874"/>
    </row>
    <row r="79" spans="2:58">
      <c r="B79" s="1735"/>
      <c r="C79" s="1613" t="s">
        <v>531</v>
      </c>
      <c r="D79" s="1470">
        <f t="shared" si="134"/>
        <v>0</v>
      </c>
      <c r="E79" s="1471"/>
      <c r="F79" s="1471"/>
      <c r="G79" s="1471"/>
      <c r="H79" s="1471"/>
      <c r="I79" s="1471"/>
      <c r="J79" s="1471"/>
      <c r="K79" s="1471"/>
      <c r="L79" s="1471"/>
      <c r="M79" s="1471"/>
      <c r="N79" s="1471"/>
      <c r="O79" s="1471"/>
      <c r="P79" s="1471"/>
      <c r="Q79" s="1470">
        <f t="shared" si="136"/>
        <v>2.2759999999999998</v>
      </c>
      <c r="R79" s="1471"/>
      <c r="S79" s="1471"/>
      <c r="T79" s="1471"/>
      <c r="U79" s="1471"/>
      <c r="V79" s="1471"/>
      <c r="W79" s="1471"/>
      <c r="X79" s="1471"/>
      <c r="Y79" s="1471"/>
      <c r="Z79" s="1471"/>
      <c r="AA79" s="1471">
        <v>1.458</v>
      </c>
      <c r="AB79" s="1471"/>
      <c r="AC79" s="1612">
        <v>0.81799999999999995</v>
      </c>
      <c r="AD79" s="1470">
        <f t="shared" si="138"/>
        <v>48.234363999999999</v>
      </c>
      <c r="AE79" s="1471">
        <v>18.525455000000001</v>
      </c>
      <c r="AF79" s="1471"/>
      <c r="AG79" s="1471"/>
      <c r="AH79" s="1471"/>
      <c r="AI79" s="1471"/>
      <c r="AJ79" s="1769">
        <v>-19.059090999999999</v>
      </c>
      <c r="AK79" s="1471"/>
      <c r="AL79" s="1471"/>
      <c r="AM79" s="1471"/>
      <c r="AN79" s="1471">
        <v>48.768000000000001</v>
      </c>
      <c r="AO79" s="1471"/>
      <c r="AP79" s="2001"/>
      <c r="AQ79" s="1470">
        <f t="shared" si="140"/>
        <v>48.234364000000006</v>
      </c>
      <c r="AR79" s="1471">
        <v>4.019530333333333</v>
      </c>
      <c r="AS79" s="1471">
        <v>4.019530333333333</v>
      </c>
      <c r="AT79" s="1471">
        <v>4.019530333333333</v>
      </c>
      <c r="AU79" s="1471">
        <v>4.019530333333333</v>
      </c>
      <c r="AV79" s="1471">
        <v>4.019530333333333</v>
      </c>
      <c r="AW79" s="1769">
        <v>4.019530333333333</v>
      </c>
      <c r="AX79" s="1471">
        <v>4.019530333333333</v>
      </c>
      <c r="AY79" s="1471">
        <v>4.019530333333333</v>
      </c>
      <c r="AZ79" s="1471">
        <v>4.019530333333333</v>
      </c>
      <c r="BA79" s="1471">
        <v>4.019530333333333</v>
      </c>
      <c r="BB79" s="1471">
        <v>4.019530333333333</v>
      </c>
      <c r="BC79" s="2001">
        <v>4.019530333333333</v>
      </c>
    </row>
    <row r="80" spans="2:58">
      <c r="B80" s="3290" t="s">
        <v>417</v>
      </c>
      <c r="C80" s="3291"/>
      <c r="D80" s="1469">
        <f t="shared" si="134"/>
        <v>15958.669644000001</v>
      </c>
      <c r="E80" s="1469">
        <f t="shared" ref="E80:P80" si="142">SUM(E81:E89)</f>
        <v>1685.197604</v>
      </c>
      <c r="F80" s="1469">
        <f t="shared" si="142"/>
        <v>1804.4112</v>
      </c>
      <c r="G80" s="1469">
        <f t="shared" si="142"/>
        <v>436.08</v>
      </c>
      <c r="H80" s="1469">
        <f t="shared" si="142"/>
        <v>2163.6642000000002</v>
      </c>
      <c r="I80" s="1469">
        <f t="shared" si="142"/>
        <v>3641.2754810000001</v>
      </c>
      <c r="J80" s="1469">
        <f t="shared" si="142"/>
        <v>0</v>
      </c>
      <c r="K80" s="1469">
        <f t="shared" si="142"/>
        <v>0</v>
      </c>
      <c r="L80" s="1469">
        <f t="shared" si="142"/>
        <v>0</v>
      </c>
      <c r="M80" s="1469">
        <f t="shared" si="142"/>
        <v>2631.7617150000001</v>
      </c>
      <c r="N80" s="1469">
        <f t="shared" si="142"/>
        <v>805.68035399999997</v>
      </c>
      <c r="O80" s="1469">
        <f t="shared" si="142"/>
        <v>13.844609999999999</v>
      </c>
      <c r="P80" s="1469">
        <f t="shared" si="142"/>
        <v>2776.7544800000001</v>
      </c>
      <c r="Q80" s="1469">
        <f t="shared" si="136"/>
        <v>14624.606440999998</v>
      </c>
      <c r="R80" s="1469">
        <f t="shared" ref="R80:AC80" si="143">SUM(R81:R89)</f>
        <v>0</v>
      </c>
      <c r="S80" s="1469">
        <f t="shared" si="143"/>
        <v>1230.9180710000001</v>
      </c>
      <c r="T80" s="1469">
        <f t="shared" si="143"/>
        <v>1729.829416</v>
      </c>
      <c r="U80" s="1469">
        <f t="shared" si="143"/>
        <v>3199.7820729999999</v>
      </c>
      <c r="V80" s="1469">
        <f t="shared" si="143"/>
        <v>559.063716</v>
      </c>
      <c r="W80" s="1469">
        <f t="shared" si="143"/>
        <v>280.65477800000002</v>
      </c>
      <c r="X80" s="1469">
        <f t="shared" si="143"/>
        <v>63.300286</v>
      </c>
      <c r="Y80" s="1469">
        <f t="shared" si="143"/>
        <v>1954.5221770000001</v>
      </c>
      <c r="Z80" s="1469">
        <f t="shared" si="143"/>
        <v>1917.6283820000001</v>
      </c>
      <c r="AA80" s="1469">
        <f t="shared" si="143"/>
        <v>2201.3238489999994</v>
      </c>
      <c r="AB80" s="1469">
        <f t="shared" si="143"/>
        <v>733.15175099999999</v>
      </c>
      <c r="AC80" s="1610">
        <f t="shared" si="143"/>
        <v>754.43194200000005</v>
      </c>
      <c r="AD80" s="1469">
        <f t="shared" si="138"/>
        <v>31257.627446999999</v>
      </c>
      <c r="AE80" s="1469">
        <f t="shared" ref="AE80:AP80" si="144">SUM(AE81:AE89)</f>
        <v>620.03308399999992</v>
      </c>
      <c r="AF80" s="1469">
        <f t="shared" si="144"/>
        <v>2841.9677689999994</v>
      </c>
      <c r="AG80" s="1469">
        <f t="shared" si="144"/>
        <v>3189.1468845000004</v>
      </c>
      <c r="AH80" s="1469">
        <f t="shared" si="144"/>
        <v>1545.1039365000001</v>
      </c>
      <c r="AI80" s="1469">
        <f t="shared" si="144"/>
        <v>2961.3018024999997</v>
      </c>
      <c r="AJ80" s="1469">
        <f t="shared" si="144"/>
        <v>2821.5754204999989</v>
      </c>
      <c r="AK80" s="1469">
        <f t="shared" si="144"/>
        <v>3346.7012884999999</v>
      </c>
      <c r="AL80" s="1469">
        <f t="shared" si="144"/>
        <v>3712.8212220000005</v>
      </c>
      <c r="AM80" s="1469">
        <f t="shared" si="144"/>
        <v>3260.6904854999993</v>
      </c>
      <c r="AN80" s="1469">
        <f t="shared" si="144"/>
        <v>2806.6120700000006</v>
      </c>
      <c r="AO80" s="1469">
        <f t="shared" si="144"/>
        <v>2831.4156284999995</v>
      </c>
      <c r="AP80" s="2000">
        <f t="shared" si="144"/>
        <v>1320.2578555</v>
      </c>
      <c r="AQ80" s="1469">
        <f t="shared" si="140"/>
        <v>31257.627447000006</v>
      </c>
      <c r="AR80" s="1469">
        <f t="shared" ref="AR80:BC80" si="145">SUM(AR81:AR89)</f>
        <v>1268.1502860862724</v>
      </c>
      <c r="AS80" s="1469">
        <f t="shared" si="145"/>
        <v>3472.7246076725537</v>
      </c>
      <c r="AT80" s="1469">
        <f t="shared" si="145"/>
        <v>3810.3045773079848</v>
      </c>
      <c r="AU80" s="1469">
        <f t="shared" si="145"/>
        <v>2187.5781009892926</v>
      </c>
      <c r="AV80" s="1469">
        <f t="shared" si="145"/>
        <v>3584.865062829635</v>
      </c>
      <c r="AW80" s="1469">
        <f t="shared" si="145"/>
        <v>3447.0756295354545</v>
      </c>
      <c r="AX80" s="1469">
        <f t="shared" si="145"/>
        <v>2252.3325375929621</v>
      </c>
      <c r="AY80" s="1469">
        <f t="shared" si="145"/>
        <v>2243.0957461887515</v>
      </c>
      <c r="AZ80" s="1469">
        <f t="shared" si="145"/>
        <v>2243.0957461887515</v>
      </c>
      <c r="BA80" s="1469">
        <f t="shared" si="145"/>
        <v>2251.3457461887515</v>
      </c>
      <c r="BB80" s="1469">
        <f t="shared" si="145"/>
        <v>2252.963660230841</v>
      </c>
      <c r="BC80" s="2000">
        <f t="shared" si="145"/>
        <v>2244.0957461887538</v>
      </c>
    </row>
    <row r="81" spans="2:59">
      <c r="B81" s="3281"/>
      <c r="C81" s="1613" t="s">
        <v>510</v>
      </c>
      <c r="D81" s="1470">
        <f t="shared" si="134"/>
        <v>15944.825034000001</v>
      </c>
      <c r="E81" s="1471">
        <v>1685.197604</v>
      </c>
      <c r="F81" s="1471">
        <v>1804.4112</v>
      </c>
      <c r="G81" s="1471">
        <v>436.08</v>
      </c>
      <c r="H81" s="1471">
        <v>2163.6642000000002</v>
      </c>
      <c r="I81" s="1471">
        <v>3641.2754810000001</v>
      </c>
      <c r="J81" s="1471"/>
      <c r="K81" s="1471"/>
      <c r="L81" s="1471"/>
      <c r="M81" s="1471">
        <v>2631.7617150000001</v>
      </c>
      <c r="N81" s="1471">
        <v>805.68035399999997</v>
      </c>
      <c r="O81" s="1471"/>
      <c r="P81" s="1471">
        <v>2776.7544800000001</v>
      </c>
      <c r="Q81" s="1470">
        <f t="shared" si="136"/>
        <v>14214.150187999998</v>
      </c>
      <c r="R81" s="1471"/>
      <c r="S81" s="1471">
        <v>1230.9180710000001</v>
      </c>
      <c r="T81" s="1471">
        <v>1725.672593</v>
      </c>
      <c r="U81" s="1471">
        <v>3184.385636</v>
      </c>
      <c r="V81" s="1471">
        <v>537.24320799999998</v>
      </c>
      <c r="W81" s="1471">
        <v>248.78252499999999</v>
      </c>
      <c r="X81" s="1471"/>
      <c r="Y81" s="1471">
        <v>1905.7166580000001</v>
      </c>
      <c r="Z81" s="1471">
        <v>1853.8194470000001</v>
      </c>
      <c r="AA81" s="1471">
        <v>2140.1070199999999</v>
      </c>
      <c r="AB81" s="1471">
        <v>670.94870600000002</v>
      </c>
      <c r="AC81" s="1612">
        <v>716.55632400000002</v>
      </c>
      <c r="AD81" s="1470">
        <f t="shared" si="138"/>
        <v>29895.506448</v>
      </c>
      <c r="AE81" s="1471">
        <v>550.27942499999995</v>
      </c>
      <c r="AF81" s="1471">
        <v>2697.3936119999998</v>
      </c>
      <c r="AG81" s="1471">
        <v>3045.5870110000001</v>
      </c>
      <c r="AH81" s="1471">
        <v>1431.7537150000001</v>
      </c>
      <c r="AI81" s="1471">
        <v>2863.4656439999999</v>
      </c>
      <c r="AJ81" s="1471">
        <v>2716.6419970000002</v>
      </c>
      <c r="AK81" s="1471">
        <v>3232.9833840000001</v>
      </c>
      <c r="AL81" s="1471">
        <v>3545.8783090000002</v>
      </c>
      <c r="AM81" s="1471">
        <v>3134.2299600000001</v>
      </c>
      <c r="AN81" s="1471">
        <v>2659.2027250000001</v>
      </c>
      <c r="AO81" s="1471">
        <v>2726.9857059999999</v>
      </c>
      <c r="AP81" s="2001">
        <v>1291.1049599999999</v>
      </c>
      <c r="AQ81" s="1470">
        <f t="shared" si="140"/>
        <v>29985.036111499998</v>
      </c>
      <c r="AR81" s="1471">
        <v>1198.3966270862725</v>
      </c>
      <c r="AS81" s="1471">
        <v>3328.1504506725537</v>
      </c>
      <c r="AT81" s="1471">
        <v>3666.7447038079845</v>
      </c>
      <c r="AU81" s="1471">
        <v>2074.2278794892927</v>
      </c>
      <c r="AV81" s="1471">
        <v>3487.0289043296352</v>
      </c>
      <c r="AW81" s="1471">
        <v>3342.1445915354543</v>
      </c>
      <c r="AX81" s="1471">
        <v>2147.401499592962</v>
      </c>
      <c r="AY81" s="1471">
        <v>2146.4147081887513</v>
      </c>
      <c r="AZ81" s="1471">
        <v>2146.4147081887513</v>
      </c>
      <c r="BA81" s="1471">
        <v>2146.4147081887513</v>
      </c>
      <c r="BB81" s="1471">
        <v>2156.2826222308408</v>
      </c>
      <c r="BC81" s="2001">
        <v>2145.4147081887536</v>
      </c>
      <c r="BG81" s="489"/>
    </row>
    <row r="82" spans="2:59">
      <c r="B82" s="3281"/>
      <c r="C82" s="1613" t="s">
        <v>422</v>
      </c>
      <c r="D82" s="1470">
        <f t="shared" si="134"/>
        <v>0</v>
      </c>
      <c r="E82" s="1471"/>
      <c r="F82" s="1471"/>
      <c r="G82" s="1471"/>
      <c r="H82" s="1471"/>
      <c r="I82" s="1471"/>
      <c r="J82" s="1471"/>
      <c r="K82" s="1471"/>
      <c r="L82" s="1471"/>
      <c r="M82" s="1471"/>
      <c r="N82" s="1471"/>
      <c r="O82" s="1471"/>
      <c r="P82" s="1471"/>
      <c r="Q82" s="1470">
        <f t="shared" si="136"/>
        <v>0</v>
      </c>
      <c r="R82" s="1471"/>
      <c r="S82" s="1471"/>
      <c r="T82" s="1471"/>
      <c r="U82" s="1471"/>
      <c r="V82" s="1471"/>
      <c r="W82" s="1471"/>
      <c r="X82" s="1471"/>
      <c r="Y82" s="1471"/>
      <c r="Z82" s="1471"/>
      <c r="AA82" s="1471"/>
      <c r="AB82" s="1471"/>
      <c r="AC82" s="1612"/>
      <c r="AD82" s="1470">
        <f t="shared" si="138"/>
        <v>261.40634749999998</v>
      </c>
      <c r="AE82" s="1471">
        <v>26.429202499999999</v>
      </c>
      <c r="AF82" s="1471">
        <v>19.1056335</v>
      </c>
      <c r="AG82" s="1471">
        <v>43.200508499999998</v>
      </c>
      <c r="AH82" s="1471">
        <v>19.494169500000002</v>
      </c>
      <c r="AI82" s="1471">
        <v>18.548449999999999</v>
      </c>
      <c r="AJ82" s="1471">
        <v>20.3762665</v>
      </c>
      <c r="AK82" s="1472">
        <v>27.837773500000001</v>
      </c>
      <c r="AL82" s="1472">
        <v>16.470000500000001</v>
      </c>
      <c r="AM82" s="1472">
        <v>21.473051000000002</v>
      </c>
      <c r="AN82" s="1472">
        <v>18.386056</v>
      </c>
      <c r="AO82" s="1472">
        <v>14.031169500000001</v>
      </c>
      <c r="AP82" s="1472">
        <v>16.054066500000001</v>
      </c>
      <c r="AQ82" s="1470">
        <f t="shared" si="140"/>
        <v>269.4118294999999</v>
      </c>
      <c r="AR82" s="1471">
        <v>26.429202499999999</v>
      </c>
      <c r="AS82" s="1471">
        <v>19.1056335</v>
      </c>
      <c r="AT82" s="1471">
        <v>43.200508499999998</v>
      </c>
      <c r="AU82" s="1471">
        <v>19.494169500000002</v>
      </c>
      <c r="AV82" s="1471">
        <v>18.548449999999999</v>
      </c>
      <c r="AW82" s="1471">
        <v>20.3762665</v>
      </c>
      <c r="AX82" s="1471">
        <v>20.3762665</v>
      </c>
      <c r="AY82" s="1471">
        <v>20.3762665</v>
      </c>
      <c r="AZ82" s="1471">
        <v>20.3762665</v>
      </c>
      <c r="BA82" s="1471">
        <v>20.3762665</v>
      </c>
      <c r="BB82" s="1471">
        <v>20.3762665</v>
      </c>
      <c r="BC82" s="2001">
        <v>20.3762665</v>
      </c>
      <c r="BG82" s="489"/>
    </row>
    <row r="83" spans="2:59">
      <c r="B83" s="3281"/>
      <c r="C83" s="1689" t="s">
        <v>82</v>
      </c>
      <c r="D83" s="1470">
        <f t="shared" ref="D83:D89" si="146">SUM(E83:P83)</f>
        <v>0</v>
      </c>
      <c r="E83" s="1471"/>
      <c r="F83" s="1471"/>
      <c r="G83" s="1471"/>
      <c r="H83" s="1471"/>
      <c r="I83" s="1471"/>
      <c r="J83" s="1471"/>
      <c r="K83" s="1471"/>
      <c r="L83" s="1471"/>
      <c r="M83" s="1471"/>
      <c r="N83" s="1471"/>
      <c r="O83" s="1471"/>
      <c r="P83" s="1471"/>
      <c r="Q83" s="1470">
        <f t="shared" si="136"/>
        <v>228.688907</v>
      </c>
      <c r="R83" s="1471"/>
      <c r="S83" s="1471"/>
      <c r="T83" s="1471">
        <v>6.9194000000000006E-2</v>
      </c>
      <c r="U83" s="1471"/>
      <c r="V83" s="1471">
        <v>19.669668999999999</v>
      </c>
      <c r="W83" s="1471">
        <v>23.372032000000001</v>
      </c>
      <c r="X83" s="1471">
        <v>38.167131999999995</v>
      </c>
      <c r="Y83" s="1471"/>
      <c r="Z83" s="1471">
        <v>56.639938000000001</v>
      </c>
      <c r="AA83" s="1471"/>
      <c r="AB83" s="1471">
        <v>57.100273999999999</v>
      </c>
      <c r="AC83" s="1612">
        <v>33.670667999999999</v>
      </c>
      <c r="AD83" s="1470">
        <f t="shared" si="138"/>
        <v>826.89311600000008</v>
      </c>
      <c r="AE83" s="1471">
        <v>36.557628999999999</v>
      </c>
      <c r="AF83" s="1471">
        <v>31.384861000000001</v>
      </c>
      <c r="AG83" s="1471">
        <v>90.022728499999999</v>
      </c>
      <c r="AH83" s="1471">
        <v>88.329844000000008</v>
      </c>
      <c r="AI83" s="1471">
        <v>71.298711999999995</v>
      </c>
      <c r="AJ83" s="1471">
        <v>75.878919499999995</v>
      </c>
      <c r="AK83" s="1471">
        <v>75.854666999999992</v>
      </c>
      <c r="AL83" s="1471">
        <v>102.714735</v>
      </c>
      <c r="AM83" s="1471">
        <f>87.776134+1.898927</f>
        <v>89.675060999999999</v>
      </c>
      <c r="AN83" s="1471">
        <v>91.888639000000012</v>
      </c>
      <c r="AO83" s="1471">
        <v>71.234501999999992</v>
      </c>
      <c r="AP83" s="1471">
        <v>2.0528179999999998</v>
      </c>
      <c r="AQ83" s="1470">
        <f t="shared" si="140"/>
        <v>815.74621099999968</v>
      </c>
      <c r="AR83" s="1471">
        <v>36.557628999999999</v>
      </c>
      <c r="AS83" s="1471">
        <v>31.384861000000001</v>
      </c>
      <c r="AT83" s="1471">
        <v>90.022728499999999</v>
      </c>
      <c r="AU83" s="1471">
        <v>88.329844000000008</v>
      </c>
      <c r="AV83" s="1471">
        <v>71.298711999999995</v>
      </c>
      <c r="AW83" s="1471">
        <v>75.878919499999995</v>
      </c>
      <c r="AX83" s="1471">
        <v>75.878919499999995</v>
      </c>
      <c r="AY83" s="1471">
        <v>67.628919499999995</v>
      </c>
      <c r="AZ83" s="1471">
        <v>67.628919499999995</v>
      </c>
      <c r="BA83" s="1471">
        <v>75.878919499999995</v>
      </c>
      <c r="BB83" s="1471">
        <v>67.628919499999995</v>
      </c>
      <c r="BC83" s="2001">
        <v>67.628919499999995</v>
      </c>
    </row>
    <row r="84" spans="2:59">
      <c r="B84" s="3281"/>
      <c r="C84" s="1689" t="s">
        <v>509</v>
      </c>
      <c r="D84" s="1470">
        <f t="shared" si="146"/>
        <v>0</v>
      </c>
      <c r="E84" s="1471"/>
      <c r="F84" s="1471"/>
      <c r="G84" s="1471"/>
      <c r="H84" s="1471"/>
      <c r="I84" s="1471"/>
      <c r="J84" s="1471"/>
      <c r="K84" s="1471"/>
      <c r="L84" s="1471"/>
      <c r="M84" s="1471"/>
      <c r="N84" s="1471"/>
      <c r="O84" s="1471"/>
      <c r="P84" s="1471"/>
      <c r="Q84" s="1470">
        <f t="shared" si="136"/>
        <v>0</v>
      </c>
      <c r="R84" s="1471"/>
      <c r="S84" s="1471"/>
      <c r="T84" s="1471"/>
      <c r="U84" s="1471"/>
      <c r="V84" s="1471"/>
      <c r="W84" s="1471"/>
      <c r="X84" s="1471"/>
      <c r="Y84" s="1471"/>
      <c r="Z84" s="1471"/>
      <c r="AA84" s="1471"/>
      <c r="AB84" s="1471"/>
      <c r="AC84" s="1612"/>
      <c r="AD84" s="1470">
        <f t="shared" si="138"/>
        <v>0</v>
      </c>
      <c r="AE84" s="1471"/>
      <c r="AF84" s="1471"/>
      <c r="AG84" s="1471"/>
      <c r="AH84" s="1471"/>
      <c r="AI84" s="1471"/>
      <c r="AJ84" s="1471"/>
      <c r="AK84" s="1471"/>
      <c r="AL84" s="1471"/>
      <c r="AM84" s="1471"/>
      <c r="AN84" s="1471"/>
      <c r="AO84" s="1471"/>
      <c r="AP84" s="2001"/>
      <c r="AQ84" s="1470">
        <f t="shared" si="140"/>
        <v>0</v>
      </c>
      <c r="AR84" s="1471"/>
      <c r="AS84" s="1471"/>
      <c r="AT84" s="1471"/>
      <c r="AU84" s="1471"/>
      <c r="AV84" s="1471"/>
      <c r="AW84" s="1471"/>
      <c r="AX84" s="1471"/>
      <c r="AY84" s="1471"/>
      <c r="AZ84" s="1471"/>
      <c r="BA84" s="1471"/>
      <c r="BB84" s="1471"/>
      <c r="BC84" s="2001"/>
    </row>
    <row r="85" spans="2:59">
      <c r="B85" s="3281"/>
      <c r="C85" s="1689" t="s">
        <v>537</v>
      </c>
      <c r="D85" s="1470">
        <f t="shared" si="146"/>
        <v>0</v>
      </c>
      <c r="E85" s="1471"/>
      <c r="F85" s="1471"/>
      <c r="G85" s="1471"/>
      <c r="H85" s="1471"/>
      <c r="I85" s="1471"/>
      <c r="J85" s="1471"/>
      <c r="K85" s="1471"/>
      <c r="L85" s="1471"/>
      <c r="M85" s="1471"/>
      <c r="N85" s="1471"/>
      <c r="O85" s="1471"/>
      <c r="P85" s="1471"/>
      <c r="Q85" s="1470">
        <f t="shared" si="136"/>
        <v>23.881584</v>
      </c>
      <c r="R85" s="1471"/>
      <c r="S85" s="1471"/>
      <c r="T85" s="1471">
        <v>2.7076920000000002</v>
      </c>
      <c r="U85" s="1471">
        <v>3.406015</v>
      </c>
      <c r="V85" s="1471">
        <v>0.68715400000000004</v>
      </c>
      <c r="W85" s="1471">
        <v>2.259242</v>
      </c>
      <c r="X85" s="1471">
        <v>2.3218830000000001</v>
      </c>
      <c r="Y85" s="1471">
        <v>2.416725</v>
      </c>
      <c r="Z85" s="1471">
        <v>2.4444360000000001</v>
      </c>
      <c r="AA85" s="1471">
        <v>2.5696780000000001</v>
      </c>
      <c r="AB85" s="1471">
        <v>2.5274350000000001</v>
      </c>
      <c r="AC85" s="1612">
        <v>2.5413239999999999</v>
      </c>
      <c r="AD85" s="1470">
        <f t="shared" si="138"/>
        <v>32.369094000000004</v>
      </c>
      <c r="AE85" s="1471">
        <v>2.7210269999999999</v>
      </c>
      <c r="AF85" s="1471">
        <v>2.768729</v>
      </c>
      <c r="AG85" s="1471">
        <v>2.8711880000000001</v>
      </c>
      <c r="AH85" s="1471">
        <v>2.4842749999999998</v>
      </c>
      <c r="AI85" s="1471">
        <v>2.516616</v>
      </c>
      <c r="AJ85" s="1471">
        <v>2.4841199999999999</v>
      </c>
      <c r="AK85" s="1471">
        <v>2.5922960000000002</v>
      </c>
      <c r="AL85" s="1471">
        <v>2.6848320000000001</v>
      </c>
      <c r="AM85" s="1471">
        <f>2.627477+0.7</f>
        <v>3.327477</v>
      </c>
      <c r="AN85" s="1471">
        <v>2.8608410000000002</v>
      </c>
      <c r="AO85" s="1471">
        <v>2.5207869999999999</v>
      </c>
      <c r="AP85" s="2001">
        <v>2.5369060000000001</v>
      </c>
      <c r="AQ85" s="1470">
        <f t="shared" si="140"/>
        <v>30.750675000000005</v>
      </c>
      <c r="AR85" s="1471">
        <v>2.7210269999999999</v>
      </c>
      <c r="AS85" s="1471">
        <v>2.768729</v>
      </c>
      <c r="AT85" s="1471">
        <v>2.8711880000000001</v>
      </c>
      <c r="AU85" s="1471">
        <v>2.4842749999999998</v>
      </c>
      <c r="AV85" s="1471">
        <v>2.516616</v>
      </c>
      <c r="AW85" s="1471">
        <v>2.4841199999999999</v>
      </c>
      <c r="AX85" s="1471">
        <v>2.4841199999999999</v>
      </c>
      <c r="AY85" s="1471">
        <v>2.4841199999999999</v>
      </c>
      <c r="AZ85" s="1471">
        <v>2.4841199999999999</v>
      </c>
      <c r="BA85" s="1471">
        <v>2.4841199999999999</v>
      </c>
      <c r="BB85" s="1471">
        <v>2.4841199999999999</v>
      </c>
      <c r="BC85" s="2001">
        <v>2.4841199999999999</v>
      </c>
    </row>
    <row r="86" spans="2:59">
      <c r="B86" s="3281"/>
      <c r="C86" s="1689" t="s">
        <v>84</v>
      </c>
      <c r="D86" s="1470">
        <f t="shared" si="146"/>
        <v>0</v>
      </c>
      <c r="E86" s="1471"/>
      <c r="F86" s="1471"/>
      <c r="G86" s="1471"/>
      <c r="H86" s="1471"/>
      <c r="I86" s="1471"/>
      <c r="J86" s="1471"/>
      <c r="K86" s="1471"/>
      <c r="L86" s="1471"/>
      <c r="M86" s="1471"/>
      <c r="N86" s="1471"/>
      <c r="O86" s="1471"/>
      <c r="P86" s="1471"/>
      <c r="Q86" s="1470">
        <f t="shared" si="136"/>
        <v>24.138771000000002</v>
      </c>
      <c r="R86" s="1471"/>
      <c r="S86" s="1471"/>
      <c r="T86" s="1471">
        <v>0.17993700000000001</v>
      </c>
      <c r="U86" s="1471"/>
      <c r="V86" s="1471">
        <v>0.52800000000000002</v>
      </c>
      <c r="W86" s="1471"/>
      <c r="X86" s="1471">
        <v>18.712108999999998</v>
      </c>
      <c r="Y86" s="1471">
        <v>1.488375</v>
      </c>
      <c r="Z86" s="1471">
        <v>1.670161</v>
      </c>
      <c r="AA86" s="1471">
        <v>0.85741599999999996</v>
      </c>
      <c r="AB86" s="1471">
        <v>0.53977299999999995</v>
      </c>
      <c r="AC86" s="1612">
        <v>0.16300000000000001</v>
      </c>
      <c r="AD86" s="1470">
        <f t="shared" si="138"/>
        <v>62.135933999999999</v>
      </c>
      <c r="AE86" s="1471">
        <v>1.966</v>
      </c>
      <c r="AF86" s="1471">
        <v>10.499934</v>
      </c>
      <c r="AG86" s="1471">
        <v>0.255</v>
      </c>
      <c r="AH86" s="1471">
        <v>0.93500000000000005</v>
      </c>
      <c r="AI86" s="1471">
        <v>1.262</v>
      </c>
      <c r="AJ86" s="1471">
        <v>0.63500000000000001</v>
      </c>
      <c r="AK86" s="1471">
        <v>2.3769999999999998</v>
      </c>
      <c r="AL86" s="1471">
        <v>40.917999999999999</v>
      </c>
      <c r="AM86" s="1471">
        <v>2.4900000000000002</v>
      </c>
      <c r="AN86" s="1471">
        <v>0.318</v>
      </c>
      <c r="AO86" s="1471">
        <v>0.32800000000000001</v>
      </c>
      <c r="AP86" s="2001">
        <v>0.152</v>
      </c>
      <c r="AQ86" s="1470">
        <f t="shared" si="140"/>
        <v>21.36293400000001</v>
      </c>
      <c r="AR86" s="1471">
        <v>1.966</v>
      </c>
      <c r="AS86" s="1471">
        <v>10.499934</v>
      </c>
      <c r="AT86" s="1471">
        <v>0.255</v>
      </c>
      <c r="AU86" s="1471">
        <v>0.93500000000000005</v>
      </c>
      <c r="AV86" s="1471">
        <v>1.262</v>
      </c>
      <c r="AW86" s="1471">
        <v>0.63500000000000001</v>
      </c>
      <c r="AX86" s="1471">
        <v>0.63500000000000001</v>
      </c>
      <c r="AY86" s="1471">
        <v>0.63500000000000001</v>
      </c>
      <c r="AZ86" s="1471">
        <v>0.63500000000000001</v>
      </c>
      <c r="BA86" s="1471">
        <v>0.63500000000000001</v>
      </c>
      <c r="BB86" s="1471">
        <v>0.63500000000000001</v>
      </c>
      <c r="BC86" s="2001">
        <v>2.6349999999999998</v>
      </c>
    </row>
    <row r="87" spans="2:59">
      <c r="B87" s="3281"/>
      <c r="C87" s="1689" t="s">
        <v>538</v>
      </c>
      <c r="D87" s="1470">
        <f t="shared" si="146"/>
        <v>0</v>
      </c>
      <c r="E87" s="1471"/>
      <c r="F87" s="1471"/>
      <c r="G87" s="1471"/>
      <c r="H87" s="1471"/>
      <c r="I87" s="1471"/>
      <c r="J87" s="1471"/>
      <c r="K87" s="1471"/>
      <c r="L87" s="1471"/>
      <c r="M87" s="1471"/>
      <c r="N87" s="1471"/>
      <c r="O87" s="1471"/>
      <c r="P87" s="1471"/>
      <c r="Q87" s="1470">
        <f t="shared" si="136"/>
        <v>13.254399999999999</v>
      </c>
      <c r="R87" s="1471"/>
      <c r="S87" s="1471"/>
      <c r="T87" s="1471">
        <v>1.2</v>
      </c>
      <c r="U87" s="1471"/>
      <c r="V87" s="1471"/>
      <c r="W87" s="1471">
        <v>4.8</v>
      </c>
      <c r="X87" s="1471">
        <v>3.8460000000000001</v>
      </c>
      <c r="Y87" s="1471"/>
      <c r="Z87" s="1471"/>
      <c r="AA87" s="1471">
        <v>1.44</v>
      </c>
      <c r="AB87" s="1471">
        <v>0.76839999999999997</v>
      </c>
      <c r="AC87" s="1612">
        <v>1.2</v>
      </c>
      <c r="AD87" s="1470">
        <f t="shared" si="138"/>
        <v>163.63243399999857</v>
      </c>
      <c r="AE87" s="1471">
        <v>1.762222</v>
      </c>
      <c r="AF87" s="1471">
        <v>79.928609499999993</v>
      </c>
      <c r="AG87" s="1471">
        <v>6.0607024999999997</v>
      </c>
      <c r="AH87" s="1471">
        <v>1.794694</v>
      </c>
      <c r="AI87" s="1471">
        <v>2.9141154999999999</v>
      </c>
      <c r="AJ87" s="1471">
        <v>4.1536464999985689</v>
      </c>
      <c r="AK87" s="1471">
        <v>2.6435225</v>
      </c>
      <c r="AL87" s="1471">
        <v>2.8837655</v>
      </c>
      <c r="AM87" s="1471">
        <f>3.36+1.6931345</f>
        <v>5.0531344999999996</v>
      </c>
      <c r="AN87" s="1471">
        <v>33.091650000000001</v>
      </c>
      <c r="AO87" s="1471">
        <v>15.307836999999999</v>
      </c>
      <c r="AP87" s="2001">
        <v>8.0385345000000008</v>
      </c>
      <c r="AQ87" s="1470">
        <f t="shared" si="140"/>
        <v>125.7495705</v>
      </c>
      <c r="AR87" s="1471">
        <v>1.762222</v>
      </c>
      <c r="AS87" s="1471">
        <v>79.928609499999993</v>
      </c>
      <c r="AT87" s="1471">
        <v>6.0607024999999997</v>
      </c>
      <c r="AU87" s="1471">
        <v>1.794694</v>
      </c>
      <c r="AV87" s="1471">
        <v>2.9141154999999999</v>
      </c>
      <c r="AW87" s="1471">
        <v>4.1512609999999999</v>
      </c>
      <c r="AX87" s="1471">
        <v>5.2088609999999997</v>
      </c>
      <c r="AY87" s="1471">
        <v>5.2088609999999997</v>
      </c>
      <c r="AZ87" s="1471">
        <v>5.2088609999999997</v>
      </c>
      <c r="BA87" s="1471">
        <v>5.2088609999999997</v>
      </c>
      <c r="BB87" s="1471">
        <v>4.1512609999999999</v>
      </c>
      <c r="BC87" s="2001">
        <v>4.1512609999999999</v>
      </c>
    </row>
    <row r="88" spans="2:59">
      <c r="B88" s="3281"/>
      <c r="C88" s="1689" t="s">
        <v>87</v>
      </c>
      <c r="D88" s="1470">
        <f t="shared" si="146"/>
        <v>0</v>
      </c>
      <c r="E88" s="1471"/>
      <c r="F88" s="1471"/>
      <c r="G88" s="1471"/>
      <c r="H88" s="1471"/>
      <c r="I88" s="1471"/>
      <c r="J88" s="1471"/>
      <c r="K88" s="1471"/>
      <c r="L88" s="1471"/>
      <c r="M88" s="1471"/>
      <c r="N88" s="1471"/>
      <c r="O88" s="1471"/>
      <c r="P88" s="1471"/>
      <c r="Q88" s="1470">
        <f t="shared" si="136"/>
        <v>0</v>
      </c>
      <c r="R88" s="1471"/>
      <c r="S88" s="1471"/>
      <c r="T88" s="1471"/>
      <c r="U88" s="1471"/>
      <c r="V88" s="1471"/>
      <c r="W88" s="1471"/>
      <c r="X88" s="1471"/>
      <c r="Y88" s="1471"/>
      <c r="Z88" s="1471"/>
      <c r="AA88" s="1471"/>
      <c r="AB88" s="1471"/>
      <c r="AC88" s="1612"/>
      <c r="AD88" s="1470">
        <f t="shared" si="138"/>
        <v>3.1992400000000001</v>
      </c>
      <c r="AE88" s="1471"/>
      <c r="AF88" s="1471"/>
      <c r="AG88" s="1471">
        <v>0.42304000000000003</v>
      </c>
      <c r="AH88" s="1471"/>
      <c r="AI88" s="1471">
        <v>0.39660000000000001</v>
      </c>
      <c r="AJ88" s="1471">
        <v>1.0576000000000001</v>
      </c>
      <c r="AK88" s="1471"/>
      <c r="AL88" s="1471"/>
      <c r="AM88" s="1471"/>
      <c r="AN88" s="1471">
        <v>0.52880000000000005</v>
      </c>
      <c r="AO88" s="1471">
        <v>0.79320000000000002</v>
      </c>
      <c r="AP88" s="2001"/>
      <c r="AQ88" s="1470">
        <f t="shared" si="140"/>
        <v>3.9924400000000002</v>
      </c>
      <c r="AR88" s="1471"/>
      <c r="AS88" s="1471"/>
      <c r="AT88" s="1471">
        <v>0.42304000000000003</v>
      </c>
      <c r="AU88" s="1471"/>
      <c r="AV88" s="1471">
        <v>0.39660000000000001</v>
      </c>
      <c r="AW88" s="1471">
        <v>1.0576000000000001</v>
      </c>
      <c r="AX88" s="1471"/>
      <c r="AY88" s="1471"/>
      <c r="AZ88" s="1471"/>
      <c r="BA88" s="1471"/>
      <c r="BB88" s="1471">
        <v>1.0576000000000001</v>
      </c>
      <c r="BC88" s="2001">
        <v>1.0576000000000001</v>
      </c>
      <c r="BE88" s="2874"/>
    </row>
    <row r="89" spans="2:59">
      <c r="B89" s="3289"/>
      <c r="C89" s="1613" t="s">
        <v>419</v>
      </c>
      <c r="D89" s="1470">
        <f t="shared" si="146"/>
        <v>13.844609999999999</v>
      </c>
      <c r="E89" s="1471"/>
      <c r="F89" s="1471"/>
      <c r="G89" s="1471"/>
      <c r="H89" s="1471"/>
      <c r="I89" s="1471"/>
      <c r="J89" s="1471"/>
      <c r="K89" s="1471"/>
      <c r="L89" s="1471"/>
      <c r="M89" s="1471"/>
      <c r="N89" s="1471"/>
      <c r="O89" s="1471">
        <v>13.844609999999999</v>
      </c>
      <c r="P89" s="1471"/>
      <c r="Q89" s="1470">
        <f t="shared" si="136"/>
        <v>120.49259099999999</v>
      </c>
      <c r="R89" s="1471"/>
      <c r="S89" s="1471"/>
      <c r="T89" s="1471"/>
      <c r="U89" s="1471">
        <v>11.990422000000001</v>
      </c>
      <c r="V89" s="1471">
        <v>0.9356850000000001</v>
      </c>
      <c r="W89" s="1471">
        <v>1.440979</v>
      </c>
      <c r="X89" s="1471">
        <v>0.253162</v>
      </c>
      <c r="Y89" s="1471">
        <v>44.900418999999999</v>
      </c>
      <c r="Z89" s="1471">
        <f>1.9048+1.1496</f>
        <v>3.0544000000000002</v>
      </c>
      <c r="AA89" s="1471">
        <v>56.349735000000003</v>
      </c>
      <c r="AB89" s="1471">
        <f>0.025563+1.2416</f>
        <v>1.267163</v>
      </c>
      <c r="AC89" s="1612">
        <f>0.036226+0.2644</f>
        <v>0.300626</v>
      </c>
      <c r="AD89" s="1470">
        <f t="shared" si="138"/>
        <v>12.484833500000001</v>
      </c>
      <c r="AE89" s="1471">
        <v>0.31757849999999999</v>
      </c>
      <c r="AF89" s="1471">
        <v>0.88639000000000001</v>
      </c>
      <c r="AG89" s="1471">
        <v>0.72670600000000007</v>
      </c>
      <c r="AH89" s="1471">
        <v>0.31223900000000004</v>
      </c>
      <c r="AI89" s="1471">
        <v>0.89966500000000005</v>
      </c>
      <c r="AJ89" s="1471">
        <v>0.34787100000000004</v>
      </c>
      <c r="AK89" s="1471">
        <v>2.4126455</v>
      </c>
      <c r="AL89" s="1471">
        <v>1.2715800000000002</v>
      </c>
      <c r="AM89" s="1471">
        <f>3.313961+1.127841</f>
        <v>4.441802</v>
      </c>
      <c r="AN89" s="1471">
        <v>0.33535900000000002</v>
      </c>
      <c r="AO89" s="1471">
        <v>0.21442700000000001</v>
      </c>
      <c r="AP89" s="2001">
        <v>0.31857050000000003</v>
      </c>
      <c r="AQ89" s="1470">
        <f t="shared" si="140"/>
        <v>5.5776754999999998</v>
      </c>
      <c r="AR89" s="1471">
        <v>0.31757849999999999</v>
      </c>
      <c r="AS89" s="1471">
        <v>0.88639000000000001</v>
      </c>
      <c r="AT89" s="1471">
        <v>0.72670600000000007</v>
      </c>
      <c r="AU89" s="1471">
        <v>0.31223900000000004</v>
      </c>
      <c r="AV89" s="1471">
        <v>0.89966500000000005</v>
      </c>
      <c r="AW89" s="1471">
        <v>0.34787100000000004</v>
      </c>
      <c r="AX89" s="1471">
        <v>0.34787100000000004</v>
      </c>
      <c r="AY89" s="1471">
        <v>0.34787100000000004</v>
      </c>
      <c r="AZ89" s="1471">
        <v>0.34787100000000004</v>
      </c>
      <c r="BA89" s="1471">
        <v>0.34787100000000004</v>
      </c>
      <c r="BB89" s="1471">
        <v>0.34787100000000004</v>
      </c>
      <c r="BC89" s="2001">
        <v>0.34787100000000004</v>
      </c>
    </row>
    <row r="90" spans="2:59">
      <c r="B90" s="3292" t="s">
        <v>421</v>
      </c>
      <c r="C90" s="3291"/>
      <c r="D90" s="1469">
        <f t="shared" ref="D90:AP90" si="147">D75-D80</f>
        <v>789.70046999999977</v>
      </c>
      <c r="E90" s="1469">
        <f t="shared" si="147"/>
        <v>70.618470000000116</v>
      </c>
      <c r="F90" s="1469">
        <f t="shared" si="147"/>
        <v>60.147040000000061</v>
      </c>
      <c r="G90" s="1469">
        <f t="shared" si="147"/>
        <v>14.536000000000001</v>
      </c>
      <c r="H90" s="1469">
        <f t="shared" si="147"/>
        <v>72.122139999999945</v>
      </c>
      <c r="I90" s="1469">
        <f t="shared" si="147"/>
        <v>120.11447899999985</v>
      </c>
      <c r="J90" s="1469">
        <f t="shared" si="147"/>
        <v>0</v>
      </c>
      <c r="K90" s="1469">
        <f t="shared" si="147"/>
        <v>0</v>
      </c>
      <c r="L90" s="1469">
        <f t="shared" si="147"/>
        <v>0</v>
      </c>
      <c r="M90" s="1469">
        <f t="shared" si="147"/>
        <v>108.36548499999981</v>
      </c>
      <c r="N90" s="1469">
        <f t="shared" si="147"/>
        <v>58.080965999999989</v>
      </c>
      <c r="O90" s="1469">
        <f t="shared" si="147"/>
        <v>-13.844609999999999</v>
      </c>
      <c r="P90" s="1469">
        <f t="shared" si="147"/>
        <v>299.56050000000005</v>
      </c>
      <c r="Q90" s="1469">
        <f t="shared" si="147"/>
        <v>3199.8616889999994</v>
      </c>
      <c r="R90" s="1469">
        <f t="shared" si="147"/>
        <v>0</v>
      </c>
      <c r="S90" s="1469">
        <f t="shared" si="147"/>
        <v>21.403157999999848</v>
      </c>
      <c r="T90" s="1469">
        <f t="shared" si="147"/>
        <v>235.89554999999996</v>
      </c>
      <c r="U90" s="1469">
        <f t="shared" si="147"/>
        <v>917.90519900000027</v>
      </c>
      <c r="V90" s="1469">
        <f t="shared" si="147"/>
        <v>258.35476800000004</v>
      </c>
      <c r="W90" s="1469">
        <f t="shared" si="147"/>
        <v>30.400675999999976</v>
      </c>
      <c r="X90" s="1469">
        <f t="shared" si="147"/>
        <v>-63.300286</v>
      </c>
      <c r="Y90" s="1469">
        <f t="shared" si="147"/>
        <v>432.94705899999985</v>
      </c>
      <c r="Z90" s="1469">
        <f t="shared" si="147"/>
        <v>766.20198099999993</v>
      </c>
      <c r="AA90" s="1469">
        <f t="shared" si="147"/>
        <v>534.23815100000047</v>
      </c>
      <c r="AB90" s="1469">
        <f t="shared" si="147"/>
        <v>172.82992100000001</v>
      </c>
      <c r="AC90" s="1610">
        <f t="shared" si="147"/>
        <v>-107.01448800000003</v>
      </c>
      <c r="AD90" s="1469">
        <f t="shared" si="147"/>
        <v>5861.799116000002</v>
      </c>
      <c r="AE90" s="1469">
        <f t="shared" si="147"/>
        <v>5.6721405000000686</v>
      </c>
      <c r="AF90" s="1469">
        <f t="shared" si="147"/>
        <v>1330.3776550000007</v>
      </c>
      <c r="AG90" s="1469">
        <f t="shared" si="147"/>
        <v>193.27466799999956</v>
      </c>
      <c r="AH90" s="1469">
        <f t="shared" si="147"/>
        <v>195.25415449999991</v>
      </c>
      <c r="AI90" s="1469">
        <f t="shared" si="147"/>
        <v>436.09009900000046</v>
      </c>
      <c r="AJ90" s="1469">
        <f t="shared" si="147"/>
        <v>801.07329050000135</v>
      </c>
      <c r="AK90" s="1469">
        <f t="shared" si="147"/>
        <v>513.36632450000025</v>
      </c>
      <c r="AL90" s="1469">
        <f t="shared" si="147"/>
        <v>727.16093999999975</v>
      </c>
      <c r="AM90" s="1469">
        <f t="shared" si="147"/>
        <v>619.4858775000007</v>
      </c>
      <c r="AN90" s="1469">
        <f t="shared" si="147"/>
        <v>506.13893999999937</v>
      </c>
      <c r="AO90" s="1469">
        <f t="shared" si="147"/>
        <v>990.55363200000056</v>
      </c>
      <c r="AP90" s="2000">
        <f t="shared" si="147"/>
        <v>-456.64860549999992</v>
      </c>
      <c r="AQ90" s="1469">
        <f t="shared" ref="AQ90:BC90" si="148">AQ75-AQ80</f>
        <v>5861.7991159999947</v>
      </c>
      <c r="AR90" s="1469">
        <f t="shared" si="148"/>
        <v>164.51830919098552</v>
      </c>
      <c r="AS90" s="1469">
        <f t="shared" si="148"/>
        <v>1319.7487153938969</v>
      </c>
      <c r="AT90" s="1469">
        <f t="shared" si="148"/>
        <v>294.10667274437947</v>
      </c>
      <c r="AU90" s="1469">
        <f t="shared" si="148"/>
        <v>276.92505933615712</v>
      </c>
      <c r="AV90" s="1469">
        <f t="shared" si="148"/>
        <v>534.50568798139238</v>
      </c>
      <c r="AW90" s="1469">
        <f t="shared" si="148"/>
        <v>916.30519611155933</v>
      </c>
      <c r="AX90" s="1469">
        <f t="shared" si="148"/>
        <v>388.10390537711146</v>
      </c>
      <c r="AY90" s="1469">
        <f t="shared" si="148"/>
        <v>397.34069678132209</v>
      </c>
      <c r="AZ90" s="1469">
        <f t="shared" si="148"/>
        <v>397.34069678132209</v>
      </c>
      <c r="BA90" s="1469">
        <f t="shared" si="148"/>
        <v>389.09069678132209</v>
      </c>
      <c r="BB90" s="1469">
        <f t="shared" si="148"/>
        <v>387.47278273923257</v>
      </c>
      <c r="BC90" s="2000">
        <f t="shared" si="148"/>
        <v>396.34069678131982</v>
      </c>
    </row>
    <row r="91" spans="2:59" hidden="1" outlineLevel="1">
      <c r="B91" s="1614"/>
      <c r="C91" s="1615"/>
      <c r="D91" s="1616"/>
      <c r="E91" s="1616"/>
      <c r="F91" s="1616"/>
      <c r="G91" s="1616"/>
      <c r="H91" s="1616"/>
      <c r="I91" s="1616"/>
      <c r="J91" s="1616"/>
      <c r="K91" s="1616"/>
      <c r="L91" s="1616"/>
      <c r="M91" s="1616"/>
      <c r="N91" s="1616"/>
      <c r="O91" s="1616"/>
      <c r="P91" s="1616"/>
      <c r="Q91" s="1616"/>
      <c r="R91" s="1616"/>
      <c r="S91" s="1616"/>
      <c r="T91" s="1616"/>
      <c r="U91" s="1616"/>
      <c r="V91" s="1616"/>
      <c r="W91" s="1616"/>
      <c r="X91" s="1616"/>
      <c r="Y91" s="1616"/>
      <c r="Z91" s="1616"/>
      <c r="AA91" s="1616"/>
      <c r="AB91" s="1616"/>
      <c r="AC91" s="1626"/>
      <c r="AD91" s="2321"/>
      <c r="AE91" s="1617"/>
      <c r="AF91" s="1617"/>
      <c r="AG91" s="1617"/>
      <c r="AH91" s="1617"/>
      <c r="AI91" s="1617"/>
      <c r="AJ91" s="1617"/>
      <c r="AK91" s="1616"/>
      <c r="AL91" s="1616"/>
      <c r="AM91" s="1616"/>
      <c r="AN91" s="1616"/>
      <c r="AO91" s="1616"/>
      <c r="AP91" s="1616"/>
      <c r="AQ91" s="2793"/>
      <c r="AR91" s="1617"/>
      <c r="AS91" s="1617"/>
      <c r="AT91" s="1617"/>
      <c r="AU91" s="1617"/>
      <c r="AV91" s="1617"/>
      <c r="AW91" s="1617"/>
      <c r="AX91" s="1616"/>
      <c r="AY91" s="1616"/>
      <c r="AZ91" s="1616"/>
      <c r="BA91" s="1616"/>
      <c r="BB91" s="1616"/>
      <c r="BC91" s="1616"/>
    </row>
    <row r="92" spans="2:59" collapsed="1">
      <c r="B92" s="1614"/>
      <c r="C92" s="1615"/>
      <c r="D92" s="1618"/>
      <c r="E92" s="1618"/>
      <c r="F92" s="1618"/>
      <c r="G92" s="1618"/>
      <c r="H92" s="1618"/>
      <c r="I92" s="1618"/>
      <c r="J92" s="1618"/>
      <c r="K92" s="1618"/>
      <c r="L92" s="1618"/>
      <c r="M92" s="1618"/>
      <c r="N92" s="1618"/>
      <c r="O92" s="1618"/>
      <c r="P92" s="1618"/>
      <c r="Q92" s="1618"/>
      <c r="R92" s="1618"/>
      <c r="S92" s="1618"/>
      <c r="T92" s="1618"/>
      <c r="U92" s="1618"/>
      <c r="V92" s="1618"/>
      <c r="W92" s="1618"/>
      <c r="X92" s="1618"/>
      <c r="Y92" s="1618"/>
      <c r="Z92" s="1618"/>
      <c r="AA92" s="1618"/>
      <c r="AB92" s="1618"/>
      <c r="AC92" s="1619"/>
      <c r="AD92" s="1618"/>
      <c r="AE92" s="1618"/>
      <c r="AF92" s="1618"/>
      <c r="AG92" s="1618"/>
      <c r="AH92" s="1618"/>
      <c r="AI92" s="1618"/>
      <c r="AJ92" s="1618"/>
      <c r="AK92" s="1618"/>
      <c r="AL92" s="1618"/>
      <c r="AM92" s="1618"/>
      <c r="AN92" s="1618"/>
      <c r="AO92" s="1618"/>
      <c r="AP92" s="1618"/>
      <c r="AQ92" s="1618"/>
      <c r="AR92" s="1618"/>
      <c r="AS92" s="1618"/>
      <c r="AT92" s="1618"/>
      <c r="AU92" s="1616"/>
      <c r="AV92" s="1618"/>
      <c r="AW92" s="1618"/>
      <c r="AX92" s="1618"/>
      <c r="AY92" s="1618"/>
      <c r="AZ92" s="1618"/>
      <c r="BA92" s="1618"/>
      <c r="BB92" s="1618"/>
      <c r="BC92" s="1618"/>
    </row>
    <row r="93" spans="2:59">
      <c r="B93" s="1614"/>
      <c r="C93" s="1615"/>
      <c r="D93" s="1618"/>
      <c r="E93" s="1618"/>
      <c r="F93" s="1618"/>
      <c r="G93" s="1618"/>
      <c r="H93" s="1618"/>
      <c r="I93" s="1618"/>
      <c r="J93" s="1618"/>
      <c r="K93" s="1618"/>
      <c r="L93" s="1618"/>
      <c r="M93" s="1618"/>
      <c r="N93" s="1618"/>
      <c r="O93" s="1618"/>
      <c r="P93" s="1618"/>
      <c r="Q93" s="1618"/>
      <c r="R93" s="1618"/>
      <c r="S93" s="1618"/>
      <c r="T93" s="1618"/>
      <c r="U93" s="1618"/>
      <c r="V93" s="1618"/>
      <c r="W93" s="1618"/>
      <c r="X93" s="1618"/>
      <c r="Y93" s="1618"/>
      <c r="Z93" s="1618"/>
      <c r="AA93" s="1618"/>
      <c r="AB93" s="1618"/>
      <c r="AC93" s="1619"/>
      <c r="AD93" s="1618"/>
      <c r="AE93" s="2857"/>
      <c r="AF93" s="2857"/>
      <c r="AG93" s="2857"/>
      <c r="AH93" s="2857"/>
      <c r="AI93" s="2857"/>
      <c r="AJ93" s="2857"/>
      <c r="AK93" s="2857"/>
      <c r="AL93" s="2857"/>
      <c r="AM93" s="2857"/>
      <c r="AN93" s="2857"/>
      <c r="AO93" s="2857"/>
      <c r="AP93" s="2857"/>
      <c r="AQ93" s="1618"/>
      <c r="AR93" s="1618"/>
      <c r="AS93" s="1618"/>
      <c r="AT93" s="1618"/>
      <c r="AU93" s="1616"/>
      <c r="AV93" s="1618"/>
      <c r="AW93" s="1618"/>
      <c r="AX93" s="1618"/>
      <c r="AY93" s="1618"/>
      <c r="AZ93" s="1618"/>
      <c r="BA93" s="1618"/>
      <c r="BB93" s="1618"/>
      <c r="BC93" s="1618"/>
    </row>
    <row r="94" spans="2:59">
      <c r="B94" s="1620" t="s">
        <v>760</v>
      </c>
      <c r="C94" s="1621"/>
      <c r="D94" s="1616"/>
      <c r="E94" s="1616"/>
      <c r="F94" s="1616"/>
      <c r="G94" s="1616"/>
      <c r="H94" s="1616"/>
      <c r="I94" s="1616"/>
      <c r="J94" s="1616"/>
      <c r="K94" s="1616"/>
      <c r="L94" s="1616"/>
      <c r="M94" s="1616"/>
      <c r="N94" s="1616"/>
      <c r="O94" s="1616"/>
      <c r="P94" s="1616"/>
      <c r="Q94" s="1616"/>
      <c r="R94" s="1616"/>
      <c r="S94" s="1616"/>
      <c r="T94" s="1616"/>
      <c r="U94" s="1616"/>
      <c r="V94" s="1616"/>
      <c r="W94" s="1616"/>
      <c r="X94" s="1616"/>
      <c r="Y94" s="1616"/>
      <c r="Z94" s="1616"/>
      <c r="AA94" s="1616"/>
      <c r="AB94" s="1616"/>
      <c r="AC94" s="1626"/>
      <c r="AD94" s="1616"/>
      <c r="AE94" s="1616"/>
      <c r="AF94" s="1616"/>
      <c r="AG94" s="1616"/>
      <c r="AH94" s="1616"/>
      <c r="AI94" s="1616"/>
      <c r="AJ94" s="1616"/>
      <c r="AK94" s="1616"/>
      <c r="AL94" s="1616"/>
      <c r="AM94" s="1616"/>
      <c r="AN94" s="1616"/>
      <c r="AO94" s="1616"/>
      <c r="AP94" s="1616"/>
      <c r="AQ94" s="1616"/>
      <c r="AR94" s="1616"/>
      <c r="AS94" s="1616"/>
      <c r="AT94" s="1616"/>
      <c r="AU94" s="1616"/>
      <c r="AV94" s="1616"/>
      <c r="AW94" s="1616"/>
      <c r="AX94" s="1616"/>
      <c r="AY94" s="1616"/>
      <c r="AZ94" s="1616"/>
      <c r="BA94" s="1616"/>
      <c r="BB94" s="1616"/>
      <c r="BC94" s="1616"/>
    </row>
    <row r="95" spans="2:59">
      <c r="B95" s="3282" t="s">
        <v>456</v>
      </c>
      <c r="C95" s="3283"/>
      <c r="D95" s="3275" t="s">
        <v>494</v>
      </c>
      <c r="E95" s="3276"/>
      <c r="F95" s="3276"/>
      <c r="G95" s="3276"/>
      <c r="H95" s="3276"/>
      <c r="I95" s="3276"/>
      <c r="J95" s="3276"/>
      <c r="K95" s="3276"/>
      <c r="L95" s="3276"/>
      <c r="M95" s="3276"/>
      <c r="N95" s="3276"/>
      <c r="O95" s="3276"/>
      <c r="P95" s="3295"/>
      <c r="Q95" s="3275" t="s">
        <v>546</v>
      </c>
      <c r="R95" s="3276"/>
      <c r="S95" s="3276"/>
      <c r="T95" s="3276"/>
      <c r="U95" s="3276"/>
      <c r="V95" s="3276"/>
      <c r="W95" s="3276"/>
      <c r="X95" s="3276"/>
      <c r="Y95" s="3276"/>
      <c r="Z95" s="3276"/>
      <c r="AA95" s="3276"/>
      <c r="AB95" s="3276"/>
      <c r="AC95" s="3298"/>
      <c r="AD95" s="3275" t="s">
        <v>572</v>
      </c>
      <c r="AE95" s="3276"/>
      <c r="AF95" s="3276"/>
      <c r="AG95" s="3276"/>
      <c r="AH95" s="3276"/>
      <c r="AI95" s="3276"/>
      <c r="AJ95" s="3276"/>
      <c r="AK95" s="3276"/>
      <c r="AL95" s="3276"/>
      <c r="AM95" s="3276"/>
      <c r="AN95" s="3276"/>
      <c r="AO95" s="3276"/>
      <c r="AP95" s="3276"/>
      <c r="AQ95" s="3277" t="s">
        <v>586</v>
      </c>
      <c r="AR95" s="3278"/>
      <c r="AS95" s="3278"/>
      <c r="AT95" s="3278"/>
      <c r="AU95" s="3278"/>
      <c r="AV95" s="3278"/>
      <c r="AW95" s="3278"/>
      <c r="AX95" s="3278"/>
      <c r="AY95" s="3278"/>
      <c r="AZ95" s="3278"/>
      <c r="BA95" s="3278"/>
      <c r="BB95" s="3278"/>
      <c r="BC95" s="3278"/>
    </row>
    <row r="96" spans="2:59">
      <c r="B96" s="3284"/>
      <c r="C96" s="3285"/>
      <c r="D96" s="1104" t="s">
        <v>492</v>
      </c>
      <c r="E96" s="1320" t="str">
        <f>E$34</f>
        <v>1월</v>
      </c>
      <c r="F96" s="1320" t="str">
        <f>F$34</f>
        <v>2월</v>
      </c>
      <c r="G96" s="1320" t="str">
        <f t="shared" ref="G96:P96" si="149">G$34</f>
        <v>3월</v>
      </c>
      <c r="H96" s="1320" t="str">
        <f t="shared" si="149"/>
        <v>4월</v>
      </c>
      <c r="I96" s="1320" t="str">
        <f t="shared" si="149"/>
        <v>5월</v>
      </c>
      <c r="J96" s="1320" t="str">
        <f t="shared" si="149"/>
        <v>6월</v>
      </c>
      <c r="K96" s="1320" t="str">
        <f t="shared" si="149"/>
        <v>7월</v>
      </c>
      <c r="L96" s="1320" t="str">
        <f t="shared" si="149"/>
        <v>8월</v>
      </c>
      <c r="M96" s="1320" t="str">
        <f t="shared" si="149"/>
        <v>9월</v>
      </c>
      <c r="N96" s="1320" t="str">
        <f t="shared" si="149"/>
        <v>10월</v>
      </c>
      <c r="O96" s="1320" t="str">
        <f t="shared" si="149"/>
        <v>11월</v>
      </c>
      <c r="P96" s="1320" t="str">
        <f t="shared" si="149"/>
        <v>12월</v>
      </c>
      <c r="Q96" s="1104" t="s">
        <v>492</v>
      </c>
      <c r="R96" s="1320" t="s">
        <v>2</v>
      </c>
      <c r="S96" s="1320" t="s">
        <v>440</v>
      </c>
      <c r="T96" s="1320" t="s">
        <v>4</v>
      </c>
      <c r="U96" s="1320" t="s">
        <v>5</v>
      </c>
      <c r="V96" s="1320" t="s">
        <v>6</v>
      </c>
      <c r="W96" s="1320" t="s">
        <v>7</v>
      </c>
      <c r="X96" s="1320" t="s">
        <v>8</v>
      </c>
      <c r="Y96" s="1320" t="s">
        <v>9</v>
      </c>
      <c r="Z96" s="1320" t="s">
        <v>10</v>
      </c>
      <c r="AA96" s="1320" t="s">
        <v>11</v>
      </c>
      <c r="AB96" s="1320" t="s">
        <v>441</v>
      </c>
      <c r="AC96" s="1609" t="s">
        <v>442</v>
      </c>
      <c r="AD96" s="1104" t="s">
        <v>492</v>
      </c>
      <c r="AE96" s="1320" t="s">
        <v>2</v>
      </c>
      <c r="AF96" s="1320" t="s">
        <v>440</v>
      </c>
      <c r="AG96" s="1320" t="s">
        <v>4</v>
      </c>
      <c r="AH96" s="1320" t="s">
        <v>5</v>
      </c>
      <c r="AI96" s="1320" t="s">
        <v>6</v>
      </c>
      <c r="AJ96" s="1320" t="s">
        <v>7</v>
      </c>
      <c r="AK96" s="1320" t="s">
        <v>8</v>
      </c>
      <c r="AL96" s="1320" t="s">
        <v>9</v>
      </c>
      <c r="AM96" s="1320" t="s">
        <v>10</v>
      </c>
      <c r="AN96" s="1320" t="s">
        <v>11</v>
      </c>
      <c r="AO96" s="1320" t="s">
        <v>441</v>
      </c>
      <c r="AP96" s="1915" t="s">
        <v>442</v>
      </c>
      <c r="AQ96" s="2792" t="s">
        <v>492</v>
      </c>
      <c r="AR96" s="2323" t="s">
        <v>2</v>
      </c>
      <c r="AS96" s="2323" t="s">
        <v>440</v>
      </c>
      <c r="AT96" s="2323" t="s">
        <v>4</v>
      </c>
      <c r="AU96" s="2323" t="s">
        <v>5</v>
      </c>
      <c r="AV96" s="2323" t="s">
        <v>6</v>
      </c>
      <c r="AW96" s="2323" t="s">
        <v>7</v>
      </c>
      <c r="AX96" s="2323" t="s">
        <v>8</v>
      </c>
      <c r="AY96" s="2323" t="s">
        <v>9</v>
      </c>
      <c r="AZ96" s="2323" t="s">
        <v>10</v>
      </c>
      <c r="BA96" s="2323" t="s">
        <v>11</v>
      </c>
      <c r="BB96" s="2323" t="s">
        <v>441</v>
      </c>
      <c r="BC96" s="2788" t="s">
        <v>442</v>
      </c>
    </row>
    <row r="97" spans="2:59">
      <c r="B97" s="3290" t="s">
        <v>447</v>
      </c>
      <c r="C97" s="3291"/>
      <c r="D97" s="1469">
        <f>SUM(E97:P97)</f>
        <v>830.57809999999995</v>
      </c>
      <c r="E97" s="1469">
        <f>SUM(E98:E99)</f>
        <v>85.504536999999999</v>
      </c>
      <c r="F97" s="1469">
        <f t="shared" ref="F97:P97" si="150">SUM(F98:F99)</f>
        <v>50.050196</v>
      </c>
      <c r="G97" s="1469">
        <f t="shared" si="150"/>
        <v>47.373964999999998</v>
      </c>
      <c r="H97" s="1469">
        <f t="shared" si="150"/>
        <v>43.767561000000001</v>
      </c>
      <c r="I97" s="1469">
        <f t="shared" si="150"/>
        <v>78.428756000000007</v>
      </c>
      <c r="J97" s="1469">
        <f t="shared" si="150"/>
        <v>89.229022000000001</v>
      </c>
      <c r="K97" s="1469">
        <f t="shared" si="150"/>
        <v>76.341447000000002</v>
      </c>
      <c r="L97" s="1469">
        <f t="shared" si="150"/>
        <v>85.985500999999999</v>
      </c>
      <c r="M97" s="1469">
        <f t="shared" si="150"/>
        <v>49.062854000000002</v>
      </c>
      <c r="N97" s="1469">
        <f t="shared" si="150"/>
        <v>110.99155</v>
      </c>
      <c r="O97" s="1469">
        <f t="shared" si="150"/>
        <v>77.190010999999998</v>
      </c>
      <c r="P97" s="1469">
        <f t="shared" si="150"/>
        <v>36.652700000000003</v>
      </c>
      <c r="Q97" s="1469">
        <f>SUM(R97:AC97)</f>
        <v>0</v>
      </c>
      <c r="R97" s="1469">
        <f>SUM(R98:R99)</f>
        <v>0</v>
      </c>
      <c r="S97" s="1469">
        <f t="shared" ref="S97:AC97" si="151">SUM(S98:S99)</f>
        <v>0</v>
      </c>
      <c r="T97" s="1469">
        <f t="shared" si="151"/>
        <v>0</v>
      </c>
      <c r="U97" s="1469">
        <f t="shared" si="151"/>
        <v>0</v>
      </c>
      <c r="V97" s="1469">
        <f t="shared" si="151"/>
        <v>0</v>
      </c>
      <c r="W97" s="1469">
        <f t="shared" si="151"/>
        <v>0</v>
      </c>
      <c r="X97" s="1469">
        <f t="shared" si="151"/>
        <v>0</v>
      </c>
      <c r="Y97" s="1469">
        <f t="shared" si="151"/>
        <v>0</v>
      </c>
      <c r="Z97" s="1469">
        <f t="shared" si="151"/>
        <v>0</v>
      </c>
      <c r="AA97" s="1469">
        <f t="shared" si="151"/>
        <v>0</v>
      </c>
      <c r="AB97" s="1469">
        <f t="shared" si="151"/>
        <v>0</v>
      </c>
      <c r="AC97" s="1610">
        <f t="shared" si="151"/>
        <v>0</v>
      </c>
      <c r="AD97" s="1469">
        <f>SUM(AE97:AP97)</f>
        <v>0</v>
      </c>
      <c r="AE97" s="1469">
        <f>SUM(AE98:AE99)</f>
        <v>0</v>
      </c>
      <c r="AF97" s="1469">
        <f t="shared" ref="AF97:AP97" si="152">SUM(AF98:AF99)</f>
        <v>0</v>
      </c>
      <c r="AG97" s="1469">
        <f t="shared" si="152"/>
        <v>0</v>
      </c>
      <c r="AH97" s="1469">
        <f t="shared" si="152"/>
        <v>0</v>
      </c>
      <c r="AI97" s="1469">
        <f t="shared" si="152"/>
        <v>0</v>
      </c>
      <c r="AJ97" s="1469">
        <f t="shared" si="152"/>
        <v>0</v>
      </c>
      <c r="AK97" s="1469">
        <f t="shared" si="152"/>
        <v>0</v>
      </c>
      <c r="AL97" s="1469">
        <f t="shared" si="152"/>
        <v>0</v>
      </c>
      <c r="AM97" s="1469">
        <f t="shared" si="152"/>
        <v>0</v>
      </c>
      <c r="AN97" s="1469">
        <f t="shared" si="152"/>
        <v>0</v>
      </c>
      <c r="AO97" s="1469">
        <f t="shared" si="152"/>
        <v>0</v>
      </c>
      <c r="AP97" s="2000">
        <f t="shared" si="152"/>
        <v>0</v>
      </c>
      <c r="AQ97" s="1469">
        <f>SUM(AR97:BC97)</f>
        <v>0</v>
      </c>
      <c r="AR97" s="1469">
        <f>SUM(AR98:AR99)</f>
        <v>0</v>
      </c>
      <c r="AS97" s="1469">
        <f t="shared" ref="AS97:BC97" si="153">SUM(AS98:AS99)</f>
        <v>0</v>
      </c>
      <c r="AT97" s="1469">
        <f t="shared" si="153"/>
        <v>0</v>
      </c>
      <c r="AU97" s="1469">
        <f t="shared" si="153"/>
        <v>0</v>
      </c>
      <c r="AV97" s="1469">
        <f t="shared" si="153"/>
        <v>0</v>
      </c>
      <c r="AW97" s="1469">
        <f t="shared" si="153"/>
        <v>0</v>
      </c>
      <c r="AX97" s="1469">
        <f t="shared" si="153"/>
        <v>0</v>
      </c>
      <c r="AY97" s="1469">
        <f t="shared" si="153"/>
        <v>0</v>
      </c>
      <c r="AZ97" s="1469">
        <f t="shared" si="153"/>
        <v>0</v>
      </c>
      <c r="BA97" s="1469">
        <f t="shared" si="153"/>
        <v>0</v>
      </c>
      <c r="BB97" s="1469">
        <f t="shared" si="153"/>
        <v>0</v>
      </c>
      <c r="BC97" s="2000">
        <f t="shared" si="153"/>
        <v>0</v>
      </c>
    </row>
    <row r="98" spans="2:59">
      <c r="B98" s="3281"/>
      <c r="C98" s="1611" t="s">
        <v>457</v>
      </c>
      <c r="D98" s="1470">
        <f t="shared" ref="D98:D106" si="154">SUM(E98:P98)</f>
        <v>817.24170600000002</v>
      </c>
      <c r="E98" s="1471">
        <v>83.792554999999993</v>
      </c>
      <c r="F98" s="1471">
        <v>47.055669000000002</v>
      </c>
      <c r="G98" s="1471">
        <v>47.373964999999998</v>
      </c>
      <c r="H98" s="1471">
        <v>43.767561000000001</v>
      </c>
      <c r="I98" s="1471">
        <v>77.010581000000002</v>
      </c>
      <c r="J98" s="1471">
        <v>89.223567000000003</v>
      </c>
      <c r="K98" s="1471">
        <v>76.341447000000002</v>
      </c>
      <c r="L98" s="1471">
        <v>78.779246000000001</v>
      </c>
      <c r="M98" s="1471">
        <v>49.062854000000002</v>
      </c>
      <c r="N98" s="1471">
        <v>110.99155</v>
      </c>
      <c r="O98" s="1471">
        <v>77.190010999999998</v>
      </c>
      <c r="P98" s="1471">
        <v>36.652700000000003</v>
      </c>
      <c r="Q98" s="1470">
        <f t="shared" ref="Q98:Q106" si="155">SUM(R98:AC98)</f>
        <v>0</v>
      </c>
      <c r="R98" s="1685"/>
      <c r="S98" s="1685"/>
      <c r="T98" s="1685"/>
      <c r="U98" s="1685"/>
      <c r="V98" s="1685"/>
      <c r="W98" s="1685"/>
      <c r="X98" s="1685"/>
      <c r="Y98" s="1685"/>
      <c r="Z98" s="1685"/>
      <c r="AA98" s="1685"/>
      <c r="AB98" s="1685"/>
      <c r="AC98" s="1687"/>
      <c r="AD98" s="1470">
        <f t="shared" ref="AD98:AD106" si="156">SUM(AE98:AP98)</f>
        <v>0</v>
      </c>
      <c r="AE98" s="1685"/>
      <c r="AF98" s="1685"/>
      <c r="AG98" s="1685"/>
      <c r="AH98" s="1685"/>
      <c r="AI98" s="1685"/>
      <c r="AJ98" s="1685"/>
      <c r="AK98" s="1685"/>
      <c r="AL98" s="1685"/>
      <c r="AM98" s="1685"/>
      <c r="AN98" s="1685"/>
      <c r="AO98" s="1685"/>
      <c r="AP98" s="2002"/>
      <c r="AQ98" s="1470">
        <f t="shared" ref="AQ98:AQ106" si="157">SUM(AR98:BC98)</f>
        <v>0</v>
      </c>
      <c r="AR98" s="1685"/>
      <c r="AS98" s="1685"/>
      <c r="AT98" s="1685"/>
      <c r="AU98" s="1685"/>
      <c r="AV98" s="1685"/>
      <c r="AW98" s="1685"/>
      <c r="AX98" s="1685"/>
      <c r="AY98" s="1685"/>
      <c r="AZ98" s="1685"/>
      <c r="BA98" s="1685"/>
      <c r="BB98" s="1685"/>
      <c r="BC98" s="2002"/>
    </row>
    <row r="99" spans="2:59">
      <c r="B99" s="3289"/>
      <c r="C99" s="1611" t="s">
        <v>443</v>
      </c>
      <c r="D99" s="1470">
        <f t="shared" si="154"/>
        <v>13.336394</v>
      </c>
      <c r="E99" s="1471">
        <v>1.7119819999999999</v>
      </c>
      <c r="F99" s="1471">
        <v>2.9945270000000002</v>
      </c>
      <c r="G99" s="1471">
        <v>0</v>
      </c>
      <c r="H99" s="1471">
        <v>0</v>
      </c>
      <c r="I99" s="1471">
        <v>1.418175</v>
      </c>
      <c r="J99" s="1471">
        <v>5.4549999999999998E-3</v>
      </c>
      <c r="K99" s="1471">
        <v>0</v>
      </c>
      <c r="L99" s="1471">
        <v>7.2062549999999996</v>
      </c>
      <c r="M99" s="1471">
        <v>0</v>
      </c>
      <c r="N99" s="1471">
        <v>0</v>
      </c>
      <c r="O99" s="1471"/>
      <c r="P99" s="1471"/>
      <c r="Q99" s="1470">
        <f t="shared" si="155"/>
        <v>0</v>
      </c>
      <c r="R99" s="1685"/>
      <c r="S99" s="1685"/>
      <c r="T99" s="1685"/>
      <c r="U99" s="1685"/>
      <c r="V99" s="1685"/>
      <c r="W99" s="1685"/>
      <c r="X99" s="1685"/>
      <c r="Y99" s="1685"/>
      <c r="Z99" s="1685"/>
      <c r="AA99" s="1685"/>
      <c r="AB99" s="1685"/>
      <c r="AC99" s="1687"/>
      <c r="AD99" s="1470">
        <f t="shared" si="156"/>
        <v>0</v>
      </c>
      <c r="AE99" s="1685"/>
      <c r="AF99" s="1685"/>
      <c r="AG99" s="1685"/>
      <c r="AH99" s="1685"/>
      <c r="AI99" s="1685"/>
      <c r="AJ99" s="1685"/>
      <c r="AK99" s="1685"/>
      <c r="AL99" s="1685"/>
      <c r="AM99" s="1685"/>
      <c r="AN99" s="1685"/>
      <c r="AO99" s="1685"/>
      <c r="AP99" s="2002"/>
      <c r="AQ99" s="1470">
        <f t="shared" si="157"/>
        <v>0</v>
      </c>
      <c r="AR99" s="1685"/>
      <c r="AS99" s="1685"/>
      <c r="AT99" s="1685"/>
      <c r="AU99" s="1685"/>
      <c r="AV99" s="1685"/>
      <c r="AW99" s="1685"/>
      <c r="AX99" s="1685"/>
      <c r="AY99" s="1685"/>
      <c r="AZ99" s="1685"/>
      <c r="BA99" s="1685"/>
      <c r="BB99" s="1685"/>
      <c r="BC99" s="2002"/>
    </row>
    <row r="100" spans="2:59">
      <c r="B100" s="3290" t="s">
        <v>417</v>
      </c>
      <c r="C100" s="3291"/>
      <c r="D100" s="1469">
        <f t="shared" si="154"/>
        <v>870.47994599999993</v>
      </c>
      <c r="E100" s="1469">
        <f>SUM(E101:E105)</f>
        <v>101.584097</v>
      </c>
      <c r="F100" s="1469">
        <f t="shared" ref="F100:P100" si="158">SUM(F101:F105)</f>
        <v>52.290872999999998</v>
      </c>
      <c r="G100" s="1469">
        <f t="shared" si="158"/>
        <v>41.614305000000002</v>
      </c>
      <c r="H100" s="1469">
        <f t="shared" si="158"/>
        <v>33.706828000000002</v>
      </c>
      <c r="I100" s="1469">
        <f t="shared" si="158"/>
        <v>59.595168999999999</v>
      </c>
      <c r="J100" s="1469">
        <f t="shared" si="158"/>
        <v>65.180436999999998</v>
      </c>
      <c r="K100" s="1469">
        <f t="shared" si="158"/>
        <v>64.731837999999996</v>
      </c>
      <c r="L100" s="1469">
        <f t="shared" si="158"/>
        <v>65.922660999999991</v>
      </c>
      <c r="M100" s="1469">
        <f t="shared" si="158"/>
        <v>38.073824999999992</v>
      </c>
      <c r="N100" s="1469">
        <f t="shared" si="158"/>
        <v>104.92621699999999</v>
      </c>
      <c r="O100" s="1469">
        <f t="shared" si="158"/>
        <v>109.65659099999999</v>
      </c>
      <c r="P100" s="1469">
        <f t="shared" si="158"/>
        <v>133.19710500000002</v>
      </c>
      <c r="Q100" s="1469">
        <f t="shared" si="155"/>
        <v>0</v>
      </c>
      <c r="R100" s="1469">
        <f>SUM(R101:R105)</f>
        <v>0</v>
      </c>
      <c r="S100" s="1469">
        <f t="shared" ref="S100:AC100" si="159">SUM(S101:S105)</f>
        <v>0</v>
      </c>
      <c r="T100" s="1469">
        <f t="shared" si="159"/>
        <v>0</v>
      </c>
      <c r="U100" s="1469">
        <f t="shared" si="159"/>
        <v>0</v>
      </c>
      <c r="V100" s="1469">
        <f t="shared" si="159"/>
        <v>0</v>
      </c>
      <c r="W100" s="1469">
        <f t="shared" si="159"/>
        <v>0</v>
      </c>
      <c r="X100" s="1469">
        <f t="shared" si="159"/>
        <v>0</v>
      </c>
      <c r="Y100" s="1469">
        <f t="shared" si="159"/>
        <v>0</v>
      </c>
      <c r="Z100" s="1469">
        <f t="shared" si="159"/>
        <v>0</v>
      </c>
      <c r="AA100" s="1469">
        <f t="shared" si="159"/>
        <v>0</v>
      </c>
      <c r="AB100" s="1469">
        <f t="shared" si="159"/>
        <v>0</v>
      </c>
      <c r="AC100" s="1610">
        <f t="shared" si="159"/>
        <v>0</v>
      </c>
      <c r="AD100" s="1469">
        <f t="shared" si="156"/>
        <v>0</v>
      </c>
      <c r="AE100" s="1469">
        <f>SUM(AE101:AE105)</f>
        <v>0</v>
      </c>
      <c r="AF100" s="1469">
        <f t="shared" ref="AF100:AP100" si="160">SUM(AF101:AF105)</f>
        <v>0</v>
      </c>
      <c r="AG100" s="1469">
        <f t="shared" si="160"/>
        <v>0</v>
      </c>
      <c r="AH100" s="1469">
        <f t="shared" si="160"/>
        <v>0</v>
      </c>
      <c r="AI100" s="1469">
        <f t="shared" si="160"/>
        <v>0</v>
      </c>
      <c r="AJ100" s="1469">
        <f t="shared" si="160"/>
        <v>0</v>
      </c>
      <c r="AK100" s="1469">
        <f t="shared" si="160"/>
        <v>0</v>
      </c>
      <c r="AL100" s="1469">
        <f t="shared" si="160"/>
        <v>0</v>
      </c>
      <c r="AM100" s="1469">
        <f t="shared" si="160"/>
        <v>0</v>
      </c>
      <c r="AN100" s="1469">
        <f t="shared" si="160"/>
        <v>0</v>
      </c>
      <c r="AO100" s="1469">
        <f t="shared" si="160"/>
        <v>0</v>
      </c>
      <c r="AP100" s="2000">
        <f t="shared" si="160"/>
        <v>0</v>
      </c>
      <c r="AQ100" s="1469">
        <f t="shared" si="157"/>
        <v>0</v>
      </c>
      <c r="AR100" s="1469">
        <f>SUM(AR101:AR105)</f>
        <v>0</v>
      </c>
      <c r="AS100" s="1469">
        <f t="shared" ref="AS100:BC100" si="161">SUM(AS101:AS105)</f>
        <v>0</v>
      </c>
      <c r="AT100" s="1469">
        <f t="shared" si="161"/>
        <v>0</v>
      </c>
      <c r="AU100" s="1469">
        <f t="shared" si="161"/>
        <v>0</v>
      </c>
      <c r="AV100" s="1469">
        <f t="shared" si="161"/>
        <v>0</v>
      </c>
      <c r="AW100" s="1469">
        <f t="shared" si="161"/>
        <v>0</v>
      </c>
      <c r="AX100" s="1469">
        <f t="shared" si="161"/>
        <v>0</v>
      </c>
      <c r="AY100" s="1469">
        <f t="shared" si="161"/>
        <v>0</v>
      </c>
      <c r="AZ100" s="1469">
        <f t="shared" si="161"/>
        <v>0</v>
      </c>
      <c r="BA100" s="1469">
        <f t="shared" si="161"/>
        <v>0</v>
      </c>
      <c r="BB100" s="1469">
        <f t="shared" si="161"/>
        <v>0</v>
      </c>
      <c r="BC100" s="2000">
        <f t="shared" si="161"/>
        <v>0</v>
      </c>
    </row>
    <row r="101" spans="2:59">
      <c r="B101" s="3281"/>
      <c r="C101" s="1613" t="s">
        <v>437</v>
      </c>
      <c r="D101" s="1470">
        <f t="shared" si="154"/>
        <v>749.09488499999998</v>
      </c>
      <c r="E101" s="1471">
        <v>59.335211000000001</v>
      </c>
      <c r="F101" s="1471">
        <v>34.945076999999998</v>
      </c>
      <c r="G101" s="1471">
        <v>30.891311000000002</v>
      </c>
      <c r="H101" s="1471">
        <v>29.520893000000001</v>
      </c>
      <c r="I101" s="1471">
        <v>54.952066000000002</v>
      </c>
      <c r="J101" s="1471">
        <v>59.637993999999999</v>
      </c>
      <c r="K101" s="1471">
        <v>59.455067999999997</v>
      </c>
      <c r="L101" s="1471">
        <v>60.757573000000001</v>
      </c>
      <c r="M101" s="1471">
        <v>33.035832999999997</v>
      </c>
      <c r="N101" s="1471">
        <v>99.219401000000005</v>
      </c>
      <c r="O101" s="1471">
        <v>98.534085000000005</v>
      </c>
      <c r="P101" s="1471">
        <v>128.810373</v>
      </c>
      <c r="Q101" s="1470">
        <f t="shared" si="155"/>
        <v>0</v>
      </c>
      <c r="R101" s="1685"/>
      <c r="S101" s="1685"/>
      <c r="T101" s="1685"/>
      <c r="U101" s="1685"/>
      <c r="V101" s="1685"/>
      <c r="W101" s="1685"/>
      <c r="X101" s="1685"/>
      <c r="Y101" s="1685"/>
      <c r="Z101" s="1685"/>
      <c r="AA101" s="1685"/>
      <c r="AB101" s="1685"/>
      <c r="AC101" s="1687"/>
      <c r="AD101" s="1470">
        <f t="shared" si="156"/>
        <v>0</v>
      </c>
      <c r="AE101" s="1685"/>
      <c r="AF101" s="1685"/>
      <c r="AG101" s="1685"/>
      <c r="AH101" s="1685"/>
      <c r="AI101" s="1685"/>
      <c r="AJ101" s="1685"/>
      <c r="AK101" s="1685"/>
      <c r="AL101" s="1685"/>
      <c r="AM101" s="1685"/>
      <c r="AN101" s="1685"/>
      <c r="AO101" s="1685"/>
      <c r="AP101" s="2002"/>
      <c r="AQ101" s="1470">
        <f t="shared" si="157"/>
        <v>0</v>
      </c>
      <c r="AR101" s="1685"/>
      <c r="AS101" s="1685"/>
      <c r="AT101" s="1685"/>
      <c r="AU101" s="1685"/>
      <c r="AV101" s="1685"/>
      <c r="AW101" s="1685"/>
      <c r="AX101" s="1685"/>
      <c r="AY101" s="1685"/>
      <c r="AZ101" s="1685"/>
      <c r="BA101" s="1685"/>
      <c r="BB101" s="1685"/>
      <c r="BC101" s="2002"/>
    </row>
    <row r="102" spans="2:59">
      <c r="B102" s="3281"/>
      <c r="C102" s="1613" t="s">
        <v>418</v>
      </c>
      <c r="D102" s="1470">
        <f t="shared" si="154"/>
        <v>45.616850000000007</v>
      </c>
      <c r="E102" s="1471">
        <v>25.718829000000003</v>
      </c>
      <c r="F102" s="1471">
        <v>13.61589</v>
      </c>
      <c r="G102" s="1471">
        <v>6.2821309999999997</v>
      </c>
      <c r="H102" s="1471"/>
      <c r="I102" s="1471"/>
      <c r="J102" s="1471"/>
      <c r="K102" s="1471"/>
      <c r="L102" s="1471"/>
      <c r="M102" s="1471"/>
      <c r="N102" s="1471"/>
      <c r="O102" s="1471"/>
      <c r="P102" s="1471"/>
      <c r="Q102" s="1470">
        <f t="shared" si="155"/>
        <v>0</v>
      </c>
      <c r="R102" s="1685"/>
      <c r="S102" s="1685"/>
      <c r="T102" s="1685"/>
      <c r="U102" s="1685"/>
      <c r="V102" s="1685"/>
      <c r="W102" s="1685"/>
      <c r="X102" s="1685"/>
      <c r="Y102" s="1685"/>
      <c r="Z102" s="1685"/>
      <c r="AA102" s="1685"/>
      <c r="AB102" s="1685"/>
      <c r="AC102" s="1687"/>
      <c r="AD102" s="1470">
        <f t="shared" si="156"/>
        <v>0</v>
      </c>
      <c r="AE102" s="1685"/>
      <c r="AF102" s="1685"/>
      <c r="AG102" s="1685"/>
      <c r="AH102" s="1685"/>
      <c r="AI102" s="1685"/>
      <c r="AJ102" s="1685"/>
      <c r="AK102" s="1685"/>
      <c r="AL102" s="1685"/>
      <c r="AM102" s="1685"/>
      <c r="AN102" s="1685"/>
      <c r="AO102" s="1685"/>
      <c r="AP102" s="2002"/>
      <c r="AQ102" s="1470">
        <f t="shared" si="157"/>
        <v>0</v>
      </c>
      <c r="AR102" s="1685"/>
      <c r="AS102" s="1685"/>
      <c r="AT102" s="1685"/>
      <c r="AU102" s="1685"/>
      <c r="AV102" s="1685"/>
      <c r="AW102" s="1685"/>
      <c r="AX102" s="1685"/>
      <c r="AY102" s="1685"/>
      <c r="AZ102" s="1685"/>
      <c r="BA102" s="1685"/>
      <c r="BB102" s="1685"/>
      <c r="BC102" s="2002"/>
    </row>
    <row r="103" spans="2:59">
      <c r="B103" s="3281"/>
      <c r="C103" s="1613" t="s">
        <v>77</v>
      </c>
      <c r="D103" s="1470">
        <f t="shared" si="154"/>
        <v>21.993361000000007</v>
      </c>
      <c r="E103" s="1471">
        <v>12.01191</v>
      </c>
      <c r="F103" s="1471">
        <v>2.911451</v>
      </c>
      <c r="G103" s="1471">
        <v>0.48</v>
      </c>
      <c r="H103" s="1471">
        <v>0.48</v>
      </c>
      <c r="I103" s="1471">
        <v>0.51</v>
      </c>
      <c r="J103" s="1471">
        <v>0.91</v>
      </c>
      <c r="K103" s="1471">
        <v>0.8</v>
      </c>
      <c r="L103" s="1471">
        <v>0.8</v>
      </c>
      <c r="M103" s="1471">
        <v>0.8</v>
      </c>
      <c r="N103" s="1471">
        <v>0.64</v>
      </c>
      <c r="O103" s="1471">
        <v>0.56999999999999995</v>
      </c>
      <c r="P103" s="1471">
        <v>1.08</v>
      </c>
      <c r="Q103" s="1470">
        <f t="shared" si="155"/>
        <v>0</v>
      </c>
      <c r="R103" s="1685"/>
      <c r="S103" s="1685"/>
      <c r="T103" s="1685"/>
      <c r="U103" s="1685"/>
      <c r="V103" s="1685"/>
      <c r="W103" s="1685"/>
      <c r="X103" s="1685"/>
      <c r="Y103" s="1685"/>
      <c r="Z103" s="1685"/>
      <c r="AA103" s="1685"/>
      <c r="AB103" s="1685"/>
      <c r="AC103" s="1687"/>
      <c r="AD103" s="1470">
        <f t="shared" si="156"/>
        <v>0</v>
      </c>
      <c r="AE103" s="1685"/>
      <c r="AF103" s="1685"/>
      <c r="AG103" s="1685"/>
      <c r="AH103" s="1685"/>
      <c r="AI103" s="1685"/>
      <c r="AJ103" s="1685"/>
      <c r="AK103" s="1685"/>
      <c r="AL103" s="1685"/>
      <c r="AM103" s="1685"/>
      <c r="AN103" s="1685"/>
      <c r="AO103" s="1685"/>
      <c r="AP103" s="2002"/>
      <c r="AQ103" s="1470">
        <f t="shared" si="157"/>
        <v>0</v>
      </c>
      <c r="AR103" s="1685"/>
      <c r="AS103" s="1685"/>
      <c r="AT103" s="1685"/>
      <c r="AU103" s="1685"/>
      <c r="AV103" s="1685"/>
      <c r="AW103" s="1685"/>
      <c r="AX103" s="1685"/>
      <c r="AY103" s="1685"/>
      <c r="AZ103" s="1685"/>
      <c r="BA103" s="1685"/>
      <c r="BB103" s="1685"/>
      <c r="BC103" s="2002"/>
    </row>
    <row r="104" spans="2:59">
      <c r="B104" s="3281"/>
      <c r="C104" s="1613" t="s">
        <v>82</v>
      </c>
      <c r="D104" s="1470">
        <f t="shared" si="154"/>
        <v>55.255462000000001</v>
      </c>
      <c r="E104" s="1471">
        <v>3.6076999999999999</v>
      </c>
      <c r="F104" s="1471">
        <v>4.040559</v>
      </c>
      <c r="G104" s="1471">
        <v>3.760955</v>
      </c>
      <c r="H104" s="1471">
        <v>3.621391</v>
      </c>
      <c r="I104" s="1471">
        <v>4.0765120000000001</v>
      </c>
      <c r="J104" s="1471">
        <v>4.5908519999999999</v>
      </c>
      <c r="K104" s="1471">
        <v>4.4604059999999999</v>
      </c>
      <c r="L104" s="1471">
        <v>4.3187249999999997</v>
      </c>
      <c r="M104" s="1471">
        <v>4.2298099999999996</v>
      </c>
      <c r="N104" s="1471">
        <v>5.0504519999999999</v>
      </c>
      <c r="O104" s="1471">
        <v>10.552505999999999</v>
      </c>
      <c r="P104" s="1471">
        <v>2.9455939999999998</v>
      </c>
      <c r="Q104" s="1470">
        <f t="shared" si="155"/>
        <v>0</v>
      </c>
      <c r="R104" s="1685"/>
      <c r="S104" s="1685"/>
      <c r="T104" s="1685"/>
      <c r="U104" s="1685"/>
      <c r="V104" s="1685"/>
      <c r="W104" s="1685"/>
      <c r="X104" s="1685"/>
      <c r="Y104" s="1685"/>
      <c r="Z104" s="1685"/>
      <c r="AA104" s="1685"/>
      <c r="AB104" s="1685"/>
      <c r="AC104" s="1687"/>
      <c r="AD104" s="1470">
        <f t="shared" si="156"/>
        <v>0</v>
      </c>
      <c r="AE104" s="1685"/>
      <c r="AF104" s="1685"/>
      <c r="AG104" s="1685"/>
      <c r="AH104" s="1685"/>
      <c r="AI104" s="1685"/>
      <c r="AJ104" s="1685"/>
      <c r="AK104" s="1685"/>
      <c r="AL104" s="1685"/>
      <c r="AM104" s="1685"/>
      <c r="AN104" s="1685"/>
      <c r="AO104" s="1685"/>
      <c r="AP104" s="2002"/>
      <c r="AQ104" s="1470">
        <f t="shared" si="157"/>
        <v>0</v>
      </c>
      <c r="AR104" s="1685"/>
      <c r="AS104" s="1685"/>
      <c r="AT104" s="1685"/>
      <c r="AU104" s="1685"/>
      <c r="AV104" s="1685"/>
      <c r="AW104" s="1685"/>
      <c r="AX104" s="1685"/>
      <c r="AY104" s="1685"/>
      <c r="AZ104" s="1685"/>
      <c r="BA104" s="1685"/>
      <c r="BB104" s="1685"/>
      <c r="BC104" s="2002"/>
    </row>
    <row r="105" spans="2:59">
      <c r="B105" s="3281"/>
      <c r="C105" s="1613" t="s">
        <v>419</v>
      </c>
      <c r="D105" s="1470">
        <f t="shared" si="154"/>
        <v>-1.4806119999999996</v>
      </c>
      <c r="E105" s="1471">
        <v>0.91044700000000001</v>
      </c>
      <c r="F105" s="1471">
        <v>-3.2221039999999999</v>
      </c>
      <c r="G105" s="1471">
        <v>0.199908</v>
      </c>
      <c r="H105" s="1471">
        <v>8.4543999999999994E-2</v>
      </c>
      <c r="I105" s="1471">
        <v>5.6591000000000002E-2</v>
      </c>
      <c r="J105" s="1471">
        <v>4.1591000000000003E-2</v>
      </c>
      <c r="K105" s="1471">
        <v>1.6364E-2</v>
      </c>
      <c r="L105" s="1471">
        <v>4.6363000000000001E-2</v>
      </c>
      <c r="M105" s="1471">
        <v>8.182E-3</v>
      </c>
      <c r="N105" s="1471">
        <v>1.6364E-2</v>
      </c>
      <c r="O105" s="1471"/>
      <c r="P105" s="1471">
        <v>0.36113799999999996</v>
      </c>
      <c r="Q105" s="1470">
        <f t="shared" si="155"/>
        <v>0</v>
      </c>
      <c r="R105" s="1685"/>
      <c r="S105" s="1685"/>
      <c r="T105" s="1685"/>
      <c r="U105" s="1685"/>
      <c r="V105" s="1685"/>
      <c r="W105" s="1685"/>
      <c r="X105" s="1685"/>
      <c r="Y105" s="1685"/>
      <c r="Z105" s="1685"/>
      <c r="AA105" s="1685"/>
      <c r="AB105" s="1685"/>
      <c r="AC105" s="1687"/>
      <c r="AD105" s="1470">
        <f t="shared" si="156"/>
        <v>0</v>
      </c>
      <c r="AE105" s="1685"/>
      <c r="AF105" s="1685"/>
      <c r="AG105" s="1685"/>
      <c r="AH105" s="1685"/>
      <c r="AI105" s="1685"/>
      <c r="AJ105" s="1685"/>
      <c r="AK105" s="1685"/>
      <c r="AL105" s="1685"/>
      <c r="AM105" s="1685"/>
      <c r="AN105" s="1685"/>
      <c r="AO105" s="1685"/>
      <c r="AP105" s="2002"/>
      <c r="AQ105" s="1470">
        <f t="shared" si="157"/>
        <v>0</v>
      </c>
      <c r="AR105" s="1685"/>
      <c r="AS105" s="1685"/>
      <c r="AT105" s="1685"/>
      <c r="AU105" s="1685"/>
      <c r="AV105" s="1685"/>
      <c r="AW105" s="1685"/>
      <c r="AX105" s="1685"/>
      <c r="AY105" s="1685"/>
      <c r="AZ105" s="1685"/>
      <c r="BA105" s="1685"/>
      <c r="BB105" s="1685"/>
      <c r="BC105" s="2002"/>
    </row>
    <row r="106" spans="2:59">
      <c r="B106" s="3292" t="s">
        <v>446</v>
      </c>
      <c r="C106" s="3291"/>
      <c r="D106" s="1469">
        <f t="shared" si="154"/>
        <v>-39.901845999999949</v>
      </c>
      <c r="E106" s="1469">
        <f>E97-E100</f>
        <v>-16.079560000000001</v>
      </c>
      <c r="F106" s="1469">
        <f t="shared" ref="F106:P106" si="162">F97-F100</f>
        <v>-2.240676999999998</v>
      </c>
      <c r="G106" s="1469">
        <f t="shared" si="162"/>
        <v>5.7596599999999967</v>
      </c>
      <c r="H106" s="1469">
        <f t="shared" si="162"/>
        <v>10.060732999999999</v>
      </c>
      <c r="I106" s="1469">
        <f t="shared" si="162"/>
        <v>18.833587000000009</v>
      </c>
      <c r="J106" s="1469">
        <f t="shared" si="162"/>
        <v>24.048585000000003</v>
      </c>
      <c r="K106" s="1469">
        <f t="shared" si="162"/>
        <v>11.609609000000006</v>
      </c>
      <c r="L106" s="1469">
        <f t="shared" si="162"/>
        <v>20.062840000000008</v>
      </c>
      <c r="M106" s="1469">
        <f t="shared" si="162"/>
        <v>10.989029000000009</v>
      </c>
      <c r="N106" s="1469">
        <f t="shared" si="162"/>
        <v>6.0653330000000096</v>
      </c>
      <c r="O106" s="1469">
        <f t="shared" si="162"/>
        <v>-32.466579999999993</v>
      </c>
      <c r="P106" s="1469">
        <f t="shared" si="162"/>
        <v>-96.544405000000012</v>
      </c>
      <c r="Q106" s="1469">
        <f t="shared" si="155"/>
        <v>0</v>
      </c>
      <c r="R106" s="1469">
        <f>R97-R100</f>
        <v>0</v>
      </c>
      <c r="S106" s="1469">
        <f t="shared" ref="S106:AC106" si="163">S97-S100</f>
        <v>0</v>
      </c>
      <c r="T106" s="1469">
        <f t="shared" si="163"/>
        <v>0</v>
      </c>
      <c r="U106" s="1469">
        <f t="shared" si="163"/>
        <v>0</v>
      </c>
      <c r="V106" s="1469">
        <f t="shared" si="163"/>
        <v>0</v>
      </c>
      <c r="W106" s="1469">
        <f t="shared" si="163"/>
        <v>0</v>
      </c>
      <c r="X106" s="1469">
        <f t="shared" si="163"/>
        <v>0</v>
      </c>
      <c r="Y106" s="1469">
        <f t="shared" si="163"/>
        <v>0</v>
      </c>
      <c r="Z106" s="1469">
        <f t="shared" si="163"/>
        <v>0</v>
      </c>
      <c r="AA106" s="1469">
        <f t="shared" si="163"/>
        <v>0</v>
      </c>
      <c r="AB106" s="1469">
        <f t="shared" si="163"/>
        <v>0</v>
      </c>
      <c r="AC106" s="1610">
        <f t="shared" si="163"/>
        <v>0</v>
      </c>
      <c r="AD106" s="1469">
        <f t="shared" si="156"/>
        <v>0</v>
      </c>
      <c r="AE106" s="1469">
        <f>AE97-AE100</f>
        <v>0</v>
      </c>
      <c r="AF106" s="1469">
        <f t="shared" ref="AF106:AP106" si="164">AF97-AF100</f>
        <v>0</v>
      </c>
      <c r="AG106" s="1469">
        <f t="shared" si="164"/>
        <v>0</v>
      </c>
      <c r="AH106" s="1469">
        <f t="shared" si="164"/>
        <v>0</v>
      </c>
      <c r="AI106" s="1469">
        <f t="shared" si="164"/>
        <v>0</v>
      </c>
      <c r="AJ106" s="1469">
        <f t="shared" si="164"/>
        <v>0</v>
      </c>
      <c r="AK106" s="1469">
        <f t="shared" si="164"/>
        <v>0</v>
      </c>
      <c r="AL106" s="1469">
        <f t="shared" si="164"/>
        <v>0</v>
      </c>
      <c r="AM106" s="1469">
        <f t="shared" si="164"/>
        <v>0</v>
      </c>
      <c r="AN106" s="1469">
        <f t="shared" si="164"/>
        <v>0</v>
      </c>
      <c r="AO106" s="1469">
        <f t="shared" si="164"/>
        <v>0</v>
      </c>
      <c r="AP106" s="2000">
        <f t="shared" si="164"/>
        <v>0</v>
      </c>
      <c r="AQ106" s="1469">
        <f t="shared" si="157"/>
        <v>0</v>
      </c>
      <c r="AR106" s="1469">
        <f>AR97-AR100</f>
        <v>0</v>
      </c>
      <c r="AS106" s="1469">
        <f t="shared" ref="AS106:BC106" si="165">AS97-AS100</f>
        <v>0</v>
      </c>
      <c r="AT106" s="1469">
        <f t="shared" si="165"/>
        <v>0</v>
      </c>
      <c r="AU106" s="1469">
        <f t="shared" si="165"/>
        <v>0</v>
      </c>
      <c r="AV106" s="1469">
        <f t="shared" si="165"/>
        <v>0</v>
      </c>
      <c r="AW106" s="1469">
        <f t="shared" si="165"/>
        <v>0</v>
      </c>
      <c r="AX106" s="1469">
        <f t="shared" si="165"/>
        <v>0</v>
      </c>
      <c r="AY106" s="1469">
        <f t="shared" si="165"/>
        <v>0</v>
      </c>
      <c r="AZ106" s="1469">
        <f t="shared" si="165"/>
        <v>0</v>
      </c>
      <c r="BA106" s="1469">
        <f t="shared" si="165"/>
        <v>0</v>
      </c>
      <c r="BB106" s="1469">
        <f t="shared" si="165"/>
        <v>0</v>
      </c>
      <c r="BC106" s="2000">
        <f t="shared" si="165"/>
        <v>0</v>
      </c>
    </row>
    <row r="107" spans="2:59">
      <c r="B107" s="1614"/>
      <c r="C107" s="1615"/>
      <c r="D107" s="1616"/>
      <c r="E107" s="1616"/>
      <c r="F107" s="1616"/>
      <c r="G107" s="1616"/>
      <c r="H107" s="1616"/>
      <c r="I107" s="1616"/>
      <c r="J107" s="1616"/>
      <c r="K107" s="1616"/>
      <c r="L107" s="1616"/>
      <c r="M107" s="1616"/>
      <c r="N107" s="1616"/>
      <c r="O107" s="1616"/>
      <c r="P107" s="1616"/>
      <c r="Q107" s="1616"/>
      <c r="R107" s="1616"/>
      <c r="S107" s="1616"/>
      <c r="T107" s="1616"/>
      <c r="U107" s="1616"/>
      <c r="V107" s="1616"/>
      <c r="W107" s="1616"/>
      <c r="X107" s="1616"/>
      <c r="Y107" s="1616"/>
      <c r="Z107" s="1616"/>
      <c r="AA107" s="1616"/>
      <c r="AB107" s="1616"/>
      <c r="AC107" s="1626"/>
      <c r="AD107" s="1616"/>
      <c r="AE107" s="1616"/>
      <c r="AF107" s="1616"/>
      <c r="AG107" s="1616"/>
      <c r="AH107" s="1616"/>
      <c r="AI107" s="1616"/>
      <c r="AJ107" s="1616"/>
      <c r="AK107" s="1616"/>
      <c r="AL107" s="1616"/>
      <c r="AM107" s="1616"/>
      <c r="AN107" s="1616"/>
      <c r="AO107" s="1616"/>
      <c r="AP107" s="1616"/>
      <c r="AQ107" s="1616"/>
      <c r="AR107" s="1616"/>
      <c r="AS107" s="1616"/>
      <c r="AT107" s="1616"/>
      <c r="AU107" s="1616"/>
      <c r="AV107" s="1616"/>
      <c r="AW107" s="1616"/>
      <c r="AX107" s="1616"/>
      <c r="AY107" s="1616"/>
      <c r="AZ107" s="1616"/>
      <c r="BA107" s="1616"/>
      <c r="BB107" s="1616"/>
      <c r="BC107" s="1616"/>
    </row>
    <row r="108" spans="2:59">
      <c r="B108" s="1614"/>
      <c r="C108" s="1615"/>
      <c r="D108" s="1616"/>
      <c r="E108" s="1618"/>
      <c r="F108" s="1618"/>
      <c r="G108" s="1618"/>
      <c r="H108" s="1618"/>
      <c r="I108" s="1618"/>
      <c r="J108" s="1618"/>
      <c r="K108" s="1618"/>
      <c r="L108" s="1618"/>
      <c r="M108" s="1618"/>
      <c r="N108" s="1618"/>
      <c r="O108" s="1618"/>
      <c r="P108" s="1618"/>
      <c r="Q108" s="1616"/>
      <c r="R108" s="1618"/>
      <c r="S108" s="1618"/>
      <c r="T108" s="1618"/>
      <c r="U108" s="1618"/>
      <c r="V108" s="1618"/>
      <c r="W108" s="1618"/>
      <c r="X108" s="1618"/>
      <c r="Y108" s="1618"/>
      <c r="Z108" s="1618"/>
      <c r="AA108" s="1618"/>
      <c r="AB108" s="1618"/>
      <c r="AC108" s="1619"/>
      <c r="AD108" s="1616"/>
      <c r="AE108" s="1618"/>
      <c r="AF108" s="1618"/>
      <c r="AG108" s="1618"/>
      <c r="AH108" s="1618"/>
      <c r="AI108" s="1618"/>
      <c r="AJ108" s="1618"/>
      <c r="AK108" s="1618"/>
      <c r="AL108" s="1618"/>
      <c r="AM108" s="1618"/>
      <c r="AN108" s="1618"/>
      <c r="AO108" s="1618"/>
      <c r="AP108" s="1618"/>
      <c r="AQ108" s="1616"/>
      <c r="AR108" s="1618"/>
      <c r="AS108" s="1617"/>
      <c r="AT108" s="1618"/>
      <c r="AU108" s="1618"/>
      <c r="AV108" s="1618"/>
      <c r="AW108" s="1618"/>
      <c r="AX108" s="1618"/>
      <c r="AY108" s="1618"/>
      <c r="AZ108" s="1618"/>
      <c r="BA108" s="1618"/>
      <c r="BB108" s="1618"/>
      <c r="BC108" s="1618"/>
    </row>
    <row r="109" spans="2:59">
      <c r="B109" s="1620" t="s">
        <v>513</v>
      </c>
      <c r="C109" s="1621"/>
      <c r="D109" s="2321"/>
      <c r="E109" s="1616"/>
      <c r="F109" s="1616"/>
      <c r="G109" s="1616"/>
      <c r="H109" s="1616"/>
      <c r="I109" s="1616"/>
      <c r="J109" s="1616"/>
      <c r="K109" s="1616"/>
      <c r="L109" s="1616"/>
      <c r="M109" s="1616"/>
      <c r="N109" s="1616"/>
      <c r="O109" s="1616"/>
      <c r="P109" s="1616"/>
      <c r="Q109" s="2321"/>
      <c r="R109" s="1617"/>
      <c r="S109" s="1616"/>
      <c r="T109" s="1616"/>
      <c r="U109" s="1616"/>
      <c r="V109" s="1616"/>
      <c r="W109" s="1616"/>
      <c r="X109" s="1616"/>
      <c r="Y109" s="1616"/>
      <c r="Z109" s="1616"/>
      <c r="AA109" s="1616"/>
      <c r="AB109" s="1616"/>
      <c r="AC109" s="1626"/>
      <c r="AD109" s="2321"/>
      <c r="AE109" s="1617"/>
      <c r="AF109" s="1617"/>
      <c r="AG109" s="1617"/>
      <c r="AH109" s="1617"/>
      <c r="AI109" s="1617"/>
      <c r="AJ109" s="1617"/>
      <c r="AK109" s="1617"/>
      <c r="AL109" s="1617"/>
      <c r="AM109" s="1617"/>
      <c r="AN109" s="1617"/>
      <c r="AO109" s="1617"/>
      <c r="AP109" s="1617"/>
      <c r="AQ109" s="2321"/>
      <c r="AR109" s="1617"/>
      <c r="AS109" s="1617"/>
      <c r="AT109" s="1616"/>
      <c r="AU109" s="1616"/>
      <c r="AV109" s="1616"/>
      <c r="AW109" s="1616"/>
      <c r="AX109" s="1616"/>
      <c r="AY109" s="1616"/>
      <c r="AZ109" s="1616"/>
      <c r="BA109" s="1616"/>
      <c r="BB109" s="1616"/>
      <c r="BC109" s="1616"/>
    </row>
    <row r="110" spans="2:59">
      <c r="B110" s="3282" t="s">
        <v>439</v>
      </c>
      <c r="C110" s="3283"/>
      <c r="D110" s="3275" t="s">
        <v>494</v>
      </c>
      <c r="E110" s="3276"/>
      <c r="F110" s="3276"/>
      <c r="G110" s="3276"/>
      <c r="H110" s="3276"/>
      <c r="I110" s="3276"/>
      <c r="J110" s="3276"/>
      <c r="K110" s="3276"/>
      <c r="L110" s="3276"/>
      <c r="M110" s="3276"/>
      <c r="N110" s="3276"/>
      <c r="O110" s="3276"/>
      <c r="P110" s="3295"/>
      <c r="Q110" s="3275" t="s">
        <v>546</v>
      </c>
      <c r="R110" s="3276"/>
      <c r="S110" s="3276"/>
      <c r="T110" s="3276"/>
      <c r="U110" s="3276"/>
      <c r="V110" s="3276"/>
      <c r="W110" s="3276"/>
      <c r="X110" s="3276"/>
      <c r="Y110" s="3276"/>
      <c r="Z110" s="3276"/>
      <c r="AA110" s="3276"/>
      <c r="AB110" s="3276"/>
      <c r="AC110" s="3298"/>
      <c r="AD110" s="3275" t="s">
        <v>572</v>
      </c>
      <c r="AE110" s="3276"/>
      <c r="AF110" s="3276"/>
      <c r="AG110" s="3276"/>
      <c r="AH110" s="3276"/>
      <c r="AI110" s="3276"/>
      <c r="AJ110" s="3276"/>
      <c r="AK110" s="3276"/>
      <c r="AL110" s="3276"/>
      <c r="AM110" s="3276"/>
      <c r="AN110" s="3276"/>
      <c r="AO110" s="3276"/>
      <c r="AP110" s="3276"/>
      <c r="AQ110" s="3277" t="s">
        <v>586</v>
      </c>
      <c r="AR110" s="3278"/>
      <c r="AS110" s="3278"/>
      <c r="AT110" s="3278"/>
      <c r="AU110" s="3278"/>
      <c r="AV110" s="3278"/>
      <c r="AW110" s="3278"/>
      <c r="AX110" s="3278"/>
      <c r="AY110" s="3278"/>
      <c r="AZ110" s="3278"/>
      <c r="BA110" s="3278"/>
      <c r="BB110" s="3278"/>
      <c r="BC110" s="3278"/>
    </row>
    <row r="111" spans="2:59">
      <c r="B111" s="3284"/>
      <c r="C111" s="3285"/>
      <c r="D111" s="1104" t="s">
        <v>492</v>
      </c>
      <c r="E111" s="1320" t="str">
        <f>E$34</f>
        <v>1월</v>
      </c>
      <c r="F111" s="1320" t="str">
        <f>F$34</f>
        <v>2월</v>
      </c>
      <c r="G111" s="1320" t="str">
        <f t="shared" ref="G111:P111" si="166">G$34</f>
        <v>3월</v>
      </c>
      <c r="H111" s="1320" t="str">
        <f t="shared" si="166"/>
        <v>4월</v>
      </c>
      <c r="I111" s="1320" t="str">
        <f t="shared" si="166"/>
        <v>5월</v>
      </c>
      <c r="J111" s="1320" t="str">
        <f t="shared" si="166"/>
        <v>6월</v>
      </c>
      <c r="K111" s="1320" t="str">
        <f t="shared" si="166"/>
        <v>7월</v>
      </c>
      <c r="L111" s="1320" t="str">
        <f t="shared" si="166"/>
        <v>8월</v>
      </c>
      <c r="M111" s="1320" t="str">
        <f t="shared" si="166"/>
        <v>9월</v>
      </c>
      <c r="N111" s="1320" t="str">
        <f t="shared" si="166"/>
        <v>10월</v>
      </c>
      <c r="O111" s="1320" t="str">
        <f t="shared" si="166"/>
        <v>11월</v>
      </c>
      <c r="P111" s="1320" t="str">
        <f t="shared" si="166"/>
        <v>12월</v>
      </c>
      <c r="Q111" s="1104" t="s">
        <v>492</v>
      </c>
      <c r="R111" s="1320" t="s">
        <v>2</v>
      </c>
      <c r="S111" s="1320" t="s">
        <v>440</v>
      </c>
      <c r="T111" s="1320" t="s">
        <v>4</v>
      </c>
      <c r="U111" s="1320" t="s">
        <v>5</v>
      </c>
      <c r="V111" s="1320" t="s">
        <v>6</v>
      </c>
      <c r="W111" s="1320" t="s">
        <v>7</v>
      </c>
      <c r="X111" s="1320" t="s">
        <v>8</v>
      </c>
      <c r="Y111" s="1320" t="s">
        <v>9</v>
      </c>
      <c r="Z111" s="1320" t="s">
        <v>10</v>
      </c>
      <c r="AA111" s="1320" t="s">
        <v>11</v>
      </c>
      <c r="AB111" s="1320" t="s">
        <v>441</v>
      </c>
      <c r="AC111" s="1609" t="s">
        <v>442</v>
      </c>
      <c r="AD111" s="1104" t="s">
        <v>492</v>
      </c>
      <c r="AE111" s="1320" t="s">
        <v>2</v>
      </c>
      <c r="AF111" s="1320" t="s">
        <v>440</v>
      </c>
      <c r="AG111" s="1320" t="s">
        <v>4</v>
      </c>
      <c r="AH111" s="1320" t="s">
        <v>5</v>
      </c>
      <c r="AI111" s="1320" t="s">
        <v>6</v>
      </c>
      <c r="AJ111" s="1320" t="s">
        <v>7</v>
      </c>
      <c r="AK111" s="1320" t="s">
        <v>8</v>
      </c>
      <c r="AL111" s="1320" t="s">
        <v>9</v>
      </c>
      <c r="AM111" s="1320" t="s">
        <v>10</v>
      </c>
      <c r="AN111" s="1320" t="s">
        <v>11</v>
      </c>
      <c r="AO111" s="1320" t="s">
        <v>441</v>
      </c>
      <c r="AP111" s="1915" t="s">
        <v>442</v>
      </c>
      <c r="AQ111" s="2792" t="s">
        <v>492</v>
      </c>
      <c r="AR111" s="2323" t="s">
        <v>2</v>
      </c>
      <c r="AS111" s="2323" t="s">
        <v>440</v>
      </c>
      <c r="AT111" s="2323" t="s">
        <v>4</v>
      </c>
      <c r="AU111" s="2323" t="s">
        <v>5</v>
      </c>
      <c r="AV111" s="2323" t="s">
        <v>6</v>
      </c>
      <c r="AW111" s="2323" t="s">
        <v>7</v>
      </c>
      <c r="AX111" s="2323" t="s">
        <v>8</v>
      </c>
      <c r="AY111" s="2323" t="s">
        <v>9</v>
      </c>
      <c r="AZ111" s="2323" t="s">
        <v>10</v>
      </c>
      <c r="BA111" s="2323" t="s">
        <v>11</v>
      </c>
      <c r="BB111" s="2323" t="s">
        <v>441</v>
      </c>
      <c r="BC111" s="2788" t="s">
        <v>442</v>
      </c>
    </row>
    <row r="112" spans="2:59">
      <c r="B112" s="3290" t="s">
        <v>426</v>
      </c>
      <c r="C112" s="3299"/>
      <c r="D112" s="1321">
        <f t="shared" ref="D112:D117" si="167">SUM(E112:P112)</f>
        <v>1874.4021550000002</v>
      </c>
      <c r="E112" s="1321">
        <f>+E113+E115</f>
        <v>20.109090999999999</v>
      </c>
      <c r="F112" s="1321">
        <f t="shared" ref="F112:P112" si="168">+F113+F115</f>
        <v>110.161018</v>
      </c>
      <c r="G112" s="1321">
        <f t="shared" si="168"/>
        <v>131.76477299999999</v>
      </c>
      <c r="H112" s="1321">
        <f t="shared" si="168"/>
        <v>164.691371</v>
      </c>
      <c r="I112" s="1321">
        <f t="shared" si="168"/>
        <v>202.553764</v>
      </c>
      <c r="J112" s="1321">
        <f t="shared" si="168"/>
        <v>300.05778600000002</v>
      </c>
      <c r="K112" s="1321">
        <f t="shared" si="168"/>
        <v>165.24955199999999</v>
      </c>
      <c r="L112" s="1321">
        <f t="shared" si="168"/>
        <v>326.20175599999999</v>
      </c>
      <c r="M112" s="1321">
        <f t="shared" si="168"/>
        <v>223.869865</v>
      </c>
      <c r="N112" s="1321">
        <f t="shared" si="168"/>
        <v>112.38791000000001</v>
      </c>
      <c r="O112" s="1321">
        <f>+O113+O115</f>
        <v>81.183922999999993</v>
      </c>
      <c r="P112" s="1321">
        <f t="shared" si="168"/>
        <v>36.171346</v>
      </c>
      <c r="Q112" s="1321">
        <f t="shared" ref="Q112:Q117" si="169">SUM(R112:AC112)</f>
        <v>7514.3249140000007</v>
      </c>
      <c r="R112" s="1321">
        <f>+R113+R115+R114</f>
        <v>111.86465200000001</v>
      </c>
      <c r="S112" s="1321">
        <f t="shared" ref="S112:AC112" si="170">+S113+S115+S114</f>
        <v>346.709182</v>
      </c>
      <c r="T112" s="1321">
        <f t="shared" si="170"/>
        <v>79.96000699999999</v>
      </c>
      <c r="U112" s="1321">
        <f t="shared" si="170"/>
        <v>343.19926399999997</v>
      </c>
      <c r="V112" s="1321">
        <f t="shared" si="170"/>
        <v>179.29388300000002</v>
      </c>
      <c r="W112" s="1321">
        <f t="shared" si="170"/>
        <v>85.896609000000012</v>
      </c>
      <c r="X112" s="1321">
        <f t="shared" si="170"/>
        <v>161.87836299999998</v>
      </c>
      <c r="Y112" s="1321">
        <f t="shared" si="170"/>
        <v>913.38508899999999</v>
      </c>
      <c r="Z112" s="1321">
        <f t="shared" si="170"/>
        <v>839.36853500000007</v>
      </c>
      <c r="AA112" s="1321">
        <f t="shared" si="170"/>
        <v>1381.0750829999999</v>
      </c>
      <c r="AB112" s="1321">
        <f t="shared" si="170"/>
        <v>1196.656281</v>
      </c>
      <c r="AC112" s="1628">
        <f t="shared" si="170"/>
        <v>1875.0379660000001</v>
      </c>
      <c r="AD112" s="1469">
        <f t="shared" ref="AD112:AD117" si="171">SUM(AE112:AP112)</f>
        <v>6682.7623180000019</v>
      </c>
      <c r="AE112" s="1321">
        <f>+AE113+AE115+AE114</f>
        <v>1527.4284990000001</v>
      </c>
      <c r="AF112" s="1321">
        <f t="shared" ref="AF112:AP112" si="172">+AF113+AF115+AF114</f>
        <v>1596.8165239999998</v>
      </c>
      <c r="AG112" s="1321">
        <f t="shared" si="172"/>
        <v>940.10444500000006</v>
      </c>
      <c r="AH112" s="1321">
        <f t="shared" si="172"/>
        <v>634.80070599999999</v>
      </c>
      <c r="AI112" s="1321">
        <f t="shared" si="172"/>
        <v>548.92405799999995</v>
      </c>
      <c r="AJ112" s="1321">
        <f t="shared" si="172"/>
        <v>473.02215399999994</v>
      </c>
      <c r="AK112" s="1321">
        <f t="shared" si="172"/>
        <v>370.68985399999997</v>
      </c>
      <c r="AL112" s="1321">
        <f t="shared" si="172"/>
        <v>87.621651</v>
      </c>
      <c r="AM112" s="1321">
        <f t="shared" si="172"/>
        <v>239.821482</v>
      </c>
      <c r="AN112" s="1321">
        <f t="shared" si="172"/>
        <v>176.81286900000001</v>
      </c>
      <c r="AO112" s="1321">
        <f t="shared" si="172"/>
        <v>50.962745999999996</v>
      </c>
      <c r="AP112" s="2004">
        <f t="shared" si="172"/>
        <v>35.757329999999996</v>
      </c>
      <c r="AQ112" s="1469">
        <f t="shared" ref="AQ112:AQ117" si="173">SUM(AR112:BC112)</f>
        <v>727.00000000000034</v>
      </c>
      <c r="AR112" s="1321">
        <f>+AR113+AR115+AR114</f>
        <v>60.583333333333343</v>
      </c>
      <c r="AS112" s="1321">
        <f t="shared" ref="AS112:BC112" si="174">+AS113+AS115+AS114</f>
        <v>60.583333333333343</v>
      </c>
      <c r="AT112" s="1321">
        <f t="shared" si="174"/>
        <v>60.583333333333343</v>
      </c>
      <c r="AU112" s="1321">
        <f t="shared" si="174"/>
        <v>60.583333333333343</v>
      </c>
      <c r="AV112" s="1321">
        <f t="shared" si="174"/>
        <v>60.583333333333343</v>
      </c>
      <c r="AW112" s="1321">
        <f t="shared" si="174"/>
        <v>60.583333333333343</v>
      </c>
      <c r="AX112" s="1321">
        <f t="shared" si="174"/>
        <v>60.583333333333343</v>
      </c>
      <c r="AY112" s="1321">
        <f t="shared" si="174"/>
        <v>60.583333333333343</v>
      </c>
      <c r="AZ112" s="1321">
        <f t="shared" si="174"/>
        <v>60.583333333333343</v>
      </c>
      <c r="BA112" s="1321">
        <f t="shared" si="174"/>
        <v>60.583333333333343</v>
      </c>
      <c r="BB112" s="1321">
        <f t="shared" si="174"/>
        <v>60.583333333333343</v>
      </c>
      <c r="BC112" s="2004">
        <f t="shared" si="174"/>
        <v>60.583333333333343</v>
      </c>
      <c r="BG112" s="489"/>
    </row>
    <row r="113" spans="2:60">
      <c r="B113" s="3281"/>
      <c r="C113" s="1629" t="s">
        <v>458</v>
      </c>
      <c r="D113" s="1473">
        <f t="shared" si="167"/>
        <v>1855.9608090000002</v>
      </c>
      <c r="E113" s="1322">
        <v>20.109090999999999</v>
      </c>
      <c r="F113" s="1322">
        <v>110.161018</v>
      </c>
      <c r="G113" s="1322">
        <v>131.76477299999999</v>
      </c>
      <c r="H113" s="1322">
        <v>164.691371</v>
      </c>
      <c r="I113" s="1322">
        <v>202.553764</v>
      </c>
      <c r="J113" s="1322">
        <v>300.05778600000002</v>
      </c>
      <c r="K113" s="1322">
        <v>165.24955199999999</v>
      </c>
      <c r="L113" s="1322">
        <v>326.20175599999999</v>
      </c>
      <c r="M113" s="1322">
        <v>223.869865</v>
      </c>
      <c r="N113" s="1322">
        <v>112.38791000000001</v>
      </c>
      <c r="O113" s="1322">
        <f>81.183923</f>
        <v>81.183922999999993</v>
      </c>
      <c r="P113" s="1322">
        <v>17.73</v>
      </c>
      <c r="Q113" s="1473">
        <f t="shared" si="169"/>
        <v>5127.9677329999995</v>
      </c>
      <c r="R113" s="1471">
        <v>54.635999999999996</v>
      </c>
      <c r="S113" s="1471">
        <v>176.125</v>
      </c>
      <c r="T113" s="1769">
        <v>-0.81399999999999995</v>
      </c>
      <c r="U113" s="1471">
        <v>0</v>
      </c>
      <c r="V113" s="1471">
        <v>0.57674999999999998</v>
      </c>
      <c r="W113" s="1471">
        <v>0.64836800000000006</v>
      </c>
      <c r="X113" s="1471">
        <v>31.579276</v>
      </c>
      <c r="Y113" s="1471">
        <v>735.26803900000004</v>
      </c>
      <c r="Z113" s="1471">
        <v>719.00670000000002</v>
      </c>
      <c r="AA113" s="1471">
        <v>1014.937964</v>
      </c>
      <c r="AB113" s="1471">
        <v>1068.0849000000001</v>
      </c>
      <c r="AC113" s="1612">
        <v>1327.9187360000001</v>
      </c>
      <c r="AD113" s="1473">
        <f t="shared" si="171"/>
        <v>4557.1335120000003</v>
      </c>
      <c r="AE113" s="1471">
        <v>1115.276955</v>
      </c>
      <c r="AF113" s="1471">
        <v>1182.982882</v>
      </c>
      <c r="AG113" s="1769">
        <v>830.17520000000002</v>
      </c>
      <c r="AH113" s="1471">
        <v>395.34010000000001</v>
      </c>
      <c r="AI113" s="1471">
        <v>407.817273</v>
      </c>
      <c r="AJ113" s="1471">
        <v>371.84159099999999</v>
      </c>
      <c r="AK113" s="1471">
        <v>142.414782</v>
      </c>
      <c r="AL113" s="1471">
        <v>26.363181999999998</v>
      </c>
      <c r="AM113" s="1471">
        <v>39.921363999999997</v>
      </c>
      <c r="AN113" s="1471">
        <v>16.122091000000001</v>
      </c>
      <c r="AO113" s="1471">
        <v>19.851364</v>
      </c>
      <c r="AP113" s="1471">
        <v>9.0267280000000003</v>
      </c>
      <c r="AQ113" s="1473">
        <f t="shared" si="173"/>
        <v>483.00000000000006</v>
      </c>
      <c r="AR113" s="1471">
        <v>40.250000000000007</v>
      </c>
      <c r="AS113" s="1471">
        <v>40.250000000000007</v>
      </c>
      <c r="AT113" s="1769">
        <v>40.250000000000007</v>
      </c>
      <c r="AU113" s="1471">
        <v>40.250000000000007</v>
      </c>
      <c r="AV113" s="1471">
        <v>40.250000000000007</v>
      </c>
      <c r="AW113" s="1471">
        <v>40.250000000000007</v>
      </c>
      <c r="AX113" s="1471">
        <v>40.250000000000007</v>
      </c>
      <c r="AY113" s="1471">
        <v>40.250000000000007</v>
      </c>
      <c r="AZ113" s="1471">
        <v>40.250000000000007</v>
      </c>
      <c r="BA113" s="1471">
        <v>40.250000000000007</v>
      </c>
      <c r="BB113" s="1471">
        <v>40.250000000000007</v>
      </c>
      <c r="BC113" s="2001">
        <v>40.250000000000007</v>
      </c>
      <c r="BG113" s="371"/>
    </row>
    <row r="114" spans="2:60">
      <c r="B114" s="3281"/>
      <c r="C114" s="1629" t="s">
        <v>535</v>
      </c>
      <c r="D114" s="1473">
        <f t="shared" si="167"/>
        <v>0</v>
      </c>
      <c r="E114" s="1322"/>
      <c r="F114" s="1322"/>
      <c r="G114" s="1322"/>
      <c r="H114" s="1322"/>
      <c r="I114" s="1322"/>
      <c r="J114" s="1322"/>
      <c r="K114" s="1322"/>
      <c r="L114" s="1322"/>
      <c r="M114" s="1322"/>
      <c r="N114" s="1322"/>
      <c r="O114" s="1322"/>
      <c r="P114" s="1322"/>
      <c r="Q114" s="1473">
        <f t="shared" si="169"/>
        <v>1904.4578869999998</v>
      </c>
      <c r="R114" s="1471">
        <v>27.272727</v>
      </c>
      <c r="S114" s="1471">
        <v>141.379932</v>
      </c>
      <c r="T114" s="1471">
        <v>51.08</v>
      </c>
      <c r="U114" s="1471">
        <v>55.565227</v>
      </c>
      <c r="V114" s="1471">
        <v>163.31681700000001</v>
      </c>
      <c r="W114" s="1471">
        <v>77.747386000000006</v>
      </c>
      <c r="X114" s="1471">
        <v>115.942787</v>
      </c>
      <c r="Y114" s="1471">
        <v>164.31813600000001</v>
      </c>
      <c r="Z114" s="1471">
        <v>112.301608</v>
      </c>
      <c r="AA114" s="1471">
        <v>354.18676399999998</v>
      </c>
      <c r="AB114" s="1471">
        <v>112.608152</v>
      </c>
      <c r="AC114" s="1612">
        <v>528.73835099999997</v>
      </c>
      <c r="AD114" s="1473">
        <f t="shared" si="171"/>
        <v>1870.069164</v>
      </c>
      <c r="AE114" s="1471">
        <f>374.047986+22.636363</f>
        <v>396.684349</v>
      </c>
      <c r="AF114" s="1471">
        <v>393.60609299999999</v>
      </c>
      <c r="AG114" s="1471">
        <v>83.565235999999999</v>
      </c>
      <c r="AH114" s="1471">
        <v>217.56419099999999</v>
      </c>
      <c r="AI114" s="1471">
        <v>120.0579</v>
      </c>
      <c r="AJ114" s="1471">
        <v>67.264439999999993</v>
      </c>
      <c r="AK114" s="1471">
        <v>205.49157299999999</v>
      </c>
      <c r="AL114" s="1471">
        <f>35.14155+9.090909</f>
        <v>44.232459000000006</v>
      </c>
      <c r="AM114" s="1471">
        <v>170.89327299999999</v>
      </c>
      <c r="AN114" s="1471">
        <v>139.22606300000001</v>
      </c>
      <c r="AO114" s="1471">
        <v>17.766954999999999</v>
      </c>
      <c r="AP114" s="1471">
        <v>13.716632000000001</v>
      </c>
      <c r="AQ114" s="1473">
        <f t="shared" si="173"/>
        <v>223.99999999999997</v>
      </c>
      <c r="AR114" s="1471">
        <v>18.666666666666668</v>
      </c>
      <c r="AS114" s="1471">
        <v>18.666666666666668</v>
      </c>
      <c r="AT114" s="1471">
        <v>18.666666666666668</v>
      </c>
      <c r="AU114" s="1471">
        <v>18.666666666666668</v>
      </c>
      <c r="AV114" s="1471">
        <v>18.666666666666668</v>
      </c>
      <c r="AW114" s="1471">
        <v>18.666666666666668</v>
      </c>
      <c r="AX114" s="1471">
        <v>18.666666666666668</v>
      </c>
      <c r="AY114" s="1471">
        <v>18.666666666666668</v>
      </c>
      <c r="AZ114" s="1471">
        <v>18.666666666666668</v>
      </c>
      <c r="BA114" s="1471">
        <v>18.666666666666668</v>
      </c>
      <c r="BB114" s="1471">
        <v>18.666666666666668</v>
      </c>
      <c r="BC114" s="2001">
        <v>18.666666666666668</v>
      </c>
      <c r="BF114" s="2874"/>
      <c r="BG114" s="489"/>
      <c r="BH114" s="489"/>
    </row>
    <row r="115" spans="2:60">
      <c r="B115" s="3289"/>
      <c r="C115" s="1629" t="s">
        <v>536</v>
      </c>
      <c r="D115" s="1473">
        <f t="shared" si="167"/>
        <v>18.441345999999999</v>
      </c>
      <c r="E115" s="1322"/>
      <c r="F115" s="1322"/>
      <c r="G115" s="1322"/>
      <c r="H115" s="1322"/>
      <c r="I115" s="1322"/>
      <c r="J115" s="1322"/>
      <c r="K115" s="1322"/>
      <c r="L115" s="1322"/>
      <c r="M115" s="1322"/>
      <c r="N115" s="1322"/>
      <c r="O115" s="1322"/>
      <c r="P115" s="1322">
        <v>18.441345999999999</v>
      </c>
      <c r="Q115" s="1473">
        <f t="shared" si="169"/>
        <v>481.89929399999994</v>
      </c>
      <c r="R115" s="1322">
        <v>29.955925000000001</v>
      </c>
      <c r="S115" s="1322">
        <v>29.204249999999998</v>
      </c>
      <c r="T115" s="1322">
        <v>29.694006999999999</v>
      </c>
      <c r="U115" s="1322">
        <v>287.63403699999998</v>
      </c>
      <c r="V115" s="1322">
        <v>15.400316</v>
      </c>
      <c r="W115" s="1322">
        <v>7.5008549999999996</v>
      </c>
      <c r="X115" s="1322">
        <v>14.356299999999999</v>
      </c>
      <c r="Y115" s="1322">
        <v>13.798914</v>
      </c>
      <c r="Z115" s="1322">
        <v>8.0602269999999994</v>
      </c>
      <c r="AA115" s="1322">
        <v>11.950355</v>
      </c>
      <c r="AB115" s="1322">
        <v>15.963229</v>
      </c>
      <c r="AC115" s="1630">
        <v>18.380879</v>
      </c>
      <c r="AD115" s="1473">
        <f t="shared" si="171"/>
        <v>255.55964200000003</v>
      </c>
      <c r="AE115" s="1322">
        <v>15.467195</v>
      </c>
      <c r="AF115" s="1322">
        <v>20.227549</v>
      </c>
      <c r="AG115" s="1322">
        <v>26.364008999999999</v>
      </c>
      <c r="AH115" s="1322">
        <v>21.896415000000001</v>
      </c>
      <c r="AI115" s="1322">
        <v>21.048884999999999</v>
      </c>
      <c r="AJ115" s="1322">
        <v>33.916122999999999</v>
      </c>
      <c r="AK115" s="1471">
        <v>22.783498999999999</v>
      </c>
      <c r="AL115" s="1322">
        <v>17.026009999999999</v>
      </c>
      <c r="AM115" s="1322">
        <v>29.006844999999998</v>
      </c>
      <c r="AN115" s="1322">
        <v>21.464715000000002</v>
      </c>
      <c r="AO115" s="1322">
        <v>13.344427</v>
      </c>
      <c r="AP115" s="1322">
        <v>13.01397</v>
      </c>
      <c r="AQ115" s="1473">
        <f t="shared" si="173"/>
        <v>20.000000000000011</v>
      </c>
      <c r="AR115" s="1322">
        <v>1.666666666666667</v>
      </c>
      <c r="AS115" s="1322">
        <v>1.666666666666667</v>
      </c>
      <c r="AT115" s="1322">
        <v>1.666666666666667</v>
      </c>
      <c r="AU115" s="1322">
        <v>1.666666666666667</v>
      </c>
      <c r="AV115" s="1322">
        <v>1.666666666666667</v>
      </c>
      <c r="AW115" s="1322">
        <v>1.666666666666667</v>
      </c>
      <c r="AX115" s="1471">
        <v>1.666666666666667</v>
      </c>
      <c r="AY115" s="1322">
        <v>1.666666666666667</v>
      </c>
      <c r="AZ115" s="1322">
        <v>1.666666666666667</v>
      </c>
      <c r="BA115" s="1322">
        <v>1.666666666666667</v>
      </c>
      <c r="BB115" s="1322">
        <v>1.666666666666667</v>
      </c>
      <c r="BC115" s="2791">
        <v>1.666666666666667</v>
      </c>
      <c r="BF115" s="2875"/>
      <c r="BG115" s="489"/>
      <c r="BH115" s="489"/>
    </row>
    <row r="116" spans="2:60">
      <c r="B116" s="3290" t="s">
        <v>444</v>
      </c>
      <c r="C116" s="3299"/>
      <c r="D116" s="1321">
        <f t="shared" si="167"/>
        <v>2146.2660639999999</v>
      </c>
      <c r="E116" s="1321">
        <f>+E117+E118+E120+E123</f>
        <v>97.038691999999998</v>
      </c>
      <c r="F116" s="1321">
        <f t="shared" ref="F116:P116" si="175">+F117+F118+F120+F123</f>
        <v>102.33605</v>
      </c>
      <c r="G116" s="1321">
        <f t="shared" si="175"/>
        <v>112.232133</v>
      </c>
      <c r="H116" s="1321">
        <f t="shared" si="175"/>
        <v>149.46356800000001</v>
      </c>
      <c r="I116" s="1321">
        <f t="shared" si="175"/>
        <v>188.549995</v>
      </c>
      <c r="J116" s="1321">
        <f t="shared" si="175"/>
        <v>281.28917799999999</v>
      </c>
      <c r="K116" s="1321">
        <f t="shared" si="175"/>
        <v>200.90660199999999</v>
      </c>
      <c r="L116" s="1321">
        <f t="shared" si="175"/>
        <v>356.44291799999996</v>
      </c>
      <c r="M116" s="1321">
        <f t="shared" si="175"/>
        <v>212.15924800000002</v>
      </c>
      <c r="N116" s="1321">
        <f t="shared" si="175"/>
        <v>144.97785199999998</v>
      </c>
      <c r="O116" s="1321">
        <f t="shared" si="175"/>
        <v>216.69119900000001</v>
      </c>
      <c r="P116" s="1321">
        <f t="shared" si="175"/>
        <v>84.178629000000001</v>
      </c>
      <c r="Q116" s="1321">
        <f t="shared" si="169"/>
        <v>6264.9926190000006</v>
      </c>
      <c r="R116" s="1321">
        <f>+R117+R118+R120+R123+R122</f>
        <v>126.73438499999999</v>
      </c>
      <c r="S116" s="1321">
        <f t="shared" ref="S116:AC116" si="176">+S117+S118+S120+S123+S122</f>
        <v>281.149</v>
      </c>
      <c r="T116" s="1321">
        <f t="shared" si="176"/>
        <v>92.140657000000004</v>
      </c>
      <c r="U116" s="1321">
        <f t="shared" si="176"/>
        <v>490.86526400000002</v>
      </c>
      <c r="V116" s="1321">
        <f t="shared" si="176"/>
        <v>10.935503000000001</v>
      </c>
      <c r="W116" s="1321">
        <f t="shared" si="176"/>
        <v>126.99837599999999</v>
      </c>
      <c r="X116" s="1321">
        <f t="shared" si="176"/>
        <v>270.80061699999999</v>
      </c>
      <c r="Y116" s="1321">
        <f t="shared" si="176"/>
        <v>771.62408000000005</v>
      </c>
      <c r="Z116" s="1321">
        <f t="shared" si="176"/>
        <v>783.57285600000012</v>
      </c>
      <c r="AA116" s="1321">
        <f t="shared" si="176"/>
        <v>1085.5562170000001</v>
      </c>
      <c r="AB116" s="1321">
        <f t="shared" si="176"/>
        <v>1069.1503950000001</v>
      </c>
      <c r="AC116" s="1628">
        <f t="shared" si="176"/>
        <v>1155.4652689999998</v>
      </c>
      <c r="AD116" s="1321">
        <f t="shared" si="171"/>
        <v>6981.0396079999991</v>
      </c>
      <c r="AE116" s="1321">
        <f>SUM(AE117:AE123)</f>
        <v>1272.8632579999999</v>
      </c>
      <c r="AF116" s="1321">
        <f t="shared" ref="AF116:AP116" si="177">SUM(AF117:AF123)</f>
        <v>1570.7653760000001</v>
      </c>
      <c r="AG116" s="1321">
        <f t="shared" si="177"/>
        <v>1005.157839</v>
      </c>
      <c r="AH116" s="1321">
        <f t="shared" si="177"/>
        <v>630.88975799999992</v>
      </c>
      <c r="AI116" s="1321">
        <f t="shared" si="177"/>
        <v>669.77689399999997</v>
      </c>
      <c r="AJ116" s="1321">
        <f t="shared" si="177"/>
        <v>560.06113800000003</v>
      </c>
      <c r="AK116" s="1321">
        <f t="shared" si="177"/>
        <v>306.14403500000003</v>
      </c>
      <c r="AL116" s="1321">
        <f t="shared" si="177"/>
        <v>234.49428399999999</v>
      </c>
      <c r="AM116" s="1321">
        <f t="shared" si="177"/>
        <v>246.25167099999999</v>
      </c>
      <c r="AN116" s="1321">
        <f t="shared" si="177"/>
        <v>221.84187900000001</v>
      </c>
      <c r="AO116" s="1321">
        <f t="shared" si="177"/>
        <v>128.82553799999999</v>
      </c>
      <c r="AP116" s="2004">
        <f t="shared" si="177"/>
        <v>133.967938</v>
      </c>
      <c r="AQ116" s="1321">
        <f t="shared" si="173"/>
        <v>726.73240735715456</v>
      </c>
      <c r="AR116" s="2004">
        <f t="shared" ref="AR116" si="178">SUM(AR117:AR123)</f>
        <v>60.561033946429539</v>
      </c>
      <c r="AS116" s="1321">
        <f t="shared" ref="AS116" si="179">SUM(AS117:AS123)</f>
        <v>60.561033946429539</v>
      </c>
      <c r="AT116" s="1321">
        <f t="shared" ref="AT116" si="180">SUM(AT117:AT123)</f>
        <v>60.561033946429539</v>
      </c>
      <c r="AU116" s="1321">
        <f t="shared" ref="AU116" si="181">SUM(AU117:AU123)</f>
        <v>60.561033946429539</v>
      </c>
      <c r="AV116" s="1321">
        <f t="shared" ref="AV116" si="182">SUM(AV117:AV123)</f>
        <v>60.561033946429539</v>
      </c>
      <c r="AW116" s="1321">
        <f t="shared" ref="AW116" si="183">SUM(AW117:AW123)</f>
        <v>60.561033946429539</v>
      </c>
      <c r="AX116" s="1321">
        <f t="shared" ref="AX116" si="184">SUM(AX117:AX123)</f>
        <v>60.561033946429539</v>
      </c>
      <c r="AY116" s="1321">
        <f t="shared" ref="AY116" si="185">SUM(AY117:AY123)</f>
        <v>60.561033946429539</v>
      </c>
      <c r="AZ116" s="1321">
        <f t="shared" ref="AZ116" si="186">SUM(AZ117:AZ123)</f>
        <v>60.561033946429539</v>
      </c>
      <c r="BA116" s="1321">
        <f t="shared" ref="BA116" si="187">SUM(BA117:BA123)</f>
        <v>60.561033946429539</v>
      </c>
      <c r="BB116" s="1321">
        <f t="shared" ref="BB116" si="188">SUM(BB117:BB123)</f>
        <v>60.561033946429539</v>
      </c>
      <c r="BC116" s="2004">
        <f t="shared" ref="BC116" si="189">SUM(BC117:BC123)</f>
        <v>60.561033946429539</v>
      </c>
    </row>
    <row r="117" spans="2:60">
      <c r="B117" s="3281"/>
      <c r="C117" s="1611" t="s">
        <v>509</v>
      </c>
      <c r="D117" s="1473">
        <f t="shared" si="167"/>
        <v>0</v>
      </c>
      <c r="E117" s="1322"/>
      <c r="F117" s="1322"/>
      <c r="G117" s="1322"/>
      <c r="H117" s="1322"/>
      <c r="I117" s="1322"/>
      <c r="J117" s="1322"/>
      <c r="K117" s="1322"/>
      <c r="L117" s="1322"/>
      <c r="M117" s="1322"/>
      <c r="N117" s="1322"/>
      <c r="O117" s="1322"/>
      <c r="P117" s="1322"/>
      <c r="Q117" s="1473">
        <f t="shared" si="169"/>
        <v>0</v>
      </c>
      <c r="R117" s="1322"/>
      <c r="S117" s="1322"/>
      <c r="T117" s="1322"/>
      <c r="U117" s="1322"/>
      <c r="V117" s="1322"/>
      <c r="W117" s="1322"/>
      <c r="X117" s="1322"/>
      <c r="Y117" s="1322"/>
      <c r="Z117" s="1322"/>
      <c r="AA117" s="1322"/>
      <c r="AB117" s="1322"/>
      <c r="AC117" s="1630">
        <v>0</v>
      </c>
      <c r="AD117" s="1473">
        <f t="shared" si="171"/>
        <v>0</v>
      </c>
      <c r="AE117" s="1322"/>
      <c r="AF117" s="1322"/>
      <c r="AG117" s="1322"/>
      <c r="AH117" s="1322"/>
      <c r="AI117" s="1322"/>
      <c r="AJ117" s="1322"/>
      <c r="AK117" s="1322"/>
      <c r="AL117" s="1322"/>
      <c r="AM117" s="1322"/>
      <c r="AN117" s="1322"/>
      <c r="AO117" s="1322"/>
      <c r="AP117" s="1322"/>
      <c r="AQ117" s="1473">
        <f t="shared" si="173"/>
        <v>0</v>
      </c>
      <c r="AR117" s="1322"/>
      <c r="AS117" s="1322"/>
      <c r="AT117" s="1322"/>
      <c r="AU117" s="1322"/>
      <c r="AV117" s="1322"/>
      <c r="AW117" s="1322"/>
      <c r="AX117" s="1322"/>
      <c r="AY117" s="1322"/>
      <c r="AZ117" s="1322"/>
      <c r="BA117" s="1322"/>
      <c r="BB117" s="1322"/>
      <c r="BC117" s="2791"/>
    </row>
    <row r="118" spans="2:60">
      <c r="B118" s="3281"/>
      <c r="C118" s="1611" t="s">
        <v>427</v>
      </c>
      <c r="D118" s="1473">
        <f t="shared" ref="D118:D123" si="190">SUM(E118:P118)</f>
        <v>1019.611</v>
      </c>
      <c r="E118" s="1322">
        <v>0</v>
      </c>
      <c r="F118" s="1322">
        <v>0</v>
      </c>
      <c r="G118" s="1322">
        <v>19.884</v>
      </c>
      <c r="H118" s="1322">
        <v>63.707000000000001</v>
      </c>
      <c r="I118" s="1322">
        <v>100.277</v>
      </c>
      <c r="J118" s="1322">
        <v>196.16399999999999</v>
      </c>
      <c r="K118" s="1322">
        <v>120.601</v>
      </c>
      <c r="L118" s="1322">
        <v>241.88399999999999</v>
      </c>
      <c r="M118" s="1322">
        <v>154.95500000000001</v>
      </c>
      <c r="N118" s="1322">
        <v>46.104999999999997</v>
      </c>
      <c r="O118" s="1322">
        <v>60.923999999999999</v>
      </c>
      <c r="P118" s="1322">
        <v>15.11</v>
      </c>
      <c r="Q118" s="1473">
        <f t="shared" ref="Q118:Q123" si="191">SUM(R118:AC118)</f>
        <v>4393.0431339999996</v>
      </c>
      <c r="R118" s="1471">
        <v>54.635999999999996</v>
      </c>
      <c r="S118" s="1471">
        <v>176.38499999999999</v>
      </c>
      <c r="T118" s="1471"/>
      <c r="U118" s="1471"/>
      <c r="V118" s="1471">
        <v>0.72252700000000003</v>
      </c>
      <c r="W118" s="1471">
        <v>0.38418200000000002</v>
      </c>
      <c r="X118" s="1471">
        <v>29.643661999999999</v>
      </c>
      <c r="Y118" s="1471">
        <v>625.79311700000005</v>
      </c>
      <c r="Z118" s="1471">
        <v>631.45015599999999</v>
      </c>
      <c r="AA118" s="1471">
        <v>908.68269999999995</v>
      </c>
      <c r="AB118" s="1471">
        <v>945.77512300000001</v>
      </c>
      <c r="AC118" s="1612">
        <v>1019.570667</v>
      </c>
      <c r="AD118" s="1473">
        <f t="shared" ref="AD118:AD123" si="192">SUM(AE118:AP118)</f>
        <v>4110.1410990000004</v>
      </c>
      <c r="AE118" s="1471">
        <v>1010.637614</v>
      </c>
      <c r="AF118" s="1471">
        <v>1115.4830890000001</v>
      </c>
      <c r="AG118" s="1471">
        <v>736.42629499999998</v>
      </c>
      <c r="AH118" s="1471">
        <v>356.04093799999998</v>
      </c>
      <c r="AI118" s="1471">
        <v>360.73239100000001</v>
      </c>
      <c r="AJ118" s="1471">
        <v>384.62599799999998</v>
      </c>
      <c r="AK118" s="1471">
        <v>112.820035</v>
      </c>
      <c r="AL118" s="1471"/>
      <c r="AM118" s="1471">
        <v>15.3726</v>
      </c>
      <c r="AN118" s="1471">
        <v>5.5346450000000003</v>
      </c>
      <c r="AO118" s="1471">
        <v>6.6244360000000002</v>
      </c>
      <c r="AP118" s="1471">
        <v>5.8430580000000001</v>
      </c>
      <c r="AQ118" s="1473">
        <f t="shared" ref="AQ118:AQ123" si="193">SUM(AR118:BC118)</f>
        <v>214.99999999999991</v>
      </c>
      <c r="AR118" s="1471">
        <v>17.916666666666664</v>
      </c>
      <c r="AS118" s="1471">
        <v>17.916666666666664</v>
      </c>
      <c r="AT118" s="1471">
        <v>17.916666666666664</v>
      </c>
      <c r="AU118" s="1471">
        <v>17.916666666666664</v>
      </c>
      <c r="AV118" s="1471">
        <v>17.916666666666664</v>
      </c>
      <c r="AW118" s="1471">
        <v>17.916666666666664</v>
      </c>
      <c r="AX118" s="1471">
        <v>17.916666666666664</v>
      </c>
      <c r="AY118" s="1471">
        <v>17.916666666666664</v>
      </c>
      <c r="AZ118" s="1471">
        <v>17.916666666666664</v>
      </c>
      <c r="BA118" s="1471">
        <v>17.916666666666664</v>
      </c>
      <c r="BB118" s="1471">
        <v>17.916666666666664</v>
      </c>
      <c r="BC118" s="2001">
        <v>17.916666666666664</v>
      </c>
    </row>
    <row r="119" spans="2:60">
      <c r="B119" s="3281"/>
      <c r="C119" s="1611" t="s">
        <v>418</v>
      </c>
      <c r="D119" s="1473">
        <f t="shared" si="190"/>
        <v>0</v>
      </c>
      <c r="E119" s="1322"/>
      <c r="F119" s="1322"/>
      <c r="G119" s="1322"/>
      <c r="H119" s="1322"/>
      <c r="I119" s="1322"/>
      <c r="J119" s="1322"/>
      <c r="K119" s="1322"/>
      <c r="L119" s="1322"/>
      <c r="M119" s="1322"/>
      <c r="N119" s="1322"/>
      <c r="O119" s="1322"/>
      <c r="P119" s="1322"/>
      <c r="Q119" s="1473">
        <f t="shared" si="191"/>
        <v>0</v>
      </c>
      <c r="R119" s="1471"/>
      <c r="S119" s="1471"/>
      <c r="T119" s="1471"/>
      <c r="U119" s="1471"/>
      <c r="V119" s="1471"/>
      <c r="W119" s="1471"/>
      <c r="X119" s="1471"/>
      <c r="Y119" s="1471"/>
      <c r="Z119" s="1471"/>
      <c r="AA119" s="1471"/>
      <c r="AB119" s="1471"/>
      <c r="AC119" s="1612"/>
      <c r="AD119" s="1473">
        <f t="shared" si="192"/>
        <v>362.86757600000004</v>
      </c>
      <c r="AE119" s="1471">
        <v>38.675286</v>
      </c>
      <c r="AF119" s="1471">
        <v>25.027878000000001</v>
      </c>
      <c r="AG119" s="1471">
        <v>49.173713999999997</v>
      </c>
      <c r="AH119" s="1471">
        <v>27.137799000000001</v>
      </c>
      <c r="AI119" s="1471">
        <v>25.188621000000001</v>
      </c>
      <c r="AJ119" s="1471">
        <v>27.553006</v>
      </c>
      <c r="AK119" s="1471">
        <v>38.818629999999999</v>
      </c>
      <c r="AL119" s="1471">
        <v>25.485977999999999</v>
      </c>
      <c r="AM119" s="1471">
        <v>33.751052999999999</v>
      </c>
      <c r="AN119" s="1471">
        <v>27.55134</v>
      </c>
      <c r="AO119" s="1471">
        <v>21.543538999999999</v>
      </c>
      <c r="AP119" s="1471">
        <v>22.960732</v>
      </c>
      <c r="AQ119" s="1473">
        <f t="shared" si="193"/>
        <v>384.99999999999983</v>
      </c>
      <c r="AR119" s="1471">
        <v>32.083333333333329</v>
      </c>
      <c r="AS119" s="1471">
        <v>32.083333333333329</v>
      </c>
      <c r="AT119" s="1471">
        <v>32.083333333333329</v>
      </c>
      <c r="AU119" s="1471">
        <v>32.083333333333329</v>
      </c>
      <c r="AV119" s="1471">
        <v>32.083333333333329</v>
      </c>
      <c r="AW119" s="1471">
        <v>32.083333333333329</v>
      </c>
      <c r="AX119" s="1471">
        <v>32.083333333333329</v>
      </c>
      <c r="AY119" s="1471">
        <v>32.083333333333329</v>
      </c>
      <c r="AZ119" s="1471">
        <v>32.083333333333329</v>
      </c>
      <c r="BA119" s="1471">
        <v>32.083333333333329</v>
      </c>
      <c r="BB119" s="1471">
        <v>32.083333333333329</v>
      </c>
      <c r="BC119" s="2001">
        <v>32.083333333333329</v>
      </c>
    </row>
    <row r="120" spans="2:60">
      <c r="B120" s="3281"/>
      <c r="C120" s="1627" t="s">
        <v>846</v>
      </c>
      <c r="D120" s="1473">
        <f t="shared" si="190"/>
        <v>1041.8223869999999</v>
      </c>
      <c r="E120" s="1322">
        <v>97.038691999999998</v>
      </c>
      <c r="F120" s="1322">
        <v>89.374340000000004</v>
      </c>
      <c r="G120" s="1322">
        <v>81.703885999999997</v>
      </c>
      <c r="H120" s="1322">
        <v>76.171127999999996</v>
      </c>
      <c r="I120" s="1322">
        <v>77.781895000000006</v>
      </c>
      <c r="J120" s="1322">
        <v>64.485178000000005</v>
      </c>
      <c r="K120" s="1322">
        <v>72.295422000000002</v>
      </c>
      <c r="L120" s="1322">
        <v>112.05891800000001</v>
      </c>
      <c r="M120" s="1322">
        <v>54.704248</v>
      </c>
      <c r="N120" s="1322">
        <v>96.372851999999995</v>
      </c>
      <c r="O120" s="1322">
        <f>383.267199-230</f>
        <v>153.26719900000001</v>
      </c>
      <c r="P120" s="1322">
        <v>66.568629000000001</v>
      </c>
      <c r="Q120" s="1473">
        <f t="shared" si="191"/>
        <v>1402.433685</v>
      </c>
      <c r="R120" s="1471">
        <v>69.598384999999993</v>
      </c>
      <c r="S120" s="1471">
        <v>102.264</v>
      </c>
      <c r="T120" s="1471">
        <v>89.640657000000004</v>
      </c>
      <c r="U120" s="1471">
        <v>101.375264</v>
      </c>
      <c r="V120" s="1471">
        <v>7.7129760000000003</v>
      </c>
      <c r="W120" s="1471">
        <v>104.144194</v>
      </c>
      <c r="X120" s="1471">
        <f>(148028304+76024051)/1000000</f>
        <v>224.05235500000001</v>
      </c>
      <c r="Y120" s="1471">
        <v>143.330963</v>
      </c>
      <c r="Z120" s="1471">
        <v>147.37790000000001</v>
      </c>
      <c r="AA120" s="1471">
        <v>176.17631700000001</v>
      </c>
      <c r="AB120" s="1471">
        <v>119.88077199999999</v>
      </c>
      <c r="AC120" s="1612">
        <v>116.879902</v>
      </c>
      <c r="AD120" s="1473">
        <f t="shared" si="192"/>
        <v>2180.1997030000002</v>
      </c>
      <c r="AE120" s="1471">
        <v>200.32501200000002</v>
      </c>
      <c r="AF120" s="1471">
        <v>380.95871699999998</v>
      </c>
      <c r="AG120" s="1471">
        <v>204.60019399999999</v>
      </c>
      <c r="AH120" s="1471">
        <v>242.36148699999998</v>
      </c>
      <c r="AI120" s="1471">
        <v>275.62843400000003</v>
      </c>
      <c r="AJ120" s="1471">
        <v>142.61846199999999</v>
      </c>
      <c r="AK120" s="1471">
        <v>59.883667000000003</v>
      </c>
      <c r="AL120" s="1471">
        <v>138.47249400000001</v>
      </c>
      <c r="AM120" s="1471">
        <v>169.572802</v>
      </c>
      <c r="AN120" s="1471">
        <v>175.60176200000001</v>
      </c>
      <c r="AO120" s="1471">
        <v>88.066828999999998</v>
      </c>
      <c r="AP120" s="1471">
        <v>102.109843</v>
      </c>
      <c r="AQ120" s="1473">
        <f t="shared" si="193"/>
        <v>50.000000000000028</v>
      </c>
      <c r="AR120" s="1471">
        <v>4.1666666666666679</v>
      </c>
      <c r="AS120" s="1471">
        <v>4.1666666666666679</v>
      </c>
      <c r="AT120" s="1471">
        <v>4.1666666666666679</v>
      </c>
      <c r="AU120" s="1471">
        <v>4.1666666666666679</v>
      </c>
      <c r="AV120" s="1471">
        <v>4.1666666666666679</v>
      </c>
      <c r="AW120" s="1471">
        <v>4.1666666666666679</v>
      </c>
      <c r="AX120" s="1471">
        <v>4.1666666666666679</v>
      </c>
      <c r="AY120" s="1471">
        <v>4.1666666666666679</v>
      </c>
      <c r="AZ120" s="1471">
        <v>4.1666666666666679</v>
      </c>
      <c r="BA120" s="1471">
        <v>4.1666666666666679</v>
      </c>
      <c r="BB120" s="1471">
        <v>4.1666666666666679</v>
      </c>
      <c r="BC120" s="2001">
        <v>4.1666666666666679</v>
      </c>
      <c r="BF120" s="2874"/>
    </row>
    <row r="121" spans="2:60">
      <c r="B121" s="3281"/>
      <c r="C121" s="1627" t="s">
        <v>560</v>
      </c>
      <c r="D121" s="1473">
        <f t="shared" si="190"/>
        <v>0</v>
      </c>
      <c r="E121" s="1322"/>
      <c r="F121" s="1322"/>
      <c r="G121" s="1322"/>
      <c r="H121" s="1322"/>
      <c r="I121" s="1322"/>
      <c r="J121" s="1322"/>
      <c r="K121" s="1322"/>
      <c r="L121" s="1322"/>
      <c r="M121" s="1322"/>
      <c r="N121" s="1322"/>
      <c r="O121" s="1322"/>
      <c r="P121" s="1322"/>
      <c r="Q121" s="1473">
        <f t="shared" si="191"/>
        <v>0</v>
      </c>
      <c r="R121" s="1471"/>
      <c r="S121" s="1471"/>
      <c r="T121" s="1471"/>
      <c r="U121" s="1471"/>
      <c r="V121" s="1471"/>
      <c r="W121" s="1471"/>
      <c r="X121" s="1471"/>
      <c r="Y121" s="1471"/>
      <c r="Z121" s="1471"/>
      <c r="AA121" s="1471"/>
      <c r="AB121" s="1471"/>
      <c r="AC121" s="1612"/>
      <c r="AD121" s="1473">
        <f t="shared" si="192"/>
        <v>0</v>
      </c>
      <c r="AE121" s="1322"/>
      <c r="AF121" s="1322"/>
      <c r="AG121" s="1322"/>
      <c r="AH121" s="1322"/>
      <c r="AI121" s="1322"/>
      <c r="AJ121" s="1322"/>
      <c r="AK121" s="1471"/>
      <c r="AL121" s="1471"/>
      <c r="AM121" s="1471"/>
      <c r="AN121" s="1471"/>
      <c r="AO121" s="1471"/>
      <c r="AP121" s="1471"/>
      <c r="AQ121" s="1473">
        <f t="shared" si="193"/>
        <v>0</v>
      </c>
      <c r="AR121" s="1471"/>
      <c r="AS121" s="1471"/>
      <c r="AT121" s="1471"/>
      <c r="AU121" s="1471"/>
      <c r="AV121" s="1471"/>
      <c r="AW121" s="1471"/>
      <c r="AX121" s="1471"/>
      <c r="AY121" s="1471"/>
      <c r="AZ121" s="1471"/>
      <c r="BA121" s="1471"/>
      <c r="BB121" s="1471"/>
      <c r="BC121" s="2001"/>
    </row>
    <row r="122" spans="2:60">
      <c r="B122" s="3281"/>
      <c r="C122" s="1627" t="s">
        <v>570</v>
      </c>
      <c r="D122" s="1473">
        <f t="shared" si="190"/>
        <v>0</v>
      </c>
      <c r="E122" s="1322"/>
      <c r="F122" s="1322"/>
      <c r="G122" s="1322"/>
      <c r="H122" s="1322"/>
      <c r="I122" s="1322"/>
      <c r="J122" s="1322"/>
      <c r="K122" s="1322"/>
      <c r="L122" s="1322"/>
      <c r="M122" s="1322"/>
      <c r="N122" s="1322"/>
      <c r="O122" s="1322"/>
      <c r="P122" s="1322"/>
      <c r="Q122" s="1473">
        <f t="shared" si="191"/>
        <v>442.01580000000007</v>
      </c>
      <c r="R122" s="1471"/>
      <c r="S122" s="1471"/>
      <c r="T122" s="1471"/>
      <c r="U122" s="2606">
        <v>386.99</v>
      </c>
      <c r="V122" s="1471"/>
      <c r="W122" s="1471">
        <v>19.97</v>
      </c>
      <c r="X122" s="1471">
        <v>14.6046</v>
      </c>
      <c r="Y122" s="1471"/>
      <c r="Z122" s="1471">
        <v>2.2448000000000001</v>
      </c>
      <c r="AA122" s="1471">
        <v>0.69720000000000004</v>
      </c>
      <c r="AB122" s="1471">
        <v>0.99450000000000005</v>
      </c>
      <c r="AC122" s="1612">
        <v>16.514700000000001</v>
      </c>
      <c r="AD122" s="1473">
        <f t="shared" si="192"/>
        <v>238.90623000000002</v>
      </c>
      <c r="AE122" s="1471">
        <v>20.725345999999998</v>
      </c>
      <c r="AF122" s="1471">
        <v>46.795692000000003</v>
      </c>
      <c r="AG122" s="1471">
        <v>12.457636000000001</v>
      </c>
      <c r="AH122" s="1471">
        <v>2.8495339999999998</v>
      </c>
      <c r="AI122" s="1471">
        <v>5.7274479999999999</v>
      </c>
      <c r="AJ122" s="1471">
        <v>2.7636720000000001</v>
      </c>
      <c r="AK122" s="1471">
        <v>33.196702999999999</v>
      </c>
      <c r="AL122" s="1471">
        <v>68.035811999999993</v>
      </c>
      <c r="AM122" s="1471">
        <v>25.055215999999998</v>
      </c>
      <c r="AN122" s="1471">
        <v>10.654132000000001</v>
      </c>
      <c r="AO122" s="1471">
        <v>10.090733999999999</v>
      </c>
      <c r="AP122" s="1471">
        <v>0.55430500000000027</v>
      </c>
      <c r="AQ122" s="1473">
        <f t="shared" si="193"/>
        <v>40</v>
      </c>
      <c r="AR122" s="1471">
        <v>3.333333333333333</v>
      </c>
      <c r="AS122" s="1471">
        <v>3.333333333333333</v>
      </c>
      <c r="AT122" s="1471">
        <v>3.333333333333333</v>
      </c>
      <c r="AU122" s="1471">
        <v>3.333333333333333</v>
      </c>
      <c r="AV122" s="1471">
        <v>3.333333333333333</v>
      </c>
      <c r="AW122" s="1471">
        <v>3.333333333333333</v>
      </c>
      <c r="AX122" s="1471">
        <v>3.333333333333333</v>
      </c>
      <c r="AY122" s="1471">
        <v>3.333333333333333</v>
      </c>
      <c r="AZ122" s="1471">
        <v>3.333333333333333</v>
      </c>
      <c r="BA122" s="1471">
        <v>3.333333333333333</v>
      </c>
      <c r="BB122" s="1471">
        <v>3.333333333333333</v>
      </c>
      <c r="BC122" s="2001">
        <v>3.333333333333333</v>
      </c>
    </row>
    <row r="123" spans="2:60">
      <c r="B123" s="3281"/>
      <c r="C123" s="1627" t="s">
        <v>511</v>
      </c>
      <c r="D123" s="1473">
        <f t="shared" si="190"/>
        <v>84.832677000000004</v>
      </c>
      <c r="E123" s="1322">
        <v>0</v>
      </c>
      <c r="F123" s="1322">
        <v>12.96171</v>
      </c>
      <c r="G123" s="1322">
        <v>10.644247</v>
      </c>
      <c r="H123" s="1322">
        <v>9.5854400000000002</v>
      </c>
      <c r="I123" s="1322">
        <v>10.491099999999999</v>
      </c>
      <c r="J123" s="1322">
        <v>20.64</v>
      </c>
      <c r="K123" s="1322">
        <v>8.0101800000000001</v>
      </c>
      <c r="L123" s="1322">
        <v>2.5</v>
      </c>
      <c r="M123" s="1322">
        <v>2.5</v>
      </c>
      <c r="N123" s="1322">
        <v>2.5</v>
      </c>
      <c r="O123" s="1322">
        <v>2.5</v>
      </c>
      <c r="P123" s="1322">
        <v>2.5</v>
      </c>
      <c r="Q123" s="1473">
        <f t="shared" si="191"/>
        <v>27.5</v>
      </c>
      <c r="R123" s="1471">
        <v>2.5</v>
      </c>
      <c r="S123" s="1471">
        <v>2.5</v>
      </c>
      <c r="T123" s="1471">
        <v>2.5</v>
      </c>
      <c r="U123" s="1471">
        <v>2.5</v>
      </c>
      <c r="V123" s="1471">
        <v>2.5</v>
      </c>
      <c r="W123" s="1471">
        <v>2.5</v>
      </c>
      <c r="X123" s="1471">
        <v>2.5</v>
      </c>
      <c r="Y123" s="1471">
        <v>2.5</v>
      </c>
      <c r="Z123" s="1471">
        <v>2.5</v>
      </c>
      <c r="AA123" s="1471"/>
      <c r="AB123" s="1471">
        <v>2.5</v>
      </c>
      <c r="AC123" s="1612">
        <v>2.5</v>
      </c>
      <c r="AD123" s="1473">
        <f t="shared" si="192"/>
        <v>88.924999999999997</v>
      </c>
      <c r="AE123" s="1471">
        <v>2.5</v>
      </c>
      <c r="AF123" s="1471">
        <v>2.5</v>
      </c>
      <c r="AG123" s="1471">
        <v>2.5</v>
      </c>
      <c r="AH123" s="1471">
        <v>2.5</v>
      </c>
      <c r="AI123" s="1471">
        <v>2.5</v>
      </c>
      <c r="AJ123" s="1471">
        <v>2.5</v>
      </c>
      <c r="AK123" s="1471">
        <v>61.424999999999997</v>
      </c>
      <c r="AL123" s="1471">
        <v>2.5</v>
      </c>
      <c r="AM123" s="1471">
        <v>2.5</v>
      </c>
      <c r="AN123" s="1471">
        <v>2.5</v>
      </c>
      <c r="AO123" s="1471">
        <v>2.5</v>
      </c>
      <c r="AP123" s="1471">
        <v>2.5</v>
      </c>
      <c r="AQ123" s="1473">
        <f t="shared" si="193"/>
        <v>36.732407357154592</v>
      </c>
      <c r="AR123" s="1471">
        <v>3.0610339464295495</v>
      </c>
      <c r="AS123" s="1471">
        <v>3.0610339464295495</v>
      </c>
      <c r="AT123" s="1471">
        <v>3.0610339464295495</v>
      </c>
      <c r="AU123" s="1471">
        <v>3.0610339464295495</v>
      </c>
      <c r="AV123" s="1471">
        <v>3.0610339464295495</v>
      </c>
      <c r="AW123" s="1471">
        <v>3.0610339464295495</v>
      </c>
      <c r="AX123" s="1471">
        <v>3.0610339464295495</v>
      </c>
      <c r="AY123" s="1471">
        <v>3.0610339464295495</v>
      </c>
      <c r="AZ123" s="1471">
        <v>3.0610339464295495</v>
      </c>
      <c r="BA123" s="1471">
        <v>3.0610339464295495</v>
      </c>
      <c r="BB123" s="1471">
        <v>3.0610339464295495</v>
      </c>
      <c r="BC123" s="2001">
        <v>3.0610339464295495</v>
      </c>
    </row>
    <row r="124" spans="2:60">
      <c r="B124" s="3292" t="s">
        <v>421</v>
      </c>
      <c r="C124" s="3299"/>
      <c r="D124" s="1321">
        <f>+D112-D116</f>
        <v>-271.86390899999969</v>
      </c>
      <c r="E124" s="1321">
        <f t="shared" ref="E124:P124" si="194">+E112-E116</f>
        <v>-76.929600999999991</v>
      </c>
      <c r="F124" s="1321">
        <f t="shared" si="194"/>
        <v>7.8249679999999984</v>
      </c>
      <c r="G124" s="1321">
        <f t="shared" si="194"/>
        <v>19.532639999999986</v>
      </c>
      <c r="H124" s="1321">
        <f t="shared" si="194"/>
        <v>15.227802999999994</v>
      </c>
      <c r="I124" s="1321">
        <f t="shared" si="194"/>
        <v>14.003769000000005</v>
      </c>
      <c r="J124" s="1321">
        <f t="shared" si="194"/>
        <v>18.768608000000029</v>
      </c>
      <c r="K124" s="1321">
        <f t="shared" si="194"/>
        <v>-35.657049999999998</v>
      </c>
      <c r="L124" s="1321">
        <f t="shared" si="194"/>
        <v>-30.241161999999974</v>
      </c>
      <c r="M124" s="1321">
        <f t="shared" si="194"/>
        <v>11.710616999999985</v>
      </c>
      <c r="N124" s="1321">
        <f t="shared" si="194"/>
        <v>-32.589941999999979</v>
      </c>
      <c r="O124" s="1321">
        <f t="shared" si="194"/>
        <v>-135.50727600000002</v>
      </c>
      <c r="P124" s="1321">
        <f t="shared" si="194"/>
        <v>-48.007283000000001</v>
      </c>
      <c r="Q124" s="1321">
        <f>+Q112-Q116</f>
        <v>1249.3322950000002</v>
      </c>
      <c r="R124" s="1321">
        <f t="shared" ref="R124:AC124" si="195">+R112-R116</f>
        <v>-14.869732999999982</v>
      </c>
      <c r="S124" s="1321">
        <f t="shared" si="195"/>
        <v>65.560181999999998</v>
      </c>
      <c r="T124" s="1321">
        <f t="shared" si="195"/>
        <v>-12.180650000000014</v>
      </c>
      <c r="U124" s="1321">
        <f t="shared" si="195"/>
        <v>-147.66600000000005</v>
      </c>
      <c r="V124" s="1321">
        <f t="shared" si="195"/>
        <v>168.35838000000001</v>
      </c>
      <c r="W124" s="1321">
        <f t="shared" si="195"/>
        <v>-41.101766999999981</v>
      </c>
      <c r="X124" s="1321">
        <f t="shared" si="195"/>
        <v>-108.92225400000001</v>
      </c>
      <c r="Y124" s="1321">
        <f t="shared" si="195"/>
        <v>141.76100899999994</v>
      </c>
      <c r="Z124" s="1321">
        <f t="shared" si="195"/>
        <v>55.79567899999995</v>
      </c>
      <c r="AA124" s="1321">
        <f t="shared" si="195"/>
        <v>295.51886599999989</v>
      </c>
      <c r="AB124" s="1321">
        <f t="shared" si="195"/>
        <v>127.50588599999992</v>
      </c>
      <c r="AC124" s="1628">
        <f t="shared" si="195"/>
        <v>719.57269700000029</v>
      </c>
      <c r="AD124" s="1469">
        <f>+AD112-AD116</f>
        <v>-298.27728999999727</v>
      </c>
      <c r="AE124" s="1321">
        <f t="shared" ref="AE124:AP124" si="196">+AE112-AE116</f>
        <v>254.56524100000024</v>
      </c>
      <c r="AF124" s="1321">
        <f t="shared" si="196"/>
        <v>26.051147999999785</v>
      </c>
      <c r="AG124" s="1321">
        <f t="shared" si="196"/>
        <v>-65.053393999999912</v>
      </c>
      <c r="AH124" s="1321">
        <f t="shared" si="196"/>
        <v>3.9109480000000758</v>
      </c>
      <c r="AI124" s="1321">
        <f t="shared" si="196"/>
        <v>-120.85283600000002</v>
      </c>
      <c r="AJ124" s="1321">
        <f t="shared" si="196"/>
        <v>-87.038984000000085</v>
      </c>
      <c r="AK124" s="1321">
        <f t="shared" si="196"/>
        <v>64.545818999999938</v>
      </c>
      <c r="AL124" s="1321">
        <f t="shared" si="196"/>
        <v>-146.87263300000001</v>
      </c>
      <c r="AM124" s="1321">
        <f t="shared" si="196"/>
        <v>-6.4301889999999844</v>
      </c>
      <c r="AN124" s="1321">
        <f t="shared" si="196"/>
        <v>-45.02901</v>
      </c>
      <c r="AO124" s="1321">
        <f t="shared" si="196"/>
        <v>-77.862791999999999</v>
      </c>
      <c r="AP124" s="2004">
        <f t="shared" si="196"/>
        <v>-98.210608000000008</v>
      </c>
      <c r="AQ124" s="1469">
        <f>+AQ112-AQ116</f>
        <v>0.26759264284578421</v>
      </c>
      <c r="AR124" s="1321">
        <f t="shared" ref="AR124:BC124" si="197">+AR112-AR116</f>
        <v>2.2299386903803509E-2</v>
      </c>
      <c r="AS124" s="1321">
        <f t="shared" si="197"/>
        <v>2.2299386903803509E-2</v>
      </c>
      <c r="AT124" s="1321">
        <f t="shared" si="197"/>
        <v>2.2299386903803509E-2</v>
      </c>
      <c r="AU124" s="1321">
        <f t="shared" si="197"/>
        <v>2.2299386903803509E-2</v>
      </c>
      <c r="AV124" s="1321">
        <f t="shared" si="197"/>
        <v>2.2299386903803509E-2</v>
      </c>
      <c r="AW124" s="1321">
        <f t="shared" si="197"/>
        <v>2.2299386903803509E-2</v>
      </c>
      <c r="AX124" s="1321">
        <f t="shared" si="197"/>
        <v>2.2299386903803509E-2</v>
      </c>
      <c r="AY124" s="1321">
        <f t="shared" si="197"/>
        <v>2.2299386903803509E-2</v>
      </c>
      <c r="AZ124" s="1321">
        <f t="shared" si="197"/>
        <v>2.2299386903803509E-2</v>
      </c>
      <c r="BA124" s="1321">
        <f t="shared" si="197"/>
        <v>2.2299386903803509E-2</v>
      </c>
      <c r="BB124" s="1321">
        <f t="shared" si="197"/>
        <v>2.2299386903803509E-2</v>
      </c>
      <c r="BC124" s="2004">
        <f t="shared" si="197"/>
        <v>2.2299386903803509E-2</v>
      </c>
    </row>
    <row r="125" spans="2:60">
      <c r="D125" s="798"/>
      <c r="E125" s="798"/>
      <c r="F125" s="798"/>
      <c r="G125" s="798"/>
      <c r="H125" s="798"/>
      <c r="I125" s="798"/>
      <c r="J125" s="798"/>
      <c r="K125" s="798"/>
      <c r="L125" s="798"/>
      <c r="M125" s="798"/>
      <c r="N125" s="798"/>
      <c r="O125" s="798"/>
      <c r="P125" s="798"/>
      <c r="Q125" s="1154"/>
      <c r="R125" s="1154"/>
      <c r="S125" s="1154"/>
      <c r="T125" s="1154"/>
      <c r="U125" s="1154"/>
      <c r="V125" s="1154"/>
      <c r="W125" s="1154"/>
      <c r="X125" s="1154"/>
      <c r="Y125" s="1154"/>
      <c r="Z125" s="1154"/>
      <c r="AA125" s="1154"/>
      <c r="AB125" s="1154"/>
      <c r="AC125" s="1154"/>
      <c r="AD125" s="1617"/>
      <c r="AE125" s="1617"/>
      <c r="AF125" s="1617"/>
      <c r="AG125" s="1617"/>
      <c r="AH125" s="1617"/>
      <c r="AI125" s="1617"/>
      <c r="AJ125" s="1617"/>
      <c r="AK125" s="1617"/>
      <c r="AL125" s="1617"/>
      <c r="AM125" s="1617"/>
      <c r="AN125" s="1617"/>
      <c r="AO125" s="1617"/>
      <c r="AP125" s="1617"/>
      <c r="AQ125" s="1617"/>
      <c r="AR125" s="1617"/>
      <c r="AS125" s="1617"/>
      <c r="AT125" s="1617"/>
      <c r="AU125" s="1617"/>
      <c r="AV125" s="1617"/>
      <c r="AW125" s="1617"/>
      <c r="AX125" s="1617"/>
      <c r="AY125" s="1617"/>
      <c r="AZ125" s="1617"/>
      <c r="BA125" s="1617"/>
      <c r="BB125" s="1617"/>
      <c r="BC125" s="1617"/>
    </row>
    <row r="126" spans="2:60">
      <c r="AD126" s="1618"/>
      <c r="AE126" s="2796"/>
      <c r="AF126" s="2796"/>
      <c r="AG126" s="2796"/>
      <c r="AH126" s="2796"/>
      <c r="AI126" s="2796"/>
      <c r="AJ126" s="2796"/>
      <c r="AK126" s="2796"/>
      <c r="AL126" s="2796"/>
      <c r="AM126" s="2796"/>
      <c r="AN126" s="2796"/>
      <c r="AO126" s="2796"/>
      <c r="AP126" s="2796"/>
      <c r="AQ126" s="1618"/>
      <c r="AR126" s="1618"/>
      <c r="AS126" s="1618"/>
      <c r="AT126" s="1618"/>
      <c r="AU126" s="1618"/>
      <c r="AV126" s="1618"/>
      <c r="AW126" s="1618"/>
      <c r="AX126" s="1618"/>
      <c r="AY126" s="1618"/>
      <c r="AZ126" s="1618"/>
      <c r="BA126" s="1618"/>
      <c r="BB126" s="1618"/>
      <c r="BC126" s="1618"/>
    </row>
    <row r="127" spans="2:60">
      <c r="B127" s="1620" t="s">
        <v>512</v>
      </c>
      <c r="AD127" s="1618"/>
      <c r="AE127" s="1618"/>
      <c r="AF127" s="1618"/>
      <c r="AG127" s="1618"/>
      <c r="AH127" s="1618"/>
      <c r="AI127" s="1618"/>
      <c r="AJ127" s="1618"/>
      <c r="AK127" s="1618"/>
      <c r="AL127" s="1618"/>
      <c r="AM127" s="1618"/>
      <c r="AN127" s="1618"/>
      <c r="AO127" s="1618"/>
      <c r="AP127" s="1618"/>
      <c r="AQ127" s="1618"/>
      <c r="AR127" s="1618"/>
      <c r="AS127" s="1618"/>
      <c r="AT127" s="1618"/>
      <c r="AU127" s="1618"/>
      <c r="AV127" s="1618"/>
      <c r="AW127" s="1618"/>
      <c r="AX127" s="1618"/>
      <c r="AY127" s="1618"/>
      <c r="AZ127" s="1618"/>
      <c r="BA127" s="1618"/>
      <c r="BB127" s="1618"/>
      <c r="BC127" s="1618"/>
    </row>
    <row r="128" spans="2:60">
      <c r="B128" s="3282" t="s">
        <v>439</v>
      </c>
      <c r="C128" s="3283"/>
      <c r="D128" s="3275" t="s">
        <v>494</v>
      </c>
      <c r="E128" s="3276"/>
      <c r="F128" s="3276"/>
      <c r="G128" s="3276"/>
      <c r="H128" s="3276"/>
      <c r="I128" s="3276"/>
      <c r="J128" s="3276"/>
      <c r="K128" s="3276"/>
      <c r="L128" s="3276"/>
      <c r="M128" s="3276"/>
      <c r="N128" s="3276"/>
      <c r="O128" s="3276"/>
      <c r="P128" s="3295"/>
      <c r="Q128" s="3275" t="s">
        <v>546</v>
      </c>
      <c r="R128" s="3276"/>
      <c r="S128" s="3276"/>
      <c r="T128" s="3276"/>
      <c r="U128" s="3276"/>
      <c r="V128" s="3276"/>
      <c r="W128" s="3276"/>
      <c r="X128" s="3276"/>
      <c r="Y128" s="3276"/>
      <c r="Z128" s="3276"/>
      <c r="AA128" s="3276"/>
      <c r="AB128" s="3276"/>
      <c r="AC128" s="3298"/>
      <c r="AD128" s="3275" t="s">
        <v>572</v>
      </c>
      <c r="AE128" s="3276"/>
      <c r="AF128" s="3276"/>
      <c r="AG128" s="3276"/>
      <c r="AH128" s="3276"/>
      <c r="AI128" s="3276"/>
      <c r="AJ128" s="3276"/>
      <c r="AK128" s="3276"/>
      <c r="AL128" s="3276"/>
      <c r="AM128" s="3276"/>
      <c r="AN128" s="3276"/>
      <c r="AO128" s="3276"/>
      <c r="AP128" s="3276"/>
      <c r="AQ128" s="3277" t="s">
        <v>586</v>
      </c>
      <c r="AR128" s="3278"/>
      <c r="AS128" s="3278"/>
      <c r="AT128" s="3278"/>
      <c r="AU128" s="3278"/>
      <c r="AV128" s="3278"/>
      <c r="AW128" s="3278"/>
      <c r="AX128" s="3278"/>
      <c r="AY128" s="3278"/>
      <c r="AZ128" s="3278"/>
      <c r="BA128" s="3278"/>
      <c r="BB128" s="3278"/>
      <c r="BC128" s="3278"/>
    </row>
    <row r="129" spans="2:59">
      <c r="B129" s="3284"/>
      <c r="C129" s="3285"/>
      <c r="D129" s="1104" t="s">
        <v>492</v>
      </c>
      <c r="E129" s="1320" t="str">
        <f>E$34</f>
        <v>1월</v>
      </c>
      <c r="F129" s="1320" t="str">
        <f>F$34</f>
        <v>2월</v>
      </c>
      <c r="G129" s="1320" t="str">
        <f t="shared" ref="G129:P129" si="198">G$34</f>
        <v>3월</v>
      </c>
      <c r="H129" s="1320" t="str">
        <f t="shared" si="198"/>
        <v>4월</v>
      </c>
      <c r="I129" s="1320" t="str">
        <f t="shared" si="198"/>
        <v>5월</v>
      </c>
      <c r="J129" s="1320" t="str">
        <f t="shared" si="198"/>
        <v>6월</v>
      </c>
      <c r="K129" s="1320" t="str">
        <f t="shared" si="198"/>
        <v>7월</v>
      </c>
      <c r="L129" s="1320" t="str">
        <f t="shared" si="198"/>
        <v>8월</v>
      </c>
      <c r="M129" s="1320" t="str">
        <f t="shared" si="198"/>
        <v>9월</v>
      </c>
      <c r="N129" s="1320" t="str">
        <f t="shared" si="198"/>
        <v>10월</v>
      </c>
      <c r="O129" s="1320" t="str">
        <f t="shared" si="198"/>
        <v>11월</v>
      </c>
      <c r="P129" s="1320" t="str">
        <f t="shared" si="198"/>
        <v>12월</v>
      </c>
      <c r="Q129" s="1104" t="s">
        <v>492</v>
      </c>
      <c r="R129" s="1320" t="s">
        <v>2</v>
      </c>
      <c r="S129" s="1320" t="s">
        <v>440</v>
      </c>
      <c r="T129" s="1320" t="s">
        <v>4</v>
      </c>
      <c r="U129" s="1320" t="s">
        <v>5</v>
      </c>
      <c r="V129" s="1320" t="s">
        <v>6</v>
      </c>
      <c r="W129" s="1320" t="s">
        <v>7</v>
      </c>
      <c r="X129" s="1320" t="s">
        <v>8</v>
      </c>
      <c r="Y129" s="1320" t="s">
        <v>9</v>
      </c>
      <c r="Z129" s="1320" t="s">
        <v>10</v>
      </c>
      <c r="AA129" s="1320" t="s">
        <v>11</v>
      </c>
      <c r="AB129" s="1320" t="s">
        <v>441</v>
      </c>
      <c r="AC129" s="1609" t="s">
        <v>442</v>
      </c>
      <c r="AD129" s="1104" t="s">
        <v>492</v>
      </c>
      <c r="AE129" s="1320" t="s">
        <v>2</v>
      </c>
      <c r="AF129" s="1320" t="s">
        <v>440</v>
      </c>
      <c r="AG129" s="1320" t="s">
        <v>4</v>
      </c>
      <c r="AH129" s="1320" t="s">
        <v>5</v>
      </c>
      <c r="AI129" s="1320" t="s">
        <v>6</v>
      </c>
      <c r="AJ129" s="1320" t="s">
        <v>7</v>
      </c>
      <c r="AK129" s="1320" t="s">
        <v>8</v>
      </c>
      <c r="AL129" s="1320" t="s">
        <v>9</v>
      </c>
      <c r="AM129" s="1320" t="s">
        <v>10</v>
      </c>
      <c r="AN129" s="1320" t="s">
        <v>11</v>
      </c>
      <c r="AO129" s="1320" t="s">
        <v>441</v>
      </c>
      <c r="AP129" s="1915" t="s">
        <v>442</v>
      </c>
      <c r="AQ129" s="2792" t="s">
        <v>492</v>
      </c>
      <c r="AR129" s="2323" t="s">
        <v>2</v>
      </c>
      <c r="AS129" s="2323" t="s">
        <v>440</v>
      </c>
      <c r="AT129" s="2323" t="s">
        <v>4</v>
      </c>
      <c r="AU129" s="2323" t="s">
        <v>5</v>
      </c>
      <c r="AV129" s="2323" t="s">
        <v>6</v>
      </c>
      <c r="AW129" s="2323" t="s">
        <v>7</v>
      </c>
      <c r="AX129" s="2323" t="s">
        <v>8</v>
      </c>
      <c r="AY129" s="2323" t="s">
        <v>9</v>
      </c>
      <c r="AZ129" s="2323" t="s">
        <v>10</v>
      </c>
      <c r="BA129" s="2323" t="s">
        <v>11</v>
      </c>
      <c r="BB129" s="2323" t="s">
        <v>441</v>
      </c>
      <c r="BC129" s="2788" t="s">
        <v>442</v>
      </c>
    </row>
    <row r="130" spans="2:59">
      <c r="B130" s="3290" t="s">
        <v>447</v>
      </c>
      <c r="C130" s="3291"/>
      <c r="D130" s="1469">
        <f t="shared" ref="D130:D143" si="199">SUM(E130:P130)</f>
        <v>0</v>
      </c>
      <c r="E130" s="1469">
        <f>SUM(E131:E133)</f>
        <v>0</v>
      </c>
      <c r="F130" s="1469">
        <f t="shared" ref="F130:P130" si="200">SUM(F131:F133)</f>
        <v>0</v>
      </c>
      <c r="G130" s="1469">
        <f t="shared" si="200"/>
        <v>0</v>
      </c>
      <c r="H130" s="1469">
        <f t="shared" si="200"/>
        <v>0</v>
      </c>
      <c r="I130" s="1469">
        <f t="shared" si="200"/>
        <v>0</v>
      </c>
      <c r="J130" s="1469">
        <f t="shared" si="200"/>
        <v>0</v>
      </c>
      <c r="K130" s="1469">
        <f t="shared" si="200"/>
        <v>0</v>
      </c>
      <c r="L130" s="1469">
        <f t="shared" si="200"/>
        <v>0</v>
      </c>
      <c r="M130" s="1469">
        <f t="shared" si="200"/>
        <v>0</v>
      </c>
      <c r="N130" s="1469">
        <f t="shared" si="200"/>
        <v>0</v>
      </c>
      <c r="O130" s="1469">
        <f t="shared" si="200"/>
        <v>0</v>
      </c>
      <c r="P130" s="1469">
        <f t="shared" si="200"/>
        <v>0</v>
      </c>
      <c r="Q130" s="1469">
        <f t="shared" ref="Q130:Q143" si="201">SUM(R130:AC130)</f>
        <v>340.31</v>
      </c>
      <c r="R130" s="1469">
        <f>SUM(R131:R133)</f>
        <v>0</v>
      </c>
      <c r="S130" s="1469">
        <f t="shared" ref="S130:AC130" si="202">SUM(S131:S133)</f>
        <v>0</v>
      </c>
      <c r="T130" s="1469">
        <f t="shared" si="202"/>
        <v>22.42</v>
      </c>
      <c r="U130" s="1469">
        <f t="shared" si="202"/>
        <v>54.69</v>
      </c>
      <c r="V130" s="1469">
        <f t="shared" si="202"/>
        <v>36.19</v>
      </c>
      <c r="W130" s="1469">
        <f t="shared" si="202"/>
        <v>36.299999999999997</v>
      </c>
      <c r="X130" s="1469">
        <f t="shared" si="202"/>
        <v>36.5</v>
      </c>
      <c r="Y130" s="1469">
        <f t="shared" si="202"/>
        <v>33.99</v>
      </c>
      <c r="Z130" s="1469">
        <f t="shared" si="202"/>
        <v>30.68</v>
      </c>
      <c r="AA130" s="1469">
        <f t="shared" si="202"/>
        <v>29.46</v>
      </c>
      <c r="AB130" s="1469">
        <f t="shared" si="202"/>
        <v>30.26</v>
      </c>
      <c r="AC130" s="1610">
        <f t="shared" si="202"/>
        <v>29.82</v>
      </c>
      <c r="AD130" s="1469">
        <f t="shared" ref="AD130:AD143" si="203">SUM(AE130:AP130)</f>
        <v>357.71</v>
      </c>
      <c r="AE130" s="1469">
        <f>SUM(AE131:AE133)</f>
        <v>29.46</v>
      </c>
      <c r="AF130" s="1469">
        <f t="shared" ref="AF130:AP130" si="204">SUM(AF131:AF133)</f>
        <v>29.04</v>
      </c>
      <c r="AG130" s="1469">
        <f t="shared" si="204"/>
        <v>30.28</v>
      </c>
      <c r="AH130" s="1469">
        <f t="shared" si="204"/>
        <v>29.34</v>
      </c>
      <c r="AI130" s="1469">
        <f t="shared" si="204"/>
        <v>28.99</v>
      </c>
      <c r="AJ130" s="1469">
        <f t="shared" si="204"/>
        <v>30</v>
      </c>
      <c r="AK130" s="1469">
        <f t="shared" si="204"/>
        <v>30.2</v>
      </c>
      <c r="AL130" s="1469">
        <f t="shared" si="204"/>
        <v>30</v>
      </c>
      <c r="AM130" s="1469">
        <f t="shared" si="204"/>
        <v>30.7</v>
      </c>
      <c r="AN130" s="1469">
        <f t="shared" si="204"/>
        <v>30</v>
      </c>
      <c r="AO130" s="1469">
        <f t="shared" si="204"/>
        <v>29.8</v>
      </c>
      <c r="AP130" s="2000">
        <f t="shared" si="204"/>
        <v>29.9</v>
      </c>
      <c r="AQ130" s="1469">
        <f t="shared" ref="AQ130:AQ143" si="205">SUM(AR130:BC130)</f>
        <v>360.02</v>
      </c>
      <c r="AR130" s="1469">
        <f>SUM(AR131:AR133)</f>
        <v>29.46</v>
      </c>
      <c r="AS130" s="1469">
        <f t="shared" ref="AS130:BC130" si="206">SUM(AS131:AS133)</f>
        <v>30.28</v>
      </c>
      <c r="AT130" s="1469">
        <f t="shared" si="206"/>
        <v>30.28</v>
      </c>
      <c r="AU130" s="1469">
        <f t="shared" si="206"/>
        <v>30</v>
      </c>
      <c r="AV130" s="1469">
        <f t="shared" si="206"/>
        <v>30</v>
      </c>
      <c r="AW130" s="1469">
        <f t="shared" si="206"/>
        <v>30</v>
      </c>
      <c r="AX130" s="1469">
        <f t="shared" si="206"/>
        <v>30</v>
      </c>
      <c r="AY130" s="1469">
        <f t="shared" si="206"/>
        <v>30</v>
      </c>
      <c r="AZ130" s="1469">
        <f t="shared" si="206"/>
        <v>30</v>
      </c>
      <c r="BA130" s="1469">
        <f t="shared" si="206"/>
        <v>30</v>
      </c>
      <c r="BB130" s="1469">
        <f t="shared" si="206"/>
        <v>30</v>
      </c>
      <c r="BC130" s="2000">
        <f t="shared" si="206"/>
        <v>30</v>
      </c>
    </row>
    <row r="131" spans="2:59">
      <c r="B131" s="1684"/>
      <c r="C131" s="1611" t="s">
        <v>531</v>
      </c>
      <c r="D131" s="1470">
        <f t="shared" si="199"/>
        <v>0</v>
      </c>
      <c r="E131" s="1685"/>
      <c r="F131" s="1685"/>
      <c r="G131" s="1685"/>
      <c r="H131" s="1685"/>
      <c r="I131" s="1685"/>
      <c r="J131" s="1685"/>
      <c r="K131" s="1685"/>
      <c r="L131" s="1685"/>
      <c r="M131" s="1685"/>
      <c r="N131" s="1685"/>
      <c r="O131" s="1685"/>
      <c r="P131" s="1685"/>
      <c r="Q131" s="1470">
        <f t="shared" si="201"/>
        <v>340.31</v>
      </c>
      <c r="R131" s="1471"/>
      <c r="S131" s="1471"/>
      <c r="T131" s="1471">
        <v>22.42</v>
      </c>
      <c r="U131" s="1471">
        <v>54.69</v>
      </c>
      <c r="V131" s="1471">
        <v>36.19</v>
      </c>
      <c r="W131" s="1471">
        <v>36.299999999999997</v>
      </c>
      <c r="X131" s="1471">
        <v>36.5</v>
      </c>
      <c r="Y131" s="1471">
        <v>33.99</v>
      </c>
      <c r="Z131" s="1471">
        <v>30.68</v>
      </c>
      <c r="AA131" s="1471">
        <v>29.46</v>
      </c>
      <c r="AB131" s="1471">
        <v>30.26</v>
      </c>
      <c r="AC131" s="1612">
        <v>29.82</v>
      </c>
      <c r="AD131" s="1470">
        <f t="shared" si="203"/>
        <v>357.71</v>
      </c>
      <c r="AE131" s="1471">
        <v>29.46</v>
      </c>
      <c r="AF131" s="1471">
        <v>29.04</v>
      </c>
      <c r="AG131" s="1471">
        <v>30.28</v>
      </c>
      <c r="AH131" s="1471">
        <v>29.34</v>
      </c>
      <c r="AI131" s="1471">
        <v>28.99</v>
      </c>
      <c r="AJ131" s="1471">
        <v>30</v>
      </c>
      <c r="AK131" s="1471">
        <v>30.2</v>
      </c>
      <c r="AL131" s="1471">
        <v>30</v>
      </c>
      <c r="AM131" s="1471">
        <v>30.7</v>
      </c>
      <c r="AN131" s="1471">
        <v>30</v>
      </c>
      <c r="AO131" s="1471">
        <v>29.8</v>
      </c>
      <c r="AP131" s="2001">
        <v>29.9</v>
      </c>
      <c r="AQ131" s="1470">
        <f t="shared" si="205"/>
        <v>360.02</v>
      </c>
      <c r="AR131" s="1471">
        <v>29.46</v>
      </c>
      <c r="AS131" s="1471">
        <v>30.28</v>
      </c>
      <c r="AT131" s="1471">
        <v>30.28</v>
      </c>
      <c r="AU131" s="1471">
        <v>30</v>
      </c>
      <c r="AV131" s="1471">
        <v>30</v>
      </c>
      <c r="AW131" s="1471">
        <v>30</v>
      </c>
      <c r="AX131" s="1471">
        <v>30</v>
      </c>
      <c r="AY131" s="1471">
        <v>30</v>
      </c>
      <c r="AZ131" s="1471">
        <v>30</v>
      </c>
      <c r="BA131" s="1471">
        <v>30</v>
      </c>
      <c r="BB131" s="1471">
        <v>30</v>
      </c>
      <c r="BC131" s="2001">
        <v>30</v>
      </c>
    </row>
    <row r="132" spans="2:59">
      <c r="B132" s="3281"/>
      <c r="C132" s="1611" t="s">
        <v>530</v>
      </c>
      <c r="D132" s="1470">
        <f t="shared" si="199"/>
        <v>0</v>
      </c>
      <c r="E132" s="1686"/>
      <c r="F132" s="1686"/>
      <c r="G132" s="1686"/>
      <c r="H132" s="1686"/>
      <c r="I132" s="1686"/>
      <c r="J132" s="1686"/>
      <c r="K132" s="1686"/>
      <c r="L132" s="1686"/>
      <c r="M132" s="1686"/>
      <c r="N132" s="1686"/>
      <c r="O132" s="1686"/>
      <c r="P132" s="1686"/>
      <c r="Q132" s="1470">
        <f t="shared" si="201"/>
        <v>0</v>
      </c>
      <c r="R132" s="1472"/>
      <c r="S132" s="1472"/>
      <c r="T132" s="1472"/>
      <c r="U132" s="1472"/>
      <c r="V132" s="1472"/>
      <c r="W132" s="1472"/>
      <c r="X132" s="1472"/>
      <c r="Y132" s="1472"/>
      <c r="Z132" s="1472"/>
      <c r="AA132" s="1472"/>
      <c r="AB132" s="1472"/>
      <c r="AC132" s="1625"/>
      <c r="AD132" s="1470">
        <f t="shared" si="203"/>
        <v>0</v>
      </c>
      <c r="AE132" s="1472"/>
      <c r="AF132" s="1472"/>
      <c r="AG132" s="1472"/>
      <c r="AH132" s="1472"/>
      <c r="AI132" s="1472"/>
      <c r="AJ132" s="1472"/>
      <c r="AK132" s="1472"/>
      <c r="AL132" s="1472"/>
      <c r="AM132" s="1472"/>
      <c r="AN132" s="1472"/>
      <c r="AO132" s="1472"/>
      <c r="AP132" s="2790"/>
      <c r="AQ132" s="1470">
        <f t="shared" si="205"/>
        <v>0</v>
      </c>
      <c r="AR132" s="1472"/>
      <c r="AS132" s="1472"/>
      <c r="AT132" s="1472"/>
      <c r="AU132" s="1472"/>
      <c r="AV132" s="1472"/>
      <c r="AW132" s="1472"/>
      <c r="AX132" s="1472"/>
      <c r="AY132" s="1472"/>
      <c r="AZ132" s="1472"/>
      <c r="BA132" s="1472"/>
      <c r="BB132" s="1472"/>
      <c r="BC132" s="2790"/>
    </row>
    <row r="133" spans="2:59">
      <c r="B133" s="3289"/>
      <c r="C133" s="1611"/>
      <c r="D133" s="1470">
        <f t="shared" si="199"/>
        <v>0</v>
      </c>
      <c r="E133" s="1686"/>
      <c r="F133" s="1686"/>
      <c r="G133" s="1686"/>
      <c r="H133" s="1686"/>
      <c r="I133" s="1686"/>
      <c r="J133" s="1686"/>
      <c r="K133" s="1686"/>
      <c r="L133" s="1686"/>
      <c r="M133" s="1686"/>
      <c r="N133" s="1686"/>
      <c r="O133" s="1686"/>
      <c r="P133" s="1686"/>
      <c r="Q133" s="1470">
        <f t="shared" si="201"/>
        <v>0</v>
      </c>
      <c r="R133" s="1472"/>
      <c r="S133" s="1472"/>
      <c r="T133" s="1472"/>
      <c r="U133" s="1472"/>
      <c r="V133" s="1472"/>
      <c r="W133" s="1472"/>
      <c r="X133" s="1472"/>
      <c r="Y133" s="1472"/>
      <c r="Z133" s="1472"/>
      <c r="AA133" s="1472"/>
      <c r="AB133" s="1472"/>
      <c r="AC133" s="1625"/>
      <c r="AD133" s="1470">
        <f t="shared" si="203"/>
        <v>0</v>
      </c>
      <c r="AE133" s="1472"/>
      <c r="AF133" s="1472"/>
      <c r="AG133" s="1472"/>
      <c r="AH133" s="1472"/>
      <c r="AI133" s="1472"/>
      <c r="AJ133" s="1472"/>
      <c r="AK133" s="1472"/>
      <c r="AL133" s="1472"/>
      <c r="AM133" s="1472"/>
      <c r="AN133" s="1472"/>
      <c r="AO133" s="1472"/>
      <c r="AP133" s="2790"/>
      <c r="AQ133" s="1470">
        <f t="shared" si="205"/>
        <v>0</v>
      </c>
      <c r="AR133" s="1472"/>
      <c r="AS133" s="1472"/>
      <c r="AT133" s="1472"/>
      <c r="AU133" s="1472"/>
      <c r="AV133" s="1472"/>
      <c r="AW133" s="1472"/>
      <c r="AX133" s="1472"/>
      <c r="AY133" s="1472"/>
      <c r="AZ133" s="1472"/>
      <c r="BA133" s="1472"/>
      <c r="BB133" s="1472"/>
      <c r="BC133" s="2790"/>
    </row>
    <row r="134" spans="2:59">
      <c r="B134" s="3290" t="s">
        <v>417</v>
      </c>
      <c r="C134" s="3291"/>
      <c r="D134" s="1469">
        <f t="shared" si="199"/>
        <v>0</v>
      </c>
      <c r="E134" s="1469">
        <f>SUM(E135:E142)</f>
        <v>0</v>
      </c>
      <c r="F134" s="1469">
        <f t="shared" ref="F134:P134" si="207">SUM(F135:F142)</f>
        <v>0</v>
      </c>
      <c r="G134" s="1469">
        <f t="shared" si="207"/>
        <v>0</v>
      </c>
      <c r="H134" s="1469">
        <f t="shared" si="207"/>
        <v>0</v>
      </c>
      <c r="I134" s="1469">
        <f t="shared" si="207"/>
        <v>0</v>
      </c>
      <c r="J134" s="1469">
        <f t="shared" si="207"/>
        <v>0</v>
      </c>
      <c r="K134" s="1469">
        <f t="shared" si="207"/>
        <v>0</v>
      </c>
      <c r="L134" s="1469">
        <f t="shared" si="207"/>
        <v>0</v>
      </c>
      <c r="M134" s="1469">
        <f t="shared" si="207"/>
        <v>0</v>
      </c>
      <c r="N134" s="1469">
        <f t="shared" si="207"/>
        <v>0</v>
      </c>
      <c r="O134" s="1469">
        <f t="shared" si="207"/>
        <v>0</v>
      </c>
      <c r="P134" s="1469">
        <f t="shared" si="207"/>
        <v>0</v>
      </c>
      <c r="Q134" s="1469">
        <f t="shared" si="201"/>
        <v>268.77124300000003</v>
      </c>
      <c r="R134" s="1469">
        <f>SUM(R135:R142)</f>
        <v>0</v>
      </c>
      <c r="S134" s="1469">
        <f t="shared" ref="S134:AC134" si="208">SUM(S135:S142)</f>
        <v>0</v>
      </c>
      <c r="T134" s="1469">
        <f t="shared" si="208"/>
        <v>27.443914999999997</v>
      </c>
      <c r="U134" s="1469">
        <f t="shared" si="208"/>
        <v>33.691744999999997</v>
      </c>
      <c r="V134" s="1469">
        <f t="shared" si="208"/>
        <v>31.583281999999997</v>
      </c>
      <c r="W134" s="1469">
        <f t="shared" si="208"/>
        <v>30.331662000000001</v>
      </c>
      <c r="X134" s="1469">
        <f t="shared" si="208"/>
        <v>30.510171</v>
      </c>
      <c r="Y134" s="1469">
        <f t="shared" si="208"/>
        <v>29.289738999999997</v>
      </c>
      <c r="Z134" s="1469">
        <f t="shared" si="208"/>
        <v>21.163134000000003</v>
      </c>
      <c r="AA134" s="1469">
        <f t="shared" si="208"/>
        <v>21.424148000000002</v>
      </c>
      <c r="AB134" s="1469">
        <f t="shared" si="208"/>
        <v>24.193911</v>
      </c>
      <c r="AC134" s="1469">
        <f t="shared" si="208"/>
        <v>19.139536</v>
      </c>
      <c r="AD134" s="1469">
        <f t="shared" si="203"/>
        <v>312.22897083333368</v>
      </c>
      <c r="AE134" s="1469">
        <f>SUM(AE135:AE142)</f>
        <v>32.124750166666715</v>
      </c>
      <c r="AF134" s="1469">
        <f t="shared" ref="AF134:AP134" si="209">SUM(AF135:AF142)</f>
        <v>24.798532583333337</v>
      </c>
      <c r="AG134" s="1469">
        <f t="shared" si="209"/>
        <v>34.274330666666664</v>
      </c>
      <c r="AH134" s="1469">
        <f t="shared" si="209"/>
        <v>26.461275499999999</v>
      </c>
      <c r="AI134" s="1469">
        <f t="shared" si="209"/>
        <v>24.780763250000003</v>
      </c>
      <c r="AJ134" s="1469">
        <f t="shared" si="209"/>
        <v>25.960219416666906</v>
      </c>
      <c r="AK134" s="1469">
        <f t="shared" si="209"/>
        <v>25.878284583333329</v>
      </c>
      <c r="AL134" s="1469">
        <f t="shared" si="209"/>
        <v>24.132749416666663</v>
      </c>
      <c r="AM134" s="1469">
        <f t="shared" si="209"/>
        <v>24.228677666666666</v>
      </c>
      <c r="AN134" s="1469">
        <f t="shared" si="209"/>
        <v>25.473961916666667</v>
      </c>
      <c r="AO134" s="1469">
        <f t="shared" si="209"/>
        <v>21.61248641666667</v>
      </c>
      <c r="AP134" s="1469">
        <f t="shared" si="209"/>
        <v>22.502939250000001</v>
      </c>
      <c r="AQ134" s="1469">
        <f t="shared" si="205"/>
        <v>314.73225049870575</v>
      </c>
      <c r="AR134" s="1469">
        <f>SUM(AR135:AR142)</f>
        <v>32.814787031828608</v>
      </c>
      <c r="AS134" s="1469">
        <f t="shared" ref="AS134:BC134" si="210">SUM(AS135:AS142)</f>
        <v>28.416670582656288</v>
      </c>
      <c r="AT134" s="1469">
        <f t="shared" si="210"/>
        <v>27.304019244367126</v>
      </c>
      <c r="AU134" s="1469">
        <f t="shared" si="210"/>
        <v>27.647205715877732</v>
      </c>
      <c r="AV134" s="1469">
        <f t="shared" si="210"/>
        <v>22.903843526887265</v>
      </c>
      <c r="AW134" s="1469">
        <f t="shared" si="210"/>
        <v>22.768426500446683</v>
      </c>
      <c r="AX134" s="1469">
        <f t="shared" si="210"/>
        <v>25.479549649440354</v>
      </c>
      <c r="AY134" s="1469">
        <f t="shared" si="210"/>
        <v>25.479549649440354</v>
      </c>
      <c r="AZ134" s="1469">
        <f t="shared" si="210"/>
        <v>25.479549649440354</v>
      </c>
      <c r="BA134" s="1469">
        <f t="shared" si="210"/>
        <v>25.479549649440354</v>
      </c>
      <c r="BB134" s="1469">
        <f t="shared" si="210"/>
        <v>25.479549649440354</v>
      </c>
      <c r="BC134" s="2000">
        <f t="shared" si="210"/>
        <v>25.479549649440354</v>
      </c>
    </row>
    <row r="135" spans="2:59">
      <c r="B135" s="2845"/>
      <c r="C135" s="1613" t="s">
        <v>449</v>
      </c>
      <c r="D135" s="1470">
        <f t="shared" si="199"/>
        <v>0</v>
      </c>
      <c r="E135" s="1685"/>
      <c r="F135" s="1685"/>
      <c r="G135" s="1685"/>
      <c r="H135" s="1685"/>
      <c r="I135" s="1685"/>
      <c r="J135" s="1685"/>
      <c r="K135" s="1685"/>
      <c r="L135" s="1685"/>
      <c r="M135" s="1685"/>
      <c r="N135" s="1685"/>
      <c r="O135" s="1685"/>
      <c r="P135" s="1685"/>
      <c r="Q135" s="1470">
        <f t="shared" si="201"/>
        <v>0</v>
      </c>
      <c r="R135" s="1471"/>
      <c r="S135" s="1471"/>
      <c r="T135" s="1471"/>
      <c r="U135" s="1471"/>
      <c r="V135" s="1471"/>
      <c r="W135" s="1471"/>
      <c r="X135" s="1471"/>
      <c r="Y135" s="1471"/>
      <c r="Z135" s="1471"/>
      <c r="AA135" s="1471"/>
      <c r="AB135" s="1471"/>
      <c r="AC135" s="1612"/>
      <c r="AD135" s="1470">
        <f t="shared" si="203"/>
        <v>0.72833333333333339</v>
      </c>
      <c r="AE135" s="1471"/>
      <c r="AF135" s="1471"/>
      <c r="AG135" s="1471"/>
      <c r="AH135" s="1471"/>
      <c r="AI135" s="1471"/>
      <c r="AJ135" s="1471"/>
      <c r="AK135" s="1471"/>
      <c r="AL135" s="1471"/>
      <c r="AM135" s="1471"/>
      <c r="AN135" s="1471"/>
      <c r="AO135" s="1471"/>
      <c r="AP135" s="2001">
        <v>0.72833333333333339</v>
      </c>
      <c r="AQ135" s="1470">
        <f t="shared" si="205"/>
        <v>0</v>
      </c>
      <c r="AR135" s="1471"/>
      <c r="AS135" s="1471"/>
      <c r="AT135" s="1471"/>
      <c r="AU135" s="1471"/>
      <c r="AV135" s="1471"/>
      <c r="AW135" s="1471"/>
      <c r="AX135" s="1471"/>
      <c r="AY135" s="1471"/>
      <c r="AZ135" s="1471"/>
      <c r="BA135" s="1471"/>
      <c r="BB135" s="1471"/>
      <c r="BC135" s="2001"/>
    </row>
    <row r="136" spans="2:59">
      <c r="B136" s="1684"/>
      <c r="C136" s="1613" t="s">
        <v>84</v>
      </c>
      <c r="D136" s="1470">
        <f t="shared" si="199"/>
        <v>0</v>
      </c>
      <c r="E136" s="1685"/>
      <c r="F136" s="1685"/>
      <c r="G136" s="1685"/>
      <c r="H136" s="1685"/>
      <c r="I136" s="1685"/>
      <c r="J136" s="1685"/>
      <c r="K136" s="1685"/>
      <c r="L136" s="1685"/>
      <c r="M136" s="1685"/>
      <c r="N136" s="1685"/>
      <c r="O136" s="1685"/>
      <c r="P136" s="1685"/>
      <c r="Q136" s="1470">
        <f t="shared" si="201"/>
        <v>10.544551999999999</v>
      </c>
      <c r="R136" s="1471"/>
      <c r="S136" s="1471"/>
      <c r="T136" s="1471">
        <v>1.2931520000000001</v>
      </c>
      <c r="U136" s="1471"/>
      <c r="V136" s="1471">
        <v>2.1215679999999999</v>
      </c>
      <c r="W136" s="1471"/>
      <c r="X136" s="1471"/>
      <c r="Y136" s="1471">
        <v>1.996437</v>
      </c>
      <c r="Z136" s="1471">
        <v>0.91701900000000003</v>
      </c>
      <c r="AA136" s="1471">
        <v>1.748694</v>
      </c>
      <c r="AB136" s="1471">
        <v>1.378317</v>
      </c>
      <c r="AC136" s="1612">
        <v>1.0893649999999999</v>
      </c>
      <c r="AD136" s="1470">
        <f t="shared" si="203"/>
        <v>11.502138000000002</v>
      </c>
      <c r="AE136" s="1471">
        <v>0.66119899999999998</v>
      </c>
      <c r="AF136" s="1471">
        <v>1.63222</v>
      </c>
      <c r="AG136" s="1471">
        <v>0.99188600000000005</v>
      </c>
      <c r="AH136" s="1471">
        <v>0.88144199999999995</v>
      </c>
      <c r="AI136" s="1471">
        <v>0.89542600000000006</v>
      </c>
      <c r="AJ136" s="1471">
        <v>0.912713</v>
      </c>
      <c r="AK136" s="1471">
        <v>0.912771</v>
      </c>
      <c r="AL136" s="1471">
        <v>1.316017</v>
      </c>
      <c r="AM136" s="1471">
        <v>0.69047800000000004</v>
      </c>
      <c r="AN136" s="1471">
        <v>0.85587800000000003</v>
      </c>
      <c r="AO136" s="1471">
        <v>0.81284800000000001</v>
      </c>
      <c r="AP136" s="2001">
        <v>0.93925999999999998</v>
      </c>
      <c r="AQ136" s="1470">
        <f t="shared" si="205"/>
        <v>9.5647975389636439</v>
      </c>
      <c r="AR136" s="1471">
        <v>0.55227875244518565</v>
      </c>
      <c r="AS136" s="1471">
        <v>1.3633420881097535</v>
      </c>
      <c r="AT136" s="1471">
        <v>0.82849121466887488</v>
      </c>
      <c r="AU136" s="1471">
        <v>0.73624081118209384</v>
      </c>
      <c r="AV136" s="1471">
        <v>0.74792120706017828</v>
      </c>
      <c r="AW136" s="1471">
        <v>0.7623604950710795</v>
      </c>
      <c r="AX136" s="1471">
        <v>0.7623604950710795</v>
      </c>
      <c r="AY136" s="1471">
        <v>0.7623604950710795</v>
      </c>
      <c r="AZ136" s="1471">
        <v>0.7623604950710795</v>
      </c>
      <c r="BA136" s="1471">
        <v>0.7623604950710795</v>
      </c>
      <c r="BB136" s="1471">
        <v>0.7623604950710795</v>
      </c>
      <c r="BC136" s="2001">
        <v>0.7623604950710795</v>
      </c>
    </row>
    <row r="137" spans="2:59">
      <c r="B137" s="3281"/>
      <c r="C137" s="1613" t="s">
        <v>82</v>
      </c>
      <c r="D137" s="1470">
        <f t="shared" si="199"/>
        <v>0</v>
      </c>
      <c r="E137" s="1685"/>
      <c r="F137" s="1685"/>
      <c r="G137" s="1685"/>
      <c r="H137" s="1685"/>
      <c r="I137" s="1685"/>
      <c r="J137" s="1685"/>
      <c r="K137" s="1685"/>
      <c r="L137" s="1685"/>
      <c r="M137" s="1685"/>
      <c r="N137" s="1685"/>
      <c r="O137" s="1685"/>
      <c r="P137" s="1685"/>
      <c r="Q137" s="1470">
        <f t="shared" si="201"/>
        <v>217.06309200000001</v>
      </c>
      <c r="R137" s="1471"/>
      <c r="S137" s="1471"/>
      <c r="T137" s="1471">
        <v>6.4523460000000004</v>
      </c>
      <c r="U137" s="1471">
        <v>29.417204999999999</v>
      </c>
      <c r="V137" s="1471">
        <v>28.801417999999998</v>
      </c>
      <c r="W137" s="1471">
        <v>26.902215000000002</v>
      </c>
      <c r="X137" s="1471">
        <v>26.574562</v>
      </c>
      <c r="Y137" s="1471">
        <v>25.366689999999998</v>
      </c>
      <c r="Z137" s="1471">
        <v>18.292593</v>
      </c>
      <c r="AA137" s="1471">
        <v>17.797612000000001</v>
      </c>
      <c r="AB137" s="1471">
        <v>21.115991000000001</v>
      </c>
      <c r="AC137" s="1612">
        <v>16.342459999999999</v>
      </c>
      <c r="AD137" s="1470">
        <f t="shared" si="203"/>
        <v>234.78320650000001</v>
      </c>
      <c r="AE137" s="1471">
        <v>23.977568083333331</v>
      </c>
      <c r="AF137" s="1471">
        <v>18.830817249999999</v>
      </c>
      <c r="AG137" s="1471">
        <v>25.997800000000002</v>
      </c>
      <c r="AH137" s="1471">
        <v>20.833959666666665</v>
      </c>
      <c r="AI137" s="1471">
        <v>19.747441999999999</v>
      </c>
      <c r="AJ137" s="1471">
        <v>20.722224666666666</v>
      </c>
      <c r="AK137" s="1471">
        <v>18.700053583333332</v>
      </c>
      <c r="AL137" s="1471">
        <v>18.624006999999999</v>
      </c>
      <c r="AM137" s="1471">
        <v>18.66070633333333</v>
      </c>
      <c r="AN137" s="1471">
        <v>18.624381083333333</v>
      </c>
      <c r="AO137" s="1471">
        <v>15.062722083333334</v>
      </c>
      <c r="AP137" s="2001">
        <v>15.00152475</v>
      </c>
      <c r="AQ137" s="1470">
        <f t="shared" si="205"/>
        <v>233.07264034983888</v>
      </c>
      <c r="AR137" s="1471">
        <v>22.477641243638828</v>
      </c>
      <c r="AS137" s="1471">
        <v>17.232858286789771</v>
      </c>
      <c r="AT137" s="1471">
        <v>16.547104369076273</v>
      </c>
      <c r="AU137" s="1471">
        <v>16.483603578668475</v>
      </c>
      <c r="AV137" s="1471">
        <v>12.35852028139924</v>
      </c>
      <c r="AW137" s="1471">
        <v>13.53963635267233</v>
      </c>
      <c r="AX137" s="1471">
        <v>22.405546039598999</v>
      </c>
      <c r="AY137" s="1471">
        <v>22.405546039598999</v>
      </c>
      <c r="AZ137" s="1471">
        <v>22.405546039598999</v>
      </c>
      <c r="BA137" s="1471">
        <v>22.405546039598999</v>
      </c>
      <c r="BB137" s="1471">
        <v>22.405546039598999</v>
      </c>
      <c r="BC137" s="2001">
        <v>22.405546039598999</v>
      </c>
      <c r="BE137" s="2874"/>
      <c r="BF137" s="489"/>
    </row>
    <row r="138" spans="2:59">
      <c r="B138" s="3281"/>
      <c r="C138" s="1613" t="s">
        <v>419</v>
      </c>
      <c r="D138" s="1470">
        <f t="shared" si="199"/>
        <v>0</v>
      </c>
      <c r="E138" s="1686"/>
      <c r="F138" s="1686"/>
      <c r="G138" s="1686"/>
      <c r="H138" s="1685"/>
      <c r="I138" s="1686"/>
      <c r="J138" s="1686"/>
      <c r="K138" s="1686"/>
      <c r="L138" s="1686"/>
      <c r="M138" s="1686"/>
      <c r="N138" s="1686"/>
      <c r="O138" s="1686"/>
      <c r="P138" s="1686"/>
      <c r="Q138" s="1470">
        <f t="shared" si="201"/>
        <v>24.932079999999999</v>
      </c>
      <c r="R138" s="1472"/>
      <c r="S138" s="1472"/>
      <c r="T138" s="1472">
        <v>16.995999999999999</v>
      </c>
      <c r="U138" s="1472">
        <v>2.1070760000000002</v>
      </c>
      <c r="V138" s="1472">
        <v>0.22301699999999999</v>
      </c>
      <c r="W138" s="1472">
        <v>2.0681099999999999</v>
      </c>
      <c r="X138" s="1472">
        <v>2.2835009999999998</v>
      </c>
      <c r="Y138" s="1472">
        <v>0.20701900000000001</v>
      </c>
      <c r="Z138" s="1472">
        <v>0.34526499999999999</v>
      </c>
      <c r="AA138" s="1472">
        <v>0.336034</v>
      </c>
      <c r="AB138" s="1472">
        <v>0.183141</v>
      </c>
      <c r="AC138" s="1625">
        <v>0.182917</v>
      </c>
      <c r="AD138" s="1470">
        <f t="shared" si="203"/>
        <v>5.5242205833333333</v>
      </c>
      <c r="AE138" s="1472">
        <v>2.0907201666666668</v>
      </c>
      <c r="AF138" s="1472">
        <v>0.23099725000000002</v>
      </c>
      <c r="AG138" s="1472">
        <v>0.2916873333333333</v>
      </c>
      <c r="AH138" s="1472">
        <v>0.25612666666666667</v>
      </c>
      <c r="AI138" s="1472">
        <v>0.24562216666666667</v>
      </c>
      <c r="AJ138" s="1472">
        <v>0.25253799999999998</v>
      </c>
      <c r="AK138" s="1472">
        <v>0.81617358333333334</v>
      </c>
      <c r="AL138" s="1472">
        <v>0.240616</v>
      </c>
      <c r="AM138" s="1472">
        <v>0.25908541666666668</v>
      </c>
      <c r="AN138" s="1472">
        <v>0.25557766666666665</v>
      </c>
      <c r="AO138" s="1472">
        <v>0.31054066666666669</v>
      </c>
      <c r="AP138" s="2790">
        <v>0.27453566666666668</v>
      </c>
      <c r="AQ138" s="1470">
        <f t="shared" si="205"/>
        <v>10.15054661725952</v>
      </c>
      <c r="AR138" s="1472">
        <v>0.32119251073847177</v>
      </c>
      <c r="AS138" s="1472">
        <v>0.32924115881350186</v>
      </c>
      <c r="AT138" s="1472">
        <v>0.42739635434315082</v>
      </c>
      <c r="AU138" s="1472">
        <v>0.35030718934667376</v>
      </c>
      <c r="AV138" s="1472">
        <v>0.31927529091542456</v>
      </c>
      <c r="AW138" s="1472">
        <v>6.4759790486714657</v>
      </c>
      <c r="AX138" s="1472">
        <v>0.32119251073847177</v>
      </c>
      <c r="AY138" s="1472">
        <v>0.32119251073847177</v>
      </c>
      <c r="AZ138" s="1472">
        <v>0.32119251073847177</v>
      </c>
      <c r="BA138" s="1472">
        <v>0.32119251073847177</v>
      </c>
      <c r="BB138" s="1472">
        <v>0.32119251073847177</v>
      </c>
      <c r="BC138" s="2790">
        <v>0.32119251073847177</v>
      </c>
    </row>
    <row r="139" spans="2:59">
      <c r="B139" s="3281"/>
      <c r="C139" s="1613" t="s">
        <v>77</v>
      </c>
      <c r="D139" s="1470">
        <f t="shared" si="199"/>
        <v>0</v>
      </c>
      <c r="E139" s="1686"/>
      <c r="F139" s="1686"/>
      <c r="G139" s="1686"/>
      <c r="H139" s="1685"/>
      <c r="I139" s="1686"/>
      <c r="J139" s="1686"/>
      <c r="K139" s="1686"/>
      <c r="L139" s="1686"/>
      <c r="M139" s="1686"/>
      <c r="N139" s="1686"/>
      <c r="O139" s="1686"/>
      <c r="P139" s="1686"/>
      <c r="Q139" s="1470">
        <f t="shared" si="201"/>
        <v>16.122569999999996</v>
      </c>
      <c r="R139" s="1472"/>
      <c r="S139" s="1472"/>
      <c r="T139" s="1472">
        <v>2.4624169999999999</v>
      </c>
      <c r="U139" s="1472">
        <v>2.1674639999999998</v>
      </c>
      <c r="V139" s="1472">
        <v>0.43727899999999997</v>
      </c>
      <c r="W139" s="1472">
        <v>1.361337</v>
      </c>
      <c r="X139" s="1472">
        <v>1.6521079999999999</v>
      </c>
      <c r="Y139" s="1472">
        <v>1.7195929999999999</v>
      </c>
      <c r="Z139" s="1472">
        <v>1.7393080000000001</v>
      </c>
      <c r="AA139" s="1472">
        <v>1.5418080000000001</v>
      </c>
      <c r="AB139" s="1472">
        <v>1.516462</v>
      </c>
      <c r="AC139" s="1625">
        <v>1.524794</v>
      </c>
      <c r="AD139" s="1470">
        <f t="shared" si="203"/>
        <v>18.795739999999999</v>
      </c>
      <c r="AE139" s="1472">
        <v>1.6326179999999999</v>
      </c>
      <c r="AF139" s="1472">
        <v>1.661238</v>
      </c>
      <c r="AG139" s="1472">
        <v>1.7227189999999999</v>
      </c>
      <c r="AH139" s="1472">
        <v>1.4905729999999999</v>
      </c>
      <c r="AI139" s="1472">
        <v>1.5099830000000001</v>
      </c>
      <c r="AJ139" s="1472">
        <v>1.4904679999999999</v>
      </c>
      <c r="AK139" s="1472">
        <v>1.5553790000000001</v>
      </c>
      <c r="AL139" s="1472">
        <v>1.6109</v>
      </c>
      <c r="AM139" s="1472">
        <v>1.576454</v>
      </c>
      <c r="AN139" s="1472">
        <v>1.5392539999999999</v>
      </c>
      <c r="AO139" s="1472">
        <v>1.4840100000000001</v>
      </c>
      <c r="AP139" s="2790">
        <v>1.5221439999999999</v>
      </c>
      <c r="AQ139" s="1470">
        <f t="shared" si="205"/>
        <v>15.411045328359425</v>
      </c>
      <c r="AR139" s="1472">
        <v>1.3636745250061693</v>
      </c>
      <c r="AS139" s="1472">
        <v>1.3875799118790793</v>
      </c>
      <c r="AT139" s="1472">
        <v>1.4389330596894698</v>
      </c>
      <c r="AU139" s="1472">
        <v>1.245028798997696</v>
      </c>
      <c r="AV139" s="1472">
        <v>1.2612413622123426</v>
      </c>
      <c r="AW139" s="1472">
        <v>1.2449410957963805</v>
      </c>
      <c r="AX139" s="1472">
        <v>1.2449410957963805</v>
      </c>
      <c r="AY139" s="1472">
        <v>1.2449410957963805</v>
      </c>
      <c r="AZ139" s="1472">
        <v>1.2449410957963805</v>
      </c>
      <c r="BA139" s="1472">
        <v>1.2449410957963805</v>
      </c>
      <c r="BB139" s="1472">
        <v>1.2449410957963805</v>
      </c>
      <c r="BC139" s="2790">
        <v>1.2449410957963805</v>
      </c>
    </row>
    <row r="140" spans="2:59">
      <c r="B140" s="3281"/>
      <c r="C140" s="1613" t="s">
        <v>418</v>
      </c>
      <c r="D140" s="1470">
        <f t="shared" si="199"/>
        <v>0</v>
      </c>
      <c r="E140" s="1686"/>
      <c r="F140" s="1686"/>
      <c r="G140" s="1686"/>
      <c r="H140" s="1685"/>
      <c r="I140" s="1686"/>
      <c r="J140" s="1686"/>
      <c r="K140" s="1686"/>
      <c r="L140" s="1686"/>
      <c r="M140" s="1686"/>
      <c r="N140" s="1686"/>
      <c r="O140" s="1686"/>
      <c r="P140" s="1686"/>
      <c r="Q140" s="1470">
        <f t="shared" si="201"/>
        <v>0</v>
      </c>
      <c r="R140" s="1472"/>
      <c r="S140" s="1472"/>
      <c r="T140" s="1472"/>
      <c r="U140" s="1472"/>
      <c r="V140" s="1472"/>
      <c r="W140" s="1472"/>
      <c r="X140" s="1472"/>
      <c r="Y140" s="1472"/>
      <c r="Z140" s="1472"/>
      <c r="AA140" s="1472"/>
      <c r="AB140" s="1472"/>
      <c r="AC140" s="1625"/>
      <c r="AD140" s="1470">
        <f t="shared" si="203"/>
        <v>37.300457916666666</v>
      </c>
      <c r="AE140" s="1472">
        <v>3.3550555000000002</v>
      </c>
      <c r="AF140" s="1472">
        <v>2.2925154166666668</v>
      </c>
      <c r="AG140" s="1472">
        <v>5.1319312500000001</v>
      </c>
      <c r="AH140" s="1472">
        <v>2.6304229166666668</v>
      </c>
      <c r="AI140" s="1472">
        <v>2.1976532500000001</v>
      </c>
      <c r="AJ140" s="1472">
        <v>2.3595386666666669</v>
      </c>
      <c r="AK140" s="1472">
        <v>3.3039073333333331</v>
      </c>
      <c r="AL140" s="1472">
        <v>2.1916849166666665</v>
      </c>
      <c r="AM140" s="1472">
        <v>2.7579364166666664</v>
      </c>
      <c r="AN140" s="1472">
        <v>3.9687347499999999</v>
      </c>
      <c r="AO140" s="1472">
        <v>3.4559156666666664</v>
      </c>
      <c r="AP140" s="2790">
        <v>3.6551618333333331</v>
      </c>
      <c r="AQ140" s="1470">
        <f t="shared" si="205"/>
        <v>38</v>
      </c>
      <c r="AR140" s="1472">
        <v>7.5999999999999552</v>
      </c>
      <c r="AS140" s="1472">
        <v>7.5999999999999552</v>
      </c>
      <c r="AT140" s="1472">
        <v>7.5999999999999552</v>
      </c>
      <c r="AU140" s="1472">
        <v>7.600000000000172</v>
      </c>
      <c r="AV140" s="1472">
        <v>7.5999999999999623</v>
      </c>
      <c r="AW140" s="1472">
        <v>0</v>
      </c>
      <c r="AX140" s="1472">
        <v>0</v>
      </c>
      <c r="AY140" s="1472">
        <v>0</v>
      </c>
      <c r="AZ140" s="1472">
        <v>0</v>
      </c>
      <c r="BA140" s="1472">
        <v>0</v>
      </c>
      <c r="BB140" s="1472">
        <v>0</v>
      </c>
      <c r="BC140" s="2790">
        <v>0</v>
      </c>
      <c r="BF140" s="2876"/>
      <c r="BG140" s="2876"/>
    </row>
    <row r="141" spans="2:59">
      <c r="B141" s="3281"/>
      <c r="C141" s="1613" t="s">
        <v>538</v>
      </c>
      <c r="D141" s="1470">
        <f t="shared" si="199"/>
        <v>0</v>
      </c>
      <c r="E141" s="1686"/>
      <c r="F141" s="1686"/>
      <c r="G141" s="1686"/>
      <c r="H141" s="1685"/>
      <c r="I141" s="1686"/>
      <c r="J141" s="1686"/>
      <c r="K141" s="1686"/>
      <c r="L141" s="1685"/>
      <c r="M141" s="1686"/>
      <c r="N141" s="1686"/>
      <c r="O141" s="1686"/>
      <c r="P141" s="1686"/>
      <c r="Q141" s="1470">
        <f t="shared" si="201"/>
        <v>0.10894899999999999</v>
      </c>
      <c r="R141" s="1472"/>
      <c r="S141" s="1472"/>
      <c r="T141" s="1472">
        <v>0.24</v>
      </c>
      <c r="U141" s="1472"/>
      <c r="V141" s="1472"/>
      <c r="W141" s="1472"/>
      <c r="X141" s="1472"/>
      <c r="Y141" s="1472"/>
      <c r="Z141" s="1472">
        <f>0.09-0.221051</f>
        <v>-0.131051</v>
      </c>
      <c r="AA141" s="1472"/>
      <c r="AB141" s="1472"/>
      <c r="AC141" s="1625"/>
      <c r="AD141" s="1470">
        <f t="shared" si="203"/>
        <v>3.5948745000002922</v>
      </c>
      <c r="AE141" s="1472">
        <v>0.40758941666672005</v>
      </c>
      <c r="AF141" s="1472">
        <v>0.15074466666666667</v>
      </c>
      <c r="AG141" s="1472">
        <v>0.13830708333333333</v>
      </c>
      <c r="AH141" s="1472">
        <v>0.36875125000000003</v>
      </c>
      <c r="AI141" s="1472">
        <v>0.18463683333333333</v>
      </c>
      <c r="AJ141" s="1472">
        <v>0.22273708333357176</v>
      </c>
      <c r="AK141" s="1472">
        <v>0.59000008333333331</v>
      </c>
      <c r="AL141" s="1472">
        <v>0.1495245</v>
      </c>
      <c r="AM141" s="1472">
        <v>0.28401749999999998</v>
      </c>
      <c r="AN141" s="1472">
        <v>0.23013641666666665</v>
      </c>
      <c r="AO141" s="1472">
        <v>0.48644999999999999</v>
      </c>
      <c r="AP141" s="2790">
        <v>0.38197966666666666</v>
      </c>
      <c r="AQ141" s="1470">
        <f t="shared" si="205"/>
        <v>8.5332206642843502</v>
      </c>
      <c r="AR141" s="1472">
        <v>0.5</v>
      </c>
      <c r="AS141" s="1472">
        <v>0.50364913706422443</v>
      </c>
      <c r="AT141" s="1472">
        <v>0.46209424658939691</v>
      </c>
      <c r="AU141" s="1472">
        <v>1.2320253376826207</v>
      </c>
      <c r="AV141" s="1472">
        <v>0.61688538530011694</v>
      </c>
      <c r="AW141" s="1472">
        <v>0.74550950823542694</v>
      </c>
      <c r="AX141" s="1472">
        <v>0.74550950823542694</v>
      </c>
      <c r="AY141" s="1472">
        <v>0.74550950823542694</v>
      </c>
      <c r="AZ141" s="1472">
        <v>0.74550950823542694</v>
      </c>
      <c r="BA141" s="1472">
        <v>0.74550950823542694</v>
      </c>
      <c r="BB141" s="1472">
        <v>0.74550950823542694</v>
      </c>
      <c r="BC141" s="2790">
        <v>0.74550950823542694</v>
      </c>
    </row>
    <row r="142" spans="2:59">
      <c r="B142" s="3289"/>
      <c r="C142" s="1613"/>
      <c r="D142" s="1470">
        <f t="shared" si="199"/>
        <v>0</v>
      </c>
      <c r="E142" s="1686"/>
      <c r="F142" s="1686"/>
      <c r="G142" s="1686"/>
      <c r="H142" s="1685"/>
      <c r="I142" s="1686"/>
      <c r="J142" s="1686"/>
      <c r="K142" s="1686"/>
      <c r="L142" s="1685"/>
      <c r="M142" s="1686"/>
      <c r="N142" s="1686"/>
      <c r="O142" s="1686"/>
      <c r="P142" s="1686"/>
      <c r="Q142" s="1470">
        <f t="shared" si="201"/>
        <v>0</v>
      </c>
      <c r="R142" s="1472"/>
      <c r="S142" s="1472"/>
      <c r="T142" s="1472"/>
      <c r="U142" s="1472"/>
      <c r="V142" s="1472"/>
      <c r="W142" s="1472"/>
      <c r="X142" s="1472"/>
      <c r="Y142" s="1472"/>
      <c r="Z142" s="1472"/>
      <c r="AA142" s="1472"/>
      <c r="AB142" s="1472"/>
      <c r="AC142" s="1625"/>
      <c r="AD142" s="1470">
        <f t="shared" si="203"/>
        <v>0</v>
      </c>
      <c r="AE142" s="1472"/>
      <c r="AF142" s="1472"/>
      <c r="AG142" s="1472"/>
      <c r="AH142" s="1472"/>
      <c r="AI142" s="1472"/>
      <c r="AJ142" s="1472"/>
      <c r="AK142" s="1472"/>
      <c r="AL142" s="1472"/>
      <c r="AM142" s="1472"/>
      <c r="AN142" s="1472"/>
      <c r="AO142" s="1472"/>
      <c r="AP142" s="2790"/>
      <c r="AQ142" s="1470">
        <f t="shared" si="205"/>
        <v>0</v>
      </c>
      <c r="AR142" s="1472"/>
      <c r="AS142" s="1472"/>
      <c r="AT142" s="1472"/>
      <c r="AU142" s="1472"/>
      <c r="AV142" s="1472"/>
      <c r="AW142" s="1472"/>
      <c r="AX142" s="1472"/>
      <c r="AY142" s="1472"/>
      <c r="AZ142" s="1472"/>
      <c r="BA142" s="1472"/>
      <c r="BB142" s="1472"/>
      <c r="BC142" s="2790"/>
    </row>
    <row r="143" spans="2:59">
      <c r="B143" s="3292" t="s">
        <v>421</v>
      </c>
      <c r="C143" s="3291"/>
      <c r="D143" s="1469">
        <f t="shared" si="199"/>
        <v>0</v>
      </c>
      <c r="E143" s="1469">
        <f>E130-E134</f>
        <v>0</v>
      </c>
      <c r="F143" s="1469">
        <f t="shared" ref="F143:P143" si="211">F130-F134</f>
        <v>0</v>
      </c>
      <c r="G143" s="1469">
        <f t="shared" si="211"/>
        <v>0</v>
      </c>
      <c r="H143" s="1469">
        <f t="shared" si="211"/>
        <v>0</v>
      </c>
      <c r="I143" s="1469">
        <f t="shared" si="211"/>
        <v>0</v>
      </c>
      <c r="J143" s="1469">
        <f t="shared" si="211"/>
        <v>0</v>
      </c>
      <c r="K143" s="1469">
        <f t="shared" si="211"/>
        <v>0</v>
      </c>
      <c r="L143" s="1469">
        <f t="shared" si="211"/>
        <v>0</v>
      </c>
      <c r="M143" s="1469">
        <f t="shared" si="211"/>
        <v>0</v>
      </c>
      <c r="N143" s="1469">
        <f t="shared" si="211"/>
        <v>0</v>
      </c>
      <c r="O143" s="1469">
        <f t="shared" si="211"/>
        <v>0</v>
      </c>
      <c r="P143" s="1469">
        <f t="shared" si="211"/>
        <v>0</v>
      </c>
      <c r="Q143" s="1469">
        <f t="shared" si="201"/>
        <v>71.538757000000004</v>
      </c>
      <c r="R143" s="1469">
        <f>R130-R134</f>
        <v>0</v>
      </c>
      <c r="S143" s="1469">
        <f t="shared" ref="S143:AC143" si="212">S130-S134</f>
        <v>0</v>
      </c>
      <c r="T143" s="1469">
        <f t="shared" si="212"/>
        <v>-5.0239149999999952</v>
      </c>
      <c r="U143" s="1469">
        <f t="shared" si="212"/>
        <v>20.998255</v>
      </c>
      <c r="V143" s="1469">
        <f t="shared" si="212"/>
        <v>4.6067180000000008</v>
      </c>
      <c r="W143" s="1469">
        <f t="shared" si="212"/>
        <v>5.9683379999999957</v>
      </c>
      <c r="X143" s="1469">
        <f t="shared" si="212"/>
        <v>5.9898290000000003</v>
      </c>
      <c r="Y143" s="1469">
        <f t="shared" si="212"/>
        <v>4.7002610000000047</v>
      </c>
      <c r="Z143" s="1469">
        <f t="shared" si="212"/>
        <v>9.5168659999999967</v>
      </c>
      <c r="AA143" s="1469">
        <f t="shared" si="212"/>
        <v>8.0358519999999984</v>
      </c>
      <c r="AB143" s="1469">
        <f t="shared" si="212"/>
        <v>6.0660890000000016</v>
      </c>
      <c r="AC143" s="1610">
        <f t="shared" si="212"/>
        <v>10.680464000000001</v>
      </c>
      <c r="AD143" s="1469">
        <f t="shared" si="203"/>
        <v>45.481029166666374</v>
      </c>
      <c r="AE143" s="1469">
        <f>AE130-AE134</f>
        <v>-2.6647501666667139</v>
      </c>
      <c r="AF143" s="1469">
        <f t="shared" ref="AF143:AP143" si="213">AF130-AF134</f>
        <v>4.2414674166666622</v>
      </c>
      <c r="AG143" s="1469">
        <f t="shared" si="213"/>
        <v>-3.9943306666666629</v>
      </c>
      <c r="AH143" s="1469">
        <f t="shared" si="213"/>
        <v>2.8787245000000006</v>
      </c>
      <c r="AI143" s="1469">
        <f t="shared" si="213"/>
        <v>4.2092367499999952</v>
      </c>
      <c r="AJ143" s="1469">
        <f t="shared" si="213"/>
        <v>4.0397805833330942</v>
      </c>
      <c r="AK143" s="1469">
        <f t="shared" si="213"/>
        <v>4.3217154166666703</v>
      </c>
      <c r="AL143" s="1469">
        <f t="shared" si="213"/>
        <v>5.8672505833333375</v>
      </c>
      <c r="AM143" s="1469">
        <f t="shared" si="213"/>
        <v>6.4713223333333332</v>
      </c>
      <c r="AN143" s="1469">
        <f t="shared" si="213"/>
        <v>4.5260380833333329</v>
      </c>
      <c r="AO143" s="1469">
        <f t="shared" si="213"/>
        <v>8.187513583333331</v>
      </c>
      <c r="AP143" s="2000">
        <f t="shared" si="213"/>
        <v>7.3970607499999979</v>
      </c>
      <c r="AQ143" s="1469">
        <f t="shared" si="205"/>
        <v>45.287749501294172</v>
      </c>
      <c r="AR143" s="1469">
        <f>AR130-AR134</f>
        <v>-3.3547870318286073</v>
      </c>
      <c r="AS143" s="1469">
        <f t="shared" ref="AS143:BC143" si="214">AS130-AS134</f>
        <v>1.8633294173437136</v>
      </c>
      <c r="AT143" s="1469">
        <f t="shared" si="214"/>
        <v>2.9759807556328752</v>
      </c>
      <c r="AU143" s="1469">
        <f t="shared" si="214"/>
        <v>2.3527942841222682</v>
      </c>
      <c r="AV143" s="1469">
        <f t="shared" si="214"/>
        <v>7.0961564731127353</v>
      </c>
      <c r="AW143" s="1469">
        <f t="shared" si="214"/>
        <v>7.231573499553317</v>
      </c>
      <c r="AX143" s="1469">
        <f t="shared" si="214"/>
        <v>4.5204503505596456</v>
      </c>
      <c r="AY143" s="1469">
        <f t="shared" si="214"/>
        <v>4.5204503505596456</v>
      </c>
      <c r="AZ143" s="1469">
        <f t="shared" si="214"/>
        <v>4.5204503505596456</v>
      </c>
      <c r="BA143" s="1469">
        <f t="shared" si="214"/>
        <v>4.5204503505596456</v>
      </c>
      <c r="BB143" s="1469">
        <f t="shared" si="214"/>
        <v>4.5204503505596456</v>
      </c>
      <c r="BC143" s="2000">
        <f t="shared" si="214"/>
        <v>4.5204503505596456</v>
      </c>
    </row>
    <row r="144" spans="2:59">
      <c r="AD144" s="1618"/>
      <c r="AE144" s="1618"/>
      <c r="AF144" s="1618"/>
      <c r="AG144" s="1618"/>
      <c r="AH144" s="1618"/>
      <c r="AI144" s="1618"/>
      <c r="AJ144" s="1618"/>
      <c r="AK144" s="1618"/>
      <c r="AL144" s="1618"/>
      <c r="AM144" s="1618"/>
      <c r="AN144" s="1618"/>
      <c r="AO144" s="1618"/>
      <c r="AP144" s="1618"/>
      <c r="AQ144" s="1618"/>
      <c r="AR144" s="1618"/>
      <c r="AS144" s="1618"/>
      <c r="AT144" s="1618"/>
      <c r="AU144" s="1618"/>
      <c r="AV144" s="1618"/>
      <c r="AW144" s="1618"/>
      <c r="AX144" s="1618"/>
      <c r="AY144" s="1618"/>
      <c r="AZ144" s="1618"/>
      <c r="BA144" s="1618"/>
      <c r="BB144" s="1618"/>
      <c r="BC144" s="1618"/>
    </row>
    <row r="145" spans="2:58">
      <c r="AD145" s="1618"/>
      <c r="AE145" s="1618"/>
      <c r="AF145" s="1618"/>
      <c r="AG145" s="1618"/>
      <c r="AH145" s="1618"/>
      <c r="AI145" s="1618"/>
      <c r="AJ145" s="1618"/>
      <c r="AK145" s="1618"/>
      <c r="AL145" s="1618"/>
      <c r="AM145" s="1618"/>
      <c r="AN145" s="1618"/>
      <c r="AO145" s="1618"/>
      <c r="AP145" s="1618"/>
      <c r="AQ145" s="1618"/>
      <c r="AR145" s="1618"/>
      <c r="AS145" s="1618"/>
      <c r="AT145" s="1618"/>
      <c r="AU145" s="1618"/>
      <c r="AV145" s="1618"/>
      <c r="AW145" s="1618"/>
      <c r="AX145" s="1618"/>
      <c r="AY145" s="1618"/>
      <c r="AZ145" s="1618"/>
      <c r="BA145" s="1618"/>
      <c r="BB145" s="1618"/>
      <c r="BC145" s="1618"/>
    </row>
    <row r="146" spans="2:58">
      <c r="B146" s="1620" t="s">
        <v>542</v>
      </c>
      <c r="AD146" s="1618"/>
      <c r="AE146" s="2857"/>
      <c r="AF146" s="2857"/>
      <c r="AG146" s="2857"/>
      <c r="AH146" s="2857"/>
      <c r="AI146" s="2857"/>
      <c r="AJ146" s="2857"/>
      <c r="AK146" s="2857"/>
      <c r="AL146" s="2857"/>
      <c r="AM146" s="2857"/>
      <c r="AN146" s="2857"/>
      <c r="AO146" s="2857"/>
      <c r="AP146" s="2857"/>
      <c r="AQ146" s="1618"/>
      <c r="AR146" s="1618"/>
      <c r="AS146" s="1618"/>
      <c r="AT146" s="1618"/>
      <c r="AU146" s="1618"/>
      <c r="AV146" s="1618"/>
      <c r="AW146" s="1618"/>
      <c r="AX146" s="1618"/>
      <c r="AY146" s="1618"/>
      <c r="AZ146" s="1618"/>
      <c r="BA146" s="1618"/>
      <c r="BB146" s="1618"/>
      <c r="BC146" s="1618"/>
    </row>
    <row r="147" spans="2:58">
      <c r="B147" s="3282" t="s">
        <v>439</v>
      </c>
      <c r="C147" s="3283"/>
      <c r="D147" s="3275" t="s">
        <v>494</v>
      </c>
      <c r="E147" s="3276"/>
      <c r="F147" s="3276"/>
      <c r="G147" s="3276"/>
      <c r="H147" s="3276"/>
      <c r="I147" s="3276"/>
      <c r="J147" s="3276"/>
      <c r="K147" s="3276"/>
      <c r="L147" s="3276"/>
      <c r="M147" s="3276"/>
      <c r="N147" s="3276"/>
      <c r="O147" s="3276"/>
      <c r="P147" s="3295"/>
      <c r="Q147" s="3275" t="s">
        <v>546</v>
      </c>
      <c r="R147" s="3276"/>
      <c r="S147" s="3276"/>
      <c r="T147" s="3276"/>
      <c r="U147" s="3276"/>
      <c r="V147" s="3276"/>
      <c r="W147" s="3276"/>
      <c r="X147" s="3276"/>
      <c r="Y147" s="3276"/>
      <c r="Z147" s="3276"/>
      <c r="AA147" s="3276"/>
      <c r="AB147" s="3276"/>
      <c r="AC147" s="3298"/>
      <c r="AD147" s="3275" t="s">
        <v>572</v>
      </c>
      <c r="AE147" s="3276"/>
      <c r="AF147" s="3276"/>
      <c r="AG147" s="3276"/>
      <c r="AH147" s="3276"/>
      <c r="AI147" s="3276"/>
      <c r="AJ147" s="3276"/>
      <c r="AK147" s="3276"/>
      <c r="AL147" s="3276"/>
      <c r="AM147" s="3276"/>
      <c r="AN147" s="3276"/>
      <c r="AO147" s="3276"/>
      <c r="AP147" s="3276"/>
      <c r="AQ147" s="3277" t="s">
        <v>586</v>
      </c>
      <c r="AR147" s="3278"/>
      <c r="AS147" s="3278"/>
      <c r="AT147" s="3278"/>
      <c r="AU147" s="3278"/>
      <c r="AV147" s="3278"/>
      <c r="AW147" s="3278"/>
      <c r="AX147" s="3278"/>
      <c r="AY147" s="3278"/>
      <c r="AZ147" s="3278"/>
      <c r="BA147" s="3278"/>
      <c r="BB147" s="3278"/>
      <c r="BC147" s="3278"/>
    </row>
    <row r="148" spans="2:58">
      <c r="B148" s="3284"/>
      <c r="C148" s="3285"/>
      <c r="D148" s="1104" t="s">
        <v>492</v>
      </c>
      <c r="E148" s="1320" t="str">
        <f>E$34</f>
        <v>1월</v>
      </c>
      <c r="F148" s="1320" t="str">
        <f>F$34</f>
        <v>2월</v>
      </c>
      <c r="G148" s="1320" t="str">
        <f t="shared" ref="G148:P148" si="215">G$34</f>
        <v>3월</v>
      </c>
      <c r="H148" s="1320" t="str">
        <f t="shared" si="215"/>
        <v>4월</v>
      </c>
      <c r="I148" s="1320" t="str">
        <f t="shared" si="215"/>
        <v>5월</v>
      </c>
      <c r="J148" s="1320" t="str">
        <f t="shared" si="215"/>
        <v>6월</v>
      </c>
      <c r="K148" s="1320" t="str">
        <f t="shared" si="215"/>
        <v>7월</v>
      </c>
      <c r="L148" s="1320" t="str">
        <f t="shared" si="215"/>
        <v>8월</v>
      </c>
      <c r="M148" s="1320" t="str">
        <f t="shared" si="215"/>
        <v>9월</v>
      </c>
      <c r="N148" s="1320" t="str">
        <f t="shared" si="215"/>
        <v>10월</v>
      </c>
      <c r="O148" s="1320" t="str">
        <f t="shared" si="215"/>
        <v>11월</v>
      </c>
      <c r="P148" s="1320" t="str">
        <f t="shared" si="215"/>
        <v>12월</v>
      </c>
      <c r="Q148" s="1104" t="s">
        <v>492</v>
      </c>
      <c r="R148" s="1320" t="s">
        <v>2</v>
      </c>
      <c r="S148" s="1320" t="s">
        <v>440</v>
      </c>
      <c r="T148" s="1320" t="s">
        <v>4</v>
      </c>
      <c r="U148" s="1320" t="s">
        <v>5</v>
      </c>
      <c r="V148" s="1320" t="s">
        <v>6</v>
      </c>
      <c r="W148" s="1320" t="s">
        <v>7</v>
      </c>
      <c r="X148" s="1320" t="s">
        <v>8</v>
      </c>
      <c r="Y148" s="1320" t="s">
        <v>9</v>
      </c>
      <c r="Z148" s="1320" t="s">
        <v>10</v>
      </c>
      <c r="AA148" s="1320" t="s">
        <v>11</v>
      </c>
      <c r="AB148" s="1320" t="s">
        <v>441</v>
      </c>
      <c r="AC148" s="1609" t="s">
        <v>442</v>
      </c>
      <c r="AD148" s="1104" t="s">
        <v>492</v>
      </c>
      <c r="AE148" s="1320" t="s">
        <v>2</v>
      </c>
      <c r="AF148" s="1320" t="s">
        <v>440</v>
      </c>
      <c r="AG148" s="1320" t="s">
        <v>4</v>
      </c>
      <c r="AH148" s="1320" t="s">
        <v>5</v>
      </c>
      <c r="AI148" s="1320" t="s">
        <v>6</v>
      </c>
      <c r="AJ148" s="1320" t="s">
        <v>7</v>
      </c>
      <c r="AK148" s="1320" t="s">
        <v>8</v>
      </c>
      <c r="AL148" s="1320" t="s">
        <v>9</v>
      </c>
      <c r="AM148" s="1320" t="s">
        <v>10</v>
      </c>
      <c r="AN148" s="1320" t="s">
        <v>11</v>
      </c>
      <c r="AO148" s="1320" t="s">
        <v>441</v>
      </c>
      <c r="AP148" s="1915" t="s">
        <v>442</v>
      </c>
      <c r="AQ148" s="2792" t="s">
        <v>492</v>
      </c>
      <c r="AR148" s="2323" t="s">
        <v>2</v>
      </c>
      <c r="AS148" s="2323" t="s">
        <v>440</v>
      </c>
      <c r="AT148" s="2323" t="s">
        <v>4</v>
      </c>
      <c r="AU148" s="2323" t="s">
        <v>5</v>
      </c>
      <c r="AV148" s="2323" t="s">
        <v>6</v>
      </c>
      <c r="AW148" s="2323" t="s">
        <v>7</v>
      </c>
      <c r="AX148" s="2323" t="s">
        <v>8</v>
      </c>
      <c r="AY148" s="2323" t="s">
        <v>9</v>
      </c>
      <c r="AZ148" s="2323" t="s">
        <v>10</v>
      </c>
      <c r="BA148" s="2323" t="s">
        <v>11</v>
      </c>
      <c r="BB148" s="2323" t="s">
        <v>441</v>
      </c>
      <c r="BC148" s="2788" t="s">
        <v>442</v>
      </c>
    </row>
    <row r="149" spans="2:58">
      <c r="B149" s="3290" t="s">
        <v>385</v>
      </c>
      <c r="C149" s="3291"/>
      <c r="D149" s="1469">
        <f t="shared" ref="D149:D162" si="216">SUM(E149:P149)</f>
        <v>0</v>
      </c>
      <c r="E149" s="1469">
        <f>SUM(E150:E152)</f>
        <v>0</v>
      </c>
      <c r="F149" s="1469">
        <f t="shared" ref="F149:P149" si="217">SUM(F150:F152)</f>
        <v>0</v>
      </c>
      <c r="G149" s="1469">
        <f t="shared" si="217"/>
        <v>0</v>
      </c>
      <c r="H149" s="1469">
        <f t="shared" si="217"/>
        <v>0</v>
      </c>
      <c r="I149" s="1469">
        <f t="shared" si="217"/>
        <v>0</v>
      </c>
      <c r="J149" s="1469">
        <f t="shared" si="217"/>
        <v>0</v>
      </c>
      <c r="K149" s="1469">
        <f t="shared" si="217"/>
        <v>0</v>
      </c>
      <c r="L149" s="1469">
        <f t="shared" si="217"/>
        <v>0</v>
      </c>
      <c r="M149" s="1469">
        <f t="shared" si="217"/>
        <v>0</v>
      </c>
      <c r="N149" s="1469">
        <f t="shared" si="217"/>
        <v>0</v>
      </c>
      <c r="O149" s="1469">
        <f t="shared" si="217"/>
        <v>0</v>
      </c>
      <c r="P149" s="1469">
        <f t="shared" si="217"/>
        <v>0</v>
      </c>
      <c r="Q149" s="1469">
        <f t="shared" ref="Q149:Q162" si="218">SUM(R149:AC149)</f>
        <v>0</v>
      </c>
      <c r="R149" s="1469">
        <f>SUM(R150:R152)</f>
        <v>0</v>
      </c>
      <c r="S149" s="1469">
        <f t="shared" ref="S149:AC149" si="219">SUM(S150:S152)</f>
        <v>0</v>
      </c>
      <c r="T149" s="1469">
        <f t="shared" si="219"/>
        <v>0</v>
      </c>
      <c r="U149" s="1469">
        <f t="shared" si="219"/>
        <v>0</v>
      </c>
      <c r="V149" s="1469">
        <f t="shared" si="219"/>
        <v>0</v>
      </c>
      <c r="W149" s="1469">
        <f t="shared" si="219"/>
        <v>0</v>
      </c>
      <c r="X149" s="1469">
        <f t="shared" si="219"/>
        <v>0</v>
      </c>
      <c r="Y149" s="1469">
        <f t="shared" si="219"/>
        <v>0</v>
      </c>
      <c r="Z149" s="1469">
        <f t="shared" si="219"/>
        <v>0</v>
      </c>
      <c r="AA149" s="1469">
        <f t="shared" si="219"/>
        <v>0</v>
      </c>
      <c r="AB149" s="1469">
        <f t="shared" si="219"/>
        <v>0</v>
      </c>
      <c r="AC149" s="1610">
        <f t="shared" si="219"/>
        <v>0</v>
      </c>
      <c r="AD149" s="1469">
        <f t="shared" ref="AD149:AD162" si="220">SUM(AE149:AP149)</f>
        <v>441.95496599999996</v>
      </c>
      <c r="AE149" s="1469">
        <f>SUM(AE150:AE152)</f>
        <v>0</v>
      </c>
      <c r="AF149" s="1469">
        <f t="shared" ref="AF149:AP149" si="221">SUM(AF150:AF152)</f>
        <v>0</v>
      </c>
      <c r="AG149" s="1469">
        <f t="shared" si="221"/>
        <v>0</v>
      </c>
      <c r="AH149" s="1469">
        <f t="shared" si="221"/>
        <v>219.94877399999999</v>
      </c>
      <c r="AI149" s="1469">
        <f t="shared" si="221"/>
        <v>0</v>
      </c>
      <c r="AJ149" s="1469">
        <f t="shared" si="221"/>
        <v>0</v>
      </c>
      <c r="AK149" s="1469">
        <f t="shared" si="221"/>
        <v>99.606191999999993</v>
      </c>
      <c r="AL149" s="1469">
        <f t="shared" si="221"/>
        <v>24.5</v>
      </c>
      <c r="AM149" s="1469">
        <f t="shared" si="221"/>
        <v>24.7</v>
      </c>
      <c r="AN149" s="1469">
        <f t="shared" si="221"/>
        <v>24.3</v>
      </c>
      <c r="AO149" s="1469">
        <f t="shared" si="221"/>
        <v>24.5</v>
      </c>
      <c r="AP149" s="2000">
        <f t="shared" si="221"/>
        <v>24.4</v>
      </c>
      <c r="AQ149" s="1469">
        <f t="shared" ref="AQ149:AQ162" si="222">SUM(AR149:BC149)</f>
        <v>441.79999999999995</v>
      </c>
      <c r="AR149" s="1469">
        <f>SUM(AR150:AR152)</f>
        <v>24.5</v>
      </c>
      <c r="AS149" s="1469">
        <f t="shared" ref="AS149:BC149" si="223">SUM(AS150:AS152)</f>
        <v>24.5</v>
      </c>
      <c r="AT149" s="1469">
        <f t="shared" si="223"/>
        <v>24.4</v>
      </c>
      <c r="AU149" s="1469">
        <f t="shared" si="223"/>
        <v>173</v>
      </c>
      <c r="AV149" s="1469">
        <f t="shared" si="223"/>
        <v>24.5</v>
      </c>
      <c r="AW149" s="1469">
        <f t="shared" si="223"/>
        <v>24.5</v>
      </c>
      <c r="AX149" s="1469">
        <f t="shared" si="223"/>
        <v>24.5</v>
      </c>
      <c r="AY149" s="1469">
        <f t="shared" si="223"/>
        <v>24.7</v>
      </c>
      <c r="AZ149" s="1469">
        <f t="shared" si="223"/>
        <v>24.3</v>
      </c>
      <c r="BA149" s="1469">
        <f t="shared" si="223"/>
        <v>24.5</v>
      </c>
      <c r="BB149" s="1469">
        <f t="shared" si="223"/>
        <v>24.4</v>
      </c>
      <c r="BC149" s="2000">
        <f t="shared" si="223"/>
        <v>24</v>
      </c>
      <c r="BF149" s="371"/>
    </row>
    <row r="150" spans="2:58">
      <c r="B150" s="1720"/>
      <c r="C150" s="1611" t="s">
        <v>531</v>
      </c>
      <c r="D150" s="1470">
        <f t="shared" si="216"/>
        <v>0</v>
      </c>
      <c r="E150" s="1685"/>
      <c r="F150" s="1685"/>
      <c r="G150" s="1685"/>
      <c r="H150" s="1685"/>
      <c r="I150" s="1685"/>
      <c r="J150" s="1685"/>
      <c r="K150" s="1685"/>
      <c r="L150" s="1685"/>
      <c r="M150" s="1685"/>
      <c r="N150" s="1685"/>
      <c r="O150" s="1685"/>
      <c r="P150" s="1685"/>
      <c r="Q150" s="1470">
        <f t="shared" si="218"/>
        <v>0</v>
      </c>
      <c r="R150" s="1471"/>
      <c r="S150" s="1471"/>
      <c r="T150" s="1471"/>
      <c r="U150" s="1471"/>
      <c r="V150" s="1471"/>
      <c r="W150" s="1471"/>
      <c r="X150" s="1471"/>
      <c r="Y150" s="1471"/>
      <c r="Z150" s="1471"/>
      <c r="AA150" s="1471"/>
      <c r="AB150" s="1471"/>
      <c r="AC150" s="1612"/>
      <c r="AD150" s="1470">
        <f t="shared" si="220"/>
        <v>441.95496599999996</v>
      </c>
      <c r="AE150" s="1471"/>
      <c r="AF150" s="1471"/>
      <c r="AG150" s="1471"/>
      <c r="AH150" s="1471">
        <v>219.94877399999999</v>
      </c>
      <c r="AI150" s="1471"/>
      <c r="AJ150" s="1471"/>
      <c r="AK150" s="1471">
        <v>99.606191999999993</v>
      </c>
      <c r="AL150" s="1471">
        <v>24.5</v>
      </c>
      <c r="AM150" s="1471">
        <v>24.7</v>
      </c>
      <c r="AN150" s="1471">
        <v>24.3</v>
      </c>
      <c r="AO150" s="1471">
        <v>24.5</v>
      </c>
      <c r="AP150" s="2001">
        <v>24.4</v>
      </c>
      <c r="AQ150" s="1470">
        <f t="shared" si="222"/>
        <v>441.79999999999995</v>
      </c>
      <c r="AR150" s="1471">
        <v>24.5</v>
      </c>
      <c r="AS150" s="1471">
        <v>24.5</v>
      </c>
      <c r="AT150" s="1471">
        <v>24.4</v>
      </c>
      <c r="AU150" s="1471">
        <v>173</v>
      </c>
      <c r="AV150" s="1471">
        <v>24.5</v>
      </c>
      <c r="AW150" s="1471">
        <v>24.5</v>
      </c>
      <c r="AX150" s="1471">
        <v>24.5</v>
      </c>
      <c r="AY150" s="1471">
        <v>24.7</v>
      </c>
      <c r="AZ150" s="1471">
        <v>24.3</v>
      </c>
      <c r="BA150" s="1471">
        <v>24.5</v>
      </c>
      <c r="BB150" s="1471">
        <v>24.4</v>
      </c>
      <c r="BC150" s="2001">
        <v>24</v>
      </c>
      <c r="BF150" s="489"/>
    </row>
    <row r="151" spans="2:58">
      <c r="B151" s="3281"/>
      <c r="C151" s="1611" t="s">
        <v>530</v>
      </c>
      <c r="D151" s="1470">
        <f t="shared" si="216"/>
        <v>0</v>
      </c>
      <c r="E151" s="1686"/>
      <c r="F151" s="1686"/>
      <c r="G151" s="1686"/>
      <c r="H151" s="1686"/>
      <c r="I151" s="1686"/>
      <c r="J151" s="1686"/>
      <c r="K151" s="1686"/>
      <c r="L151" s="1686"/>
      <c r="M151" s="1686"/>
      <c r="N151" s="1686"/>
      <c r="O151" s="1686"/>
      <c r="P151" s="1686"/>
      <c r="Q151" s="1470">
        <f t="shared" si="218"/>
        <v>0</v>
      </c>
      <c r="R151" s="1472"/>
      <c r="S151" s="1472"/>
      <c r="T151" s="1472"/>
      <c r="U151" s="1472"/>
      <c r="V151" s="1472"/>
      <c r="W151" s="1472"/>
      <c r="X151" s="1472"/>
      <c r="Y151" s="1472"/>
      <c r="Z151" s="1472"/>
      <c r="AA151" s="1472"/>
      <c r="AB151" s="1472"/>
      <c r="AC151" s="1625"/>
      <c r="AD151" s="1470">
        <f t="shared" si="220"/>
        <v>0</v>
      </c>
      <c r="AE151" s="1472"/>
      <c r="AF151" s="1472"/>
      <c r="AG151" s="1472"/>
      <c r="AH151" s="1472"/>
      <c r="AI151" s="1472"/>
      <c r="AJ151" s="1472"/>
      <c r="AK151" s="1472"/>
      <c r="AL151" s="1472"/>
      <c r="AM151" s="1472"/>
      <c r="AN151" s="1472"/>
      <c r="AO151" s="1472"/>
      <c r="AP151" s="2790"/>
      <c r="AQ151" s="1470">
        <f t="shared" si="222"/>
        <v>0</v>
      </c>
      <c r="AR151" s="1472"/>
      <c r="AS151" s="1472"/>
      <c r="AT151" s="1472"/>
      <c r="AU151" s="1472"/>
      <c r="AV151" s="1472"/>
      <c r="AW151" s="1472"/>
      <c r="AX151" s="1472"/>
      <c r="AY151" s="1472"/>
      <c r="AZ151" s="1472"/>
      <c r="BA151" s="1472"/>
      <c r="BB151" s="1472"/>
      <c r="BC151" s="2790"/>
    </row>
    <row r="152" spans="2:58">
      <c r="B152" s="3289"/>
      <c r="C152" s="1611"/>
      <c r="D152" s="1470">
        <f t="shared" si="216"/>
        <v>0</v>
      </c>
      <c r="E152" s="1686"/>
      <c r="F152" s="1686"/>
      <c r="G152" s="1686"/>
      <c r="H152" s="1686"/>
      <c r="I152" s="1686"/>
      <c r="J152" s="1686"/>
      <c r="K152" s="1686"/>
      <c r="L152" s="1686"/>
      <c r="M152" s="1686"/>
      <c r="N152" s="1686"/>
      <c r="O152" s="1686"/>
      <c r="P152" s="1686"/>
      <c r="Q152" s="1470">
        <f t="shared" si="218"/>
        <v>0</v>
      </c>
      <c r="R152" s="1472"/>
      <c r="S152" s="1472"/>
      <c r="T152" s="1472"/>
      <c r="U152" s="1472"/>
      <c r="V152" s="1472"/>
      <c r="W152" s="1472"/>
      <c r="X152" s="1472"/>
      <c r="Y152" s="1472"/>
      <c r="Z152" s="1472"/>
      <c r="AA152" s="1472"/>
      <c r="AB152" s="1472"/>
      <c r="AC152" s="1625"/>
      <c r="AD152" s="1470">
        <f t="shared" si="220"/>
        <v>0</v>
      </c>
      <c r="AE152" s="1472"/>
      <c r="AF152" s="1472"/>
      <c r="AG152" s="1472"/>
      <c r="AH152" s="1472"/>
      <c r="AI152" s="1472"/>
      <c r="AJ152" s="1472"/>
      <c r="AK152" s="1472"/>
      <c r="AL152" s="1472"/>
      <c r="AM152" s="1472"/>
      <c r="AN152" s="1472"/>
      <c r="AO152" s="1472"/>
      <c r="AP152" s="2790"/>
      <c r="AQ152" s="1470">
        <f t="shared" si="222"/>
        <v>0</v>
      </c>
      <c r="AR152" s="1472"/>
      <c r="AS152" s="1472"/>
      <c r="AT152" s="1472"/>
      <c r="AU152" s="1472"/>
      <c r="AV152" s="1472"/>
      <c r="AW152" s="1472"/>
      <c r="AX152" s="1472"/>
      <c r="AY152" s="1472"/>
      <c r="AZ152" s="1472"/>
      <c r="BA152" s="1472"/>
      <c r="BB152" s="1472"/>
      <c r="BC152" s="2790"/>
    </row>
    <row r="153" spans="2:58">
      <c r="B153" s="3290" t="s">
        <v>417</v>
      </c>
      <c r="C153" s="3291"/>
      <c r="D153" s="1469">
        <f t="shared" si="216"/>
        <v>0</v>
      </c>
      <c r="E153" s="1469">
        <f>SUM(E154:E161)</f>
        <v>0</v>
      </c>
      <c r="F153" s="1469">
        <f t="shared" ref="F153" si="224">SUM(F154:F161)</f>
        <v>0</v>
      </c>
      <c r="G153" s="1469">
        <f t="shared" ref="G153" si="225">SUM(G154:G161)</f>
        <v>0</v>
      </c>
      <c r="H153" s="1469">
        <f t="shared" ref="H153" si="226">SUM(H154:H161)</f>
        <v>0</v>
      </c>
      <c r="I153" s="1469">
        <f t="shared" ref="I153" si="227">SUM(I154:I161)</f>
        <v>0</v>
      </c>
      <c r="J153" s="1469">
        <f t="shared" ref="J153" si="228">SUM(J154:J161)</f>
        <v>0</v>
      </c>
      <c r="K153" s="1469">
        <f t="shared" ref="K153" si="229">SUM(K154:K161)</f>
        <v>0</v>
      </c>
      <c r="L153" s="1469">
        <f t="shared" ref="L153" si="230">SUM(L154:L161)</f>
        <v>0</v>
      </c>
      <c r="M153" s="1469">
        <f t="shared" ref="M153" si="231">SUM(M154:M161)</f>
        <v>0</v>
      </c>
      <c r="N153" s="1469">
        <f t="shared" ref="N153" si="232">SUM(N154:N161)</f>
        <v>0</v>
      </c>
      <c r="O153" s="1469">
        <f t="shared" ref="O153" si="233">SUM(O154:O161)</f>
        <v>0</v>
      </c>
      <c r="P153" s="1469">
        <f t="shared" ref="P153" si="234">SUM(P154:P161)</f>
        <v>0</v>
      </c>
      <c r="Q153" s="1469">
        <f t="shared" si="218"/>
        <v>67.172642999999994</v>
      </c>
      <c r="R153" s="1469">
        <f>SUM(R154:R161)</f>
        <v>0</v>
      </c>
      <c r="S153" s="1469">
        <f t="shared" ref="S153" si="235">SUM(S154:S161)</f>
        <v>0</v>
      </c>
      <c r="T153" s="1469">
        <f t="shared" ref="T153" si="236">SUM(T154:T161)</f>
        <v>0</v>
      </c>
      <c r="U153" s="1469">
        <f t="shared" ref="U153" si="237">SUM(U154:U161)</f>
        <v>0</v>
      </c>
      <c r="V153" s="1469">
        <f t="shared" ref="V153" si="238">SUM(V154:V161)</f>
        <v>0.221051</v>
      </c>
      <c r="W153" s="1469">
        <f t="shared" ref="W153" si="239">SUM(W154:W161)</f>
        <v>8.4804120000000012</v>
      </c>
      <c r="X153" s="1469">
        <f t="shared" ref="X153" si="240">SUM(X154:X161)</f>
        <v>15.929644</v>
      </c>
      <c r="Y153" s="1469">
        <f t="shared" ref="Y153" si="241">SUM(Y154:Y161)</f>
        <v>17.079295000000002</v>
      </c>
      <c r="Z153" s="1469">
        <f t="shared" ref="Z153" si="242">SUM(Z154:Z161)</f>
        <v>7.6127729999999989</v>
      </c>
      <c r="AA153" s="1469">
        <f t="shared" ref="AA153" si="243">SUM(AA154:AA161)</f>
        <v>5.6720430000000004</v>
      </c>
      <c r="AB153" s="1469">
        <f t="shared" ref="AB153" si="244">SUM(AB154:AB161)</f>
        <v>6.0894529999999998</v>
      </c>
      <c r="AC153" s="1469">
        <f t="shared" ref="AC153" si="245">SUM(AC154:AC161)</f>
        <v>6.0879719999999997</v>
      </c>
      <c r="AD153" s="1469">
        <f t="shared" si="220"/>
        <v>172.41221683333362</v>
      </c>
      <c r="AE153" s="1469">
        <f>SUM(AE154:AE161)</f>
        <v>22.427409166666717</v>
      </c>
      <c r="AF153" s="1469">
        <f t="shared" ref="AF153" si="246">SUM(AF154:AF161)</f>
        <v>12.721879583333331</v>
      </c>
      <c r="AG153" s="1469">
        <f t="shared" ref="AG153" si="247">SUM(AG154:AG161)</f>
        <v>14.616078666666668</v>
      </c>
      <c r="AH153" s="1469">
        <f t="shared" ref="AH153" si="248">SUM(AH154:AH161)</f>
        <v>15.709571500000001</v>
      </c>
      <c r="AI153" s="1469">
        <f t="shared" ref="AI153" si="249">SUM(AI154:AI161)</f>
        <v>11.724291250000002</v>
      </c>
      <c r="AJ153" s="1469">
        <f t="shared" ref="AJ153" si="250">SUM(AJ154:AJ161)</f>
        <v>15.978951416666909</v>
      </c>
      <c r="AK153" s="1469">
        <f t="shared" ref="AK153" si="251">SUM(AK154:AK161)</f>
        <v>13.635214583333331</v>
      </c>
      <c r="AL153" s="1469">
        <f t="shared" ref="AL153" si="252">SUM(AL154:AL161)</f>
        <v>12.157561416666667</v>
      </c>
      <c r="AM153" s="1469">
        <f t="shared" ref="AM153" si="253">SUM(AM154:AM161)</f>
        <v>12.267290666666664</v>
      </c>
      <c r="AN153" s="1469">
        <f t="shared" ref="AN153" si="254">SUM(AN154:AN161)</f>
        <v>13.694786916666665</v>
      </c>
      <c r="AO153" s="1469">
        <f t="shared" ref="AO153" si="255">SUM(AO154:AO161)</f>
        <v>13.243056416666667</v>
      </c>
      <c r="AP153" s="1469">
        <f t="shared" ref="AP153" si="256">SUM(AP154:AP161)</f>
        <v>14.236125249999999</v>
      </c>
      <c r="AQ153" s="1469">
        <f t="shared" si="222"/>
        <v>172.17686766666699</v>
      </c>
      <c r="AR153" s="1469">
        <f>SUM(AR154:AR161)</f>
        <v>39.055044849980725</v>
      </c>
      <c r="AS153" s="1469">
        <f t="shared" ref="AS153" si="257">SUM(AS154:AS161)</f>
        <v>16.503179056500315</v>
      </c>
      <c r="AT153" s="1469">
        <f t="shared" ref="AT153" si="258">SUM(AT154:AT161)</f>
        <v>17.251882097493695</v>
      </c>
      <c r="AU153" s="1469">
        <f t="shared" ref="AU153" si="259">SUM(AU154:AU161)</f>
        <v>20.274985848247592</v>
      </c>
      <c r="AV153" s="1469">
        <f t="shared" ref="AV153" si="260">SUM(AV154:AV161)</f>
        <v>12.530686519200312</v>
      </c>
      <c r="AW153" s="1469">
        <f t="shared" ref="AW153" si="261">SUM(AW154:AW161)</f>
        <v>10.07024661988566</v>
      </c>
      <c r="AX153" s="1469">
        <f t="shared" ref="AX153" si="262">SUM(AX154:AX161)</f>
        <v>9.4151404458931047</v>
      </c>
      <c r="AY153" s="1469">
        <f t="shared" ref="AY153" si="263">SUM(AY154:AY161)</f>
        <v>9.4151404458931047</v>
      </c>
      <c r="AZ153" s="1469">
        <f t="shared" ref="AZ153" si="264">SUM(AZ154:AZ161)</f>
        <v>9.4151404458931047</v>
      </c>
      <c r="BA153" s="1469">
        <f t="shared" ref="BA153" si="265">SUM(BA154:BA161)</f>
        <v>9.4151404458931047</v>
      </c>
      <c r="BB153" s="1469">
        <f t="shared" ref="BB153" si="266">SUM(BB154:BB161)</f>
        <v>9.4151404458931047</v>
      </c>
      <c r="BC153" s="2000">
        <f t="shared" ref="BC153" si="267">SUM(BC154:BC161)</f>
        <v>9.4151404458931047</v>
      </c>
    </row>
    <row r="154" spans="2:58">
      <c r="B154" s="2845"/>
      <c r="C154" s="1613" t="s">
        <v>449</v>
      </c>
      <c r="D154" s="1470">
        <f t="shared" ref="D154" si="268">SUM(E154:P154)</f>
        <v>0</v>
      </c>
      <c r="E154" s="1685"/>
      <c r="F154" s="1685"/>
      <c r="G154" s="1685"/>
      <c r="H154" s="1685"/>
      <c r="I154" s="1685"/>
      <c r="J154" s="1685"/>
      <c r="K154" s="1685"/>
      <c r="L154" s="1685"/>
      <c r="M154" s="1685"/>
      <c r="N154" s="1685"/>
      <c r="O154" s="1685"/>
      <c r="P154" s="1685"/>
      <c r="Q154" s="1470">
        <f t="shared" si="218"/>
        <v>0</v>
      </c>
      <c r="R154" s="1471"/>
      <c r="S154" s="1471"/>
      <c r="T154" s="1471"/>
      <c r="U154" s="1471"/>
      <c r="V154" s="1471"/>
      <c r="W154" s="1471"/>
      <c r="X154" s="1471"/>
      <c r="Y154" s="1471"/>
      <c r="Z154" s="1471"/>
      <c r="AA154" s="1471"/>
      <c r="AB154" s="1471"/>
      <c r="AC154" s="1612"/>
      <c r="AD154" s="1470">
        <f t="shared" si="220"/>
        <v>0.72833333333333339</v>
      </c>
      <c r="AE154" s="1471"/>
      <c r="AF154" s="1471"/>
      <c r="AG154" s="1471"/>
      <c r="AH154" s="1471"/>
      <c r="AI154" s="1471"/>
      <c r="AJ154" s="1471"/>
      <c r="AK154" s="1471"/>
      <c r="AL154" s="1471"/>
      <c r="AM154" s="1471"/>
      <c r="AN154" s="1471"/>
      <c r="AO154" s="1471"/>
      <c r="AP154" s="2001">
        <v>0.72833333333333339</v>
      </c>
      <c r="AQ154" s="1470">
        <f t="shared" si="222"/>
        <v>0</v>
      </c>
      <c r="AR154" s="1471"/>
      <c r="AS154" s="1471"/>
      <c r="AT154" s="1471"/>
      <c r="AU154" s="1471"/>
      <c r="AV154" s="1471"/>
      <c r="AW154" s="1471"/>
      <c r="AX154" s="1471"/>
      <c r="AY154" s="1471"/>
      <c r="AZ154" s="1471"/>
      <c r="BA154" s="1471"/>
      <c r="BB154" s="1471"/>
      <c r="BC154" s="2001"/>
    </row>
    <row r="155" spans="2:58">
      <c r="B155" s="1736"/>
      <c r="C155" s="1613" t="s">
        <v>422</v>
      </c>
      <c r="D155" s="1470">
        <f t="shared" si="216"/>
        <v>0</v>
      </c>
      <c r="E155" s="1685"/>
      <c r="F155" s="1685"/>
      <c r="G155" s="1685"/>
      <c r="H155" s="1685"/>
      <c r="I155" s="1685"/>
      <c r="J155" s="1685"/>
      <c r="K155" s="1685"/>
      <c r="L155" s="1685"/>
      <c r="M155" s="1685"/>
      <c r="N155" s="1685"/>
      <c r="O155" s="1685"/>
      <c r="P155" s="1685"/>
      <c r="Q155" s="1470">
        <f t="shared" si="218"/>
        <v>0</v>
      </c>
      <c r="R155" s="1472"/>
      <c r="S155" s="1472"/>
      <c r="T155" s="1472"/>
      <c r="U155" s="1472"/>
      <c r="V155" s="1472"/>
      <c r="W155" s="1472"/>
      <c r="X155" s="1472"/>
      <c r="Y155" s="1472"/>
      <c r="Z155" s="1472"/>
      <c r="AA155" s="1472"/>
      <c r="AB155" s="1472"/>
      <c r="AC155" s="1625"/>
      <c r="AD155" s="1470">
        <f t="shared" si="220"/>
        <v>37.554072916666669</v>
      </c>
      <c r="AE155" s="1472">
        <v>3.3550555000000002</v>
      </c>
      <c r="AF155" s="1472">
        <v>2.2925154166666668</v>
      </c>
      <c r="AG155" s="1472">
        <v>5.1319312500000001</v>
      </c>
      <c r="AH155" s="1472">
        <v>2.6304229166666668</v>
      </c>
      <c r="AI155" s="1472">
        <v>2.1976532500000001</v>
      </c>
      <c r="AJ155" s="1472">
        <v>2.6131536666666699</v>
      </c>
      <c r="AK155" s="1472">
        <v>3.3039073333333331</v>
      </c>
      <c r="AL155" s="1472">
        <v>2.1916849166666665</v>
      </c>
      <c r="AM155" s="1472">
        <v>2.7579364166666664</v>
      </c>
      <c r="AN155" s="1472">
        <v>3.9687347499999999</v>
      </c>
      <c r="AO155" s="1472">
        <v>3.4559156666666664</v>
      </c>
      <c r="AP155" s="2790">
        <v>3.6551618333333331</v>
      </c>
      <c r="AQ155" s="1470">
        <f t="shared" si="222"/>
        <v>40.000000000000014</v>
      </c>
      <c r="AR155" s="1472">
        <v>3.9551444086237235</v>
      </c>
      <c r="AS155" s="1472">
        <v>2.8295223787267618</v>
      </c>
      <c r="AT155" s="1472">
        <v>6.7630009597792142</v>
      </c>
      <c r="AU155" s="1472">
        <v>3.2976299021206326</v>
      </c>
      <c r="AV155" s="1472">
        <v>2.6981086222930948</v>
      </c>
      <c r="AW155" s="1472">
        <v>2.9223705326366556</v>
      </c>
      <c r="AX155" s="1472">
        <v>2.9223705326366556</v>
      </c>
      <c r="AY155" s="1472">
        <v>2.9223705326366556</v>
      </c>
      <c r="AZ155" s="1472">
        <v>2.9223705326366556</v>
      </c>
      <c r="BA155" s="1472">
        <v>2.9223705326366556</v>
      </c>
      <c r="BB155" s="1472">
        <v>2.9223705326366556</v>
      </c>
      <c r="BC155" s="2790">
        <v>2.9223705326366556</v>
      </c>
      <c r="BF155" s="2876"/>
    </row>
    <row r="156" spans="2:58">
      <c r="B156" s="1720"/>
      <c r="C156" s="1613" t="s">
        <v>84</v>
      </c>
      <c r="D156" s="1470">
        <f t="shared" si="216"/>
        <v>0</v>
      </c>
      <c r="E156" s="1685"/>
      <c r="F156" s="1685"/>
      <c r="G156" s="1685"/>
      <c r="H156" s="1685"/>
      <c r="I156" s="1685"/>
      <c r="J156" s="1685"/>
      <c r="K156" s="1685"/>
      <c r="L156" s="1685"/>
      <c r="M156" s="1685"/>
      <c r="N156" s="1685"/>
      <c r="O156" s="1685"/>
      <c r="P156" s="1685"/>
      <c r="Q156" s="1470">
        <f t="shared" si="218"/>
        <v>1.1792860000000001</v>
      </c>
      <c r="R156" s="1471"/>
      <c r="S156" s="1471"/>
      <c r="T156" s="1471"/>
      <c r="U156" s="1471"/>
      <c r="V156" s="1471">
        <v>0.16411000000000001</v>
      </c>
      <c r="W156" s="1472">
        <v>0.12293</v>
      </c>
      <c r="X156" s="1472">
        <v>0.10974100000000001</v>
      </c>
      <c r="Y156" s="1472">
        <v>0.24862799999999999</v>
      </c>
      <c r="Z156" s="1471">
        <v>0.18218899999999999</v>
      </c>
      <c r="AA156" s="1471">
        <v>0.114963</v>
      </c>
      <c r="AB156" s="1471">
        <v>0.133356</v>
      </c>
      <c r="AC156" s="1612">
        <v>0.103369</v>
      </c>
      <c r="AD156" s="1470">
        <f t="shared" si="220"/>
        <v>14.702941000000001</v>
      </c>
      <c r="AE156" s="1471">
        <v>3.3544999999999998E-2</v>
      </c>
      <c r="AF156" s="1471">
        <v>0.39378099999999999</v>
      </c>
      <c r="AG156" s="1471">
        <v>9.7028000000000003E-2</v>
      </c>
      <c r="AH156" s="1471">
        <v>0.30603999999999998</v>
      </c>
      <c r="AI156" s="1471">
        <v>0.51337699999999997</v>
      </c>
      <c r="AJ156" s="1472">
        <v>10.588443</v>
      </c>
      <c r="AK156" s="1472">
        <v>0.25087799999999999</v>
      </c>
      <c r="AL156" s="1472">
        <v>0.64293400000000001</v>
      </c>
      <c r="AM156" s="1471">
        <v>0.28144200000000003</v>
      </c>
      <c r="AN156" s="1471">
        <v>0.58070100000000002</v>
      </c>
      <c r="AO156" s="1471">
        <v>0.40569699999999997</v>
      </c>
      <c r="AP156" s="2001">
        <v>0.60907500000000003</v>
      </c>
      <c r="AQ156" s="1470">
        <f t="shared" si="222"/>
        <v>14.999999999999998</v>
      </c>
      <c r="AR156" s="1471">
        <v>8.4151080234460413E-3</v>
      </c>
      <c r="AS156" s="1471">
        <v>9.8784011106889419E-2</v>
      </c>
      <c r="AT156" s="1471">
        <v>2.4340471047814054E-2</v>
      </c>
      <c r="AU156" s="1471">
        <v>7.6773279460289945E-2</v>
      </c>
      <c r="AV156" s="1471">
        <v>0.12878589690721889</v>
      </c>
      <c r="AW156" s="1472">
        <v>2.6562197539156673</v>
      </c>
      <c r="AX156" s="1472">
        <v>2.0011135799231119</v>
      </c>
      <c r="AY156" s="1472">
        <v>2.0011135799231119</v>
      </c>
      <c r="AZ156" s="1471">
        <v>2.0011135799231119</v>
      </c>
      <c r="BA156" s="1471">
        <v>2.0011135799231119</v>
      </c>
      <c r="BB156" s="1471">
        <v>2.0011135799231119</v>
      </c>
      <c r="BC156" s="2001">
        <v>2.0011135799231119</v>
      </c>
      <c r="BF156" s="2874"/>
    </row>
    <row r="157" spans="2:58">
      <c r="B157" s="3281"/>
      <c r="C157" s="1613" t="s">
        <v>82</v>
      </c>
      <c r="D157" s="1470">
        <f t="shared" si="216"/>
        <v>0</v>
      </c>
      <c r="E157" s="1685"/>
      <c r="F157" s="1685"/>
      <c r="G157" s="1685"/>
      <c r="H157" s="1685"/>
      <c r="I157" s="1685"/>
      <c r="J157" s="1685"/>
      <c r="K157" s="1685"/>
      <c r="L157" s="1685"/>
      <c r="M157" s="1685"/>
      <c r="N157" s="1685"/>
      <c r="O157" s="1685"/>
      <c r="P157" s="1685"/>
      <c r="Q157" s="1470">
        <f t="shared" si="218"/>
        <v>45.912713999999994</v>
      </c>
      <c r="R157" s="1471"/>
      <c r="S157" s="1471"/>
      <c r="T157" s="1471"/>
      <c r="U157" s="1471"/>
      <c r="V157" s="1471">
        <v>5.6940999999999999E-2</v>
      </c>
      <c r="W157" s="1472">
        <v>5.7969470000000003</v>
      </c>
      <c r="X157" s="1472">
        <v>9.6886749999999999</v>
      </c>
      <c r="Y157" s="1472">
        <v>14.572257</v>
      </c>
      <c r="Z157" s="1471">
        <v>5.0957929999999996</v>
      </c>
      <c r="AA157" s="1471">
        <v>3.2723719999999998</v>
      </c>
      <c r="AB157" s="1471">
        <v>3.705743</v>
      </c>
      <c r="AC157" s="1612">
        <v>3.723986</v>
      </c>
      <c r="AD157" s="1470">
        <f t="shared" si="220"/>
        <v>85.179913499999998</v>
      </c>
      <c r="AE157" s="1471">
        <v>14.332541083333332</v>
      </c>
      <c r="AF157" s="1471">
        <v>7.3787872500000002</v>
      </c>
      <c r="AG157" s="1471">
        <v>6.638083</v>
      </c>
      <c r="AH157" s="1471">
        <v>10.142047666666667</v>
      </c>
      <c r="AI157" s="1471">
        <v>6.5498690000000002</v>
      </c>
      <c r="AJ157" s="1472">
        <v>0.39911366666666664</v>
      </c>
      <c r="AK157" s="1472">
        <v>6.5978965833333332</v>
      </c>
      <c r="AL157" s="1472">
        <v>6.7684030000000002</v>
      </c>
      <c r="AM157" s="1471">
        <v>6.5742253333333336</v>
      </c>
      <c r="AN157" s="1471">
        <v>6.6086790833333335</v>
      </c>
      <c r="AO157" s="1471">
        <v>6.6124260833333341</v>
      </c>
      <c r="AP157" s="2001">
        <v>6.5778417500000002</v>
      </c>
      <c r="AQ157" s="1470">
        <f t="shared" si="222"/>
        <v>69.614413666666707</v>
      </c>
      <c r="AR157" s="1471">
        <v>23.5</v>
      </c>
      <c r="AS157" s="1471">
        <v>10.302666</v>
      </c>
      <c r="AT157" s="1471">
        <v>7.0805829999999998</v>
      </c>
      <c r="AU157" s="1471">
        <v>13</v>
      </c>
      <c r="AV157" s="1471">
        <v>6.5498690000000002</v>
      </c>
      <c r="AW157" s="1472">
        <v>1.3116136666666698</v>
      </c>
      <c r="AX157" s="1472">
        <v>1.3116136666666698</v>
      </c>
      <c r="AY157" s="1472">
        <v>1.3116136666666698</v>
      </c>
      <c r="AZ157" s="1471">
        <v>1.3116136666666698</v>
      </c>
      <c r="BA157" s="1471">
        <v>1.3116136666666698</v>
      </c>
      <c r="BB157" s="1471">
        <v>1.3116136666666698</v>
      </c>
      <c r="BC157" s="2001">
        <v>1.3116136666666698</v>
      </c>
    </row>
    <row r="158" spans="2:58">
      <c r="B158" s="3281"/>
      <c r="C158" s="1613" t="s">
        <v>419</v>
      </c>
      <c r="D158" s="1470">
        <f t="shared" si="216"/>
        <v>0</v>
      </c>
      <c r="E158" s="1686"/>
      <c r="F158" s="1686"/>
      <c r="G158" s="1686"/>
      <c r="H158" s="1685"/>
      <c r="I158" s="1686"/>
      <c r="J158" s="1686"/>
      <c r="K158" s="1686"/>
      <c r="L158" s="1686"/>
      <c r="M158" s="1686"/>
      <c r="N158" s="1686"/>
      <c r="O158" s="1686"/>
      <c r="P158" s="1686"/>
      <c r="Q158" s="1470">
        <f t="shared" si="218"/>
        <v>4.5006719999999998</v>
      </c>
      <c r="R158" s="1472"/>
      <c r="S158" s="1472"/>
      <c r="T158" s="1472"/>
      <c r="U158" s="1472"/>
      <c r="V158" s="1472"/>
      <c r="W158" s="1472">
        <v>1.1646999999999999E-2</v>
      </c>
      <c r="X158" s="1472">
        <v>4.0177189999999996</v>
      </c>
      <c r="Y158" s="1472">
        <v>5.8571999999999999E-2</v>
      </c>
      <c r="Z158" s="1472">
        <v>0.10972899999999999</v>
      </c>
      <c r="AA158" s="1472">
        <v>0.100479</v>
      </c>
      <c r="AB158" s="1472">
        <v>0.102032</v>
      </c>
      <c r="AC158" s="1625">
        <v>0.100494</v>
      </c>
      <c r="AD158" s="1470">
        <f t="shared" si="220"/>
        <v>6.1362725833333336</v>
      </c>
      <c r="AE158" s="1472">
        <v>1.9858011666666666</v>
      </c>
      <c r="AF158" s="1472">
        <v>0.15263025000000002</v>
      </c>
      <c r="AG158" s="1472">
        <v>0.17021533333333333</v>
      </c>
      <c r="AH158" s="1472">
        <v>0.15066566666666667</v>
      </c>
      <c r="AI158" s="1472">
        <v>0.13963216666666667</v>
      </c>
      <c r="AJ158" s="1472">
        <v>2.1555040000000001</v>
      </c>
      <c r="AK158" s="1472">
        <v>0.68908058333333333</v>
      </c>
      <c r="AL158" s="1472">
        <v>0.122906</v>
      </c>
      <c r="AM158" s="1472">
        <v>0.13633141666666665</v>
      </c>
      <c r="AN158" s="1472">
        <v>0.12592466666666666</v>
      </c>
      <c r="AO158" s="1472">
        <v>0.18021866666666667</v>
      </c>
      <c r="AP158" s="2790">
        <v>0.12736266666666665</v>
      </c>
      <c r="AQ158" s="1470">
        <f t="shared" si="222"/>
        <v>24.956987333333338</v>
      </c>
      <c r="AR158" s="1472">
        <v>7.6482506666666703</v>
      </c>
      <c r="AS158" s="1472">
        <v>0.315807</v>
      </c>
      <c r="AT158" s="1472">
        <v>0.39021533333333303</v>
      </c>
      <c r="AU158" s="1472">
        <v>0.313933666666667</v>
      </c>
      <c r="AV158" s="1472">
        <v>0.27625266666666698</v>
      </c>
      <c r="AW158" s="1472">
        <v>2.2875040000000002</v>
      </c>
      <c r="AX158" s="1472">
        <v>2.2875040000000002</v>
      </c>
      <c r="AY158" s="1472">
        <v>2.2875040000000002</v>
      </c>
      <c r="AZ158" s="1472">
        <v>2.2875040000000002</v>
      </c>
      <c r="BA158" s="1472">
        <v>2.2875040000000002</v>
      </c>
      <c r="BB158" s="1472">
        <v>2.2875040000000002</v>
      </c>
      <c r="BC158" s="2790">
        <v>2.2875040000000002</v>
      </c>
    </row>
    <row r="159" spans="2:58">
      <c r="B159" s="3281"/>
      <c r="C159" s="1613" t="s">
        <v>77</v>
      </c>
      <c r="D159" s="1470">
        <f t="shared" si="216"/>
        <v>0</v>
      </c>
      <c r="E159" s="1686"/>
      <c r="F159" s="1686"/>
      <c r="G159" s="1686"/>
      <c r="H159" s="1685"/>
      <c r="I159" s="1686"/>
      <c r="J159" s="1686"/>
      <c r="K159" s="1686"/>
      <c r="L159" s="1686"/>
      <c r="M159" s="1686"/>
      <c r="N159" s="1686"/>
      <c r="O159" s="1686"/>
      <c r="P159" s="1686"/>
      <c r="Q159" s="1470">
        <f t="shared" si="218"/>
        <v>15.579971</v>
      </c>
      <c r="R159" s="1472"/>
      <c r="S159" s="1472"/>
      <c r="T159" s="1472"/>
      <c r="U159" s="1472"/>
      <c r="V159" s="1472"/>
      <c r="W159" s="1472">
        <v>2.5488879999999998</v>
      </c>
      <c r="X159" s="1472">
        <v>2.1135090000000001</v>
      </c>
      <c r="Y159" s="1472">
        <v>2.1998380000000002</v>
      </c>
      <c r="Z159" s="1472">
        <v>2.2250619999999999</v>
      </c>
      <c r="AA159" s="1472">
        <v>2.1842290000000002</v>
      </c>
      <c r="AB159" s="1472">
        <v>2.1483219999999998</v>
      </c>
      <c r="AC159" s="1625">
        <v>2.160123</v>
      </c>
      <c r="AD159" s="1470">
        <f t="shared" si="220"/>
        <v>24.515809000000001</v>
      </c>
      <c r="AE159" s="1472">
        <v>2.3128769999999998</v>
      </c>
      <c r="AF159" s="1472">
        <v>2.353421</v>
      </c>
      <c r="AG159" s="1472">
        <v>2.4405139999999999</v>
      </c>
      <c r="AH159" s="1472">
        <v>2.1116440000000001</v>
      </c>
      <c r="AI159" s="1472">
        <v>2.1391230000000001</v>
      </c>
      <c r="AJ159" s="3179"/>
      <c r="AK159" s="1472">
        <v>2.203452</v>
      </c>
      <c r="AL159" s="1472">
        <v>2.2821090000000002</v>
      </c>
      <c r="AM159" s="1472">
        <v>2.2333379999999998</v>
      </c>
      <c r="AN159" s="1472">
        <v>2.1806109999999999</v>
      </c>
      <c r="AO159" s="1472">
        <v>2.1023489999999998</v>
      </c>
      <c r="AP159" s="2790">
        <v>2.156371</v>
      </c>
      <c r="AQ159" s="1470">
        <f t="shared" si="222"/>
        <v>11.357578999999999</v>
      </c>
      <c r="AR159" s="1472">
        <v>2.3128769999999998</v>
      </c>
      <c r="AS159" s="1472">
        <v>2.353421</v>
      </c>
      <c r="AT159" s="1472">
        <v>2.4405139999999999</v>
      </c>
      <c r="AU159" s="1472">
        <v>2.1116440000000001</v>
      </c>
      <c r="AV159" s="1472">
        <v>2.1391230000000001</v>
      </c>
      <c r="AW159" s="2794"/>
      <c r="AX159" s="1472"/>
      <c r="AY159" s="1472"/>
      <c r="AZ159" s="1472"/>
      <c r="BA159" s="1472"/>
      <c r="BB159" s="1472"/>
      <c r="BC159" s="2790"/>
    </row>
    <row r="160" spans="2:58">
      <c r="B160" s="3281"/>
      <c r="C160" s="1613" t="s">
        <v>520</v>
      </c>
      <c r="D160" s="1470">
        <f t="shared" si="216"/>
        <v>0</v>
      </c>
      <c r="E160" s="1686"/>
      <c r="F160" s="1686"/>
      <c r="G160" s="1686"/>
      <c r="H160" s="1685"/>
      <c r="I160" s="1686"/>
      <c r="J160" s="1686"/>
      <c r="K160" s="1686"/>
      <c r="L160" s="1685"/>
      <c r="M160" s="1686"/>
      <c r="N160" s="1686"/>
      <c r="O160" s="1686"/>
      <c r="P160" s="1686"/>
      <c r="Q160" s="1470">
        <f t="shared" si="218"/>
        <v>0</v>
      </c>
      <c r="R160" s="1472"/>
      <c r="S160" s="1472"/>
      <c r="T160" s="1472"/>
      <c r="U160" s="1472"/>
      <c r="V160" s="1472"/>
      <c r="W160" s="1472"/>
      <c r="X160" s="1472"/>
      <c r="Y160" s="1472"/>
      <c r="Z160" s="1472"/>
      <c r="AA160" s="1472"/>
      <c r="AB160" s="1472"/>
      <c r="AC160" s="1625"/>
      <c r="AD160" s="1470">
        <f t="shared" si="220"/>
        <v>3.5948745000002922</v>
      </c>
      <c r="AE160" s="1472">
        <v>0.40758941666672005</v>
      </c>
      <c r="AF160" s="1472">
        <v>0.15074466666666667</v>
      </c>
      <c r="AG160" s="1472">
        <v>0.13830708333333333</v>
      </c>
      <c r="AH160" s="1472">
        <v>0.36875125000000003</v>
      </c>
      <c r="AI160" s="1472">
        <v>0.18463683333333333</v>
      </c>
      <c r="AJ160" s="1472">
        <v>0.22273708333357176</v>
      </c>
      <c r="AK160" s="1472">
        <v>0.59000008333333331</v>
      </c>
      <c r="AL160" s="1472">
        <v>0.1495245</v>
      </c>
      <c r="AM160" s="1472">
        <v>0.28401749999999998</v>
      </c>
      <c r="AN160" s="1472">
        <v>0.23013641666666665</v>
      </c>
      <c r="AO160" s="1472">
        <v>0.48644999999999999</v>
      </c>
      <c r="AP160" s="2790">
        <v>0.38197966666666666</v>
      </c>
      <c r="AQ160" s="1470">
        <f t="shared" si="222"/>
        <v>11.24788766666688</v>
      </c>
      <c r="AR160" s="1472">
        <v>1.6303576666668802</v>
      </c>
      <c r="AS160" s="1472">
        <v>0.60297866666666666</v>
      </c>
      <c r="AT160" s="1472">
        <v>0.55322833333333332</v>
      </c>
      <c r="AU160" s="1472">
        <v>1.4750050000000001</v>
      </c>
      <c r="AV160" s="1472">
        <v>0.73854733333333333</v>
      </c>
      <c r="AW160" s="1472">
        <v>0.8925386666666667</v>
      </c>
      <c r="AX160" s="1472">
        <v>0.8925386666666667</v>
      </c>
      <c r="AY160" s="1472">
        <v>0.8925386666666667</v>
      </c>
      <c r="AZ160" s="1472">
        <v>0.8925386666666667</v>
      </c>
      <c r="BA160" s="1472">
        <v>0.8925386666666667</v>
      </c>
      <c r="BB160" s="1472">
        <v>0.8925386666666667</v>
      </c>
      <c r="BC160" s="2790">
        <v>0.8925386666666667</v>
      </c>
    </row>
    <row r="161" spans="2:58">
      <c r="B161" s="3289"/>
      <c r="C161" s="1613"/>
      <c r="D161" s="1470">
        <f t="shared" si="216"/>
        <v>0</v>
      </c>
      <c r="E161" s="1686"/>
      <c r="F161" s="1686"/>
      <c r="G161" s="1686"/>
      <c r="H161" s="1685"/>
      <c r="I161" s="1686"/>
      <c r="J161" s="1686"/>
      <c r="K161" s="1686"/>
      <c r="L161" s="1685"/>
      <c r="M161" s="1686"/>
      <c r="N161" s="1686"/>
      <c r="O161" s="1686"/>
      <c r="P161" s="1686"/>
      <c r="Q161" s="1470">
        <f t="shared" si="218"/>
        <v>0</v>
      </c>
      <c r="R161" s="1472"/>
      <c r="S161" s="1472"/>
      <c r="T161" s="1472"/>
      <c r="U161" s="1472"/>
      <c r="V161" s="1472"/>
      <c r="W161" s="1472"/>
      <c r="X161" s="1472"/>
      <c r="Y161" s="1472"/>
      <c r="Z161" s="1472"/>
      <c r="AA161" s="1472"/>
      <c r="AB161" s="1472"/>
      <c r="AC161" s="1625"/>
      <c r="AD161" s="1470">
        <f t="shared" si="220"/>
        <v>0</v>
      </c>
      <c r="AE161" s="1472"/>
      <c r="AF161" s="1472"/>
      <c r="AG161" s="1472"/>
      <c r="AH161" s="1472"/>
      <c r="AI161" s="1472"/>
      <c r="AJ161" s="1472"/>
      <c r="AK161" s="1472"/>
      <c r="AL161" s="1472"/>
      <c r="AM161" s="1472"/>
      <c r="AN161" s="1472"/>
      <c r="AO161" s="1472"/>
      <c r="AP161" s="2790"/>
      <c r="AQ161" s="1470">
        <f t="shared" si="222"/>
        <v>0</v>
      </c>
      <c r="AR161" s="1472"/>
      <c r="AS161" s="1472"/>
      <c r="AT161" s="1472"/>
      <c r="AU161" s="1472"/>
      <c r="AV161" s="1472"/>
      <c r="AW161" s="1472"/>
      <c r="AX161" s="1472"/>
      <c r="AY161" s="1472"/>
      <c r="AZ161" s="1472"/>
      <c r="BA161" s="1472"/>
      <c r="BB161" s="1472"/>
      <c r="BC161" s="2790"/>
    </row>
    <row r="162" spans="2:58">
      <c r="B162" s="3292" t="s">
        <v>349</v>
      </c>
      <c r="C162" s="3291"/>
      <c r="D162" s="1469">
        <f t="shared" si="216"/>
        <v>0</v>
      </c>
      <c r="E162" s="1469">
        <f>E149-E153</f>
        <v>0</v>
      </c>
      <c r="F162" s="1469">
        <f t="shared" ref="F162:P162" si="269">F149-F153</f>
        <v>0</v>
      </c>
      <c r="G162" s="1469">
        <f t="shared" si="269"/>
        <v>0</v>
      </c>
      <c r="H162" s="1469">
        <f t="shared" si="269"/>
        <v>0</v>
      </c>
      <c r="I162" s="1469">
        <f t="shared" si="269"/>
        <v>0</v>
      </c>
      <c r="J162" s="1469">
        <f t="shared" si="269"/>
        <v>0</v>
      </c>
      <c r="K162" s="1469">
        <f t="shared" si="269"/>
        <v>0</v>
      </c>
      <c r="L162" s="1469">
        <f t="shared" si="269"/>
        <v>0</v>
      </c>
      <c r="M162" s="1469">
        <f t="shared" si="269"/>
        <v>0</v>
      </c>
      <c r="N162" s="1469">
        <f t="shared" si="269"/>
        <v>0</v>
      </c>
      <c r="O162" s="1469">
        <f t="shared" si="269"/>
        <v>0</v>
      </c>
      <c r="P162" s="1469">
        <f t="shared" si="269"/>
        <v>0</v>
      </c>
      <c r="Q162" s="1469">
        <f t="shared" si="218"/>
        <v>-67.172642999999994</v>
      </c>
      <c r="R162" s="1469">
        <f>R149-R153</f>
        <v>0</v>
      </c>
      <c r="S162" s="1469">
        <f t="shared" ref="S162:AC162" si="270">S149-S153</f>
        <v>0</v>
      </c>
      <c r="T162" s="1469">
        <f t="shared" si="270"/>
        <v>0</v>
      </c>
      <c r="U162" s="1469">
        <f t="shared" si="270"/>
        <v>0</v>
      </c>
      <c r="V162" s="1469">
        <f t="shared" si="270"/>
        <v>-0.221051</v>
      </c>
      <c r="W162" s="1469">
        <f t="shared" si="270"/>
        <v>-8.4804120000000012</v>
      </c>
      <c r="X162" s="1469">
        <f t="shared" si="270"/>
        <v>-15.929644</v>
      </c>
      <c r="Y162" s="1469">
        <f t="shared" si="270"/>
        <v>-17.079295000000002</v>
      </c>
      <c r="Z162" s="1469">
        <f t="shared" si="270"/>
        <v>-7.6127729999999989</v>
      </c>
      <c r="AA162" s="1469">
        <f t="shared" si="270"/>
        <v>-5.6720430000000004</v>
      </c>
      <c r="AB162" s="1469">
        <f t="shared" si="270"/>
        <v>-6.0894529999999998</v>
      </c>
      <c r="AC162" s="1610">
        <f t="shared" si="270"/>
        <v>-6.0879719999999997</v>
      </c>
      <c r="AD162" s="1469">
        <f t="shared" si="220"/>
        <v>269.54274916666628</v>
      </c>
      <c r="AE162" s="1469">
        <f>AE149-AE153</f>
        <v>-22.427409166666717</v>
      </c>
      <c r="AF162" s="1469">
        <f t="shared" ref="AF162:AP162" si="271">AF149-AF153</f>
        <v>-12.721879583333331</v>
      </c>
      <c r="AG162" s="1469">
        <f t="shared" si="271"/>
        <v>-14.616078666666668</v>
      </c>
      <c r="AH162" s="1469">
        <f t="shared" si="271"/>
        <v>204.23920249999998</v>
      </c>
      <c r="AI162" s="1469">
        <f t="shared" si="271"/>
        <v>-11.724291250000002</v>
      </c>
      <c r="AJ162" s="1469">
        <f t="shared" si="271"/>
        <v>-15.978951416666909</v>
      </c>
      <c r="AK162" s="1469">
        <f t="shared" si="271"/>
        <v>85.970977416666656</v>
      </c>
      <c r="AL162" s="1469">
        <f t="shared" si="271"/>
        <v>12.342438583333333</v>
      </c>
      <c r="AM162" s="1469">
        <f t="shared" si="271"/>
        <v>12.432709333333335</v>
      </c>
      <c r="AN162" s="1469">
        <f t="shared" si="271"/>
        <v>10.605213083333336</v>
      </c>
      <c r="AO162" s="1469">
        <f t="shared" si="271"/>
        <v>11.256943583333333</v>
      </c>
      <c r="AP162" s="2000">
        <f t="shared" si="271"/>
        <v>10.16387475</v>
      </c>
      <c r="AQ162" s="1469">
        <f t="shared" si="222"/>
        <v>269.62313233333305</v>
      </c>
      <c r="AR162" s="1469">
        <f>AR149-AR153</f>
        <v>-14.555044849980725</v>
      </c>
      <c r="AS162" s="1469">
        <f t="shared" ref="AS162:BC162" si="272">AS149-AS153</f>
        <v>7.9968209434996851</v>
      </c>
      <c r="AT162" s="1469">
        <f t="shared" si="272"/>
        <v>7.1481179025063035</v>
      </c>
      <c r="AU162" s="1469">
        <f t="shared" si="272"/>
        <v>152.72501415175242</v>
      </c>
      <c r="AV162" s="1469">
        <f t="shared" si="272"/>
        <v>11.969313480799688</v>
      </c>
      <c r="AW162" s="1469">
        <f t="shared" si="272"/>
        <v>14.42975338011434</v>
      </c>
      <c r="AX162" s="1469">
        <f t="shared" si="272"/>
        <v>15.084859554106895</v>
      </c>
      <c r="AY162" s="1469">
        <f t="shared" si="272"/>
        <v>15.284859554106895</v>
      </c>
      <c r="AZ162" s="1469">
        <f t="shared" si="272"/>
        <v>14.884859554106896</v>
      </c>
      <c r="BA162" s="1469">
        <f t="shared" si="272"/>
        <v>15.084859554106895</v>
      </c>
      <c r="BB162" s="1469">
        <f t="shared" si="272"/>
        <v>14.984859554106894</v>
      </c>
      <c r="BC162" s="2000">
        <f t="shared" si="272"/>
        <v>14.584859554106895</v>
      </c>
    </row>
    <row r="163" spans="2:58">
      <c r="AD163" s="1618"/>
      <c r="AE163" s="1618"/>
      <c r="AF163" s="1618"/>
      <c r="AG163" s="1618"/>
      <c r="AH163" s="1618"/>
      <c r="AI163" s="1618"/>
      <c r="AJ163" s="1618"/>
      <c r="AK163" s="1618"/>
      <c r="AL163" s="1618"/>
      <c r="AM163" s="1618"/>
      <c r="AN163" s="1618"/>
      <c r="AO163" s="1618"/>
      <c r="AP163" s="1618"/>
      <c r="AQ163" s="1618"/>
      <c r="AR163" s="1618"/>
      <c r="AS163" s="1618"/>
      <c r="AT163" s="1618"/>
      <c r="AU163" s="1618"/>
      <c r="AV163" s="1618"/>
      <c r="AW163" s="1618"/>
      <c r="AX163" s="1618"/>
      <c r="AY163" s="1618"/>
      <c r="AZ163" s="1618"/>
      <c r="BA163" s="1618"/>
      <c r="BB163" s="1618"/>
      <c r="BC163" s="1618"/>
    </row>
    <row r="164" spans="2:58">
      <c r="AD164" s="1618"/>
      <c r="AE164" s="1618"/>
      <c r="AF164" s="2320"/>
      <c r="AG164" s="2320"/>
      <c r="AH164" s="2320"/>
      <c r="AI164" s="2320"/>
      <c r="AJ164" s="2320"/>
      <c r="AK164" s="1618"/>
      <c r="AL164" s="1618"/>
      <c r="AM164" s="1618"/>
      <c r="AN164" s="1618"/>
      <c r="AO164" s="1618"/>
      <c r="AP164" s="1618"/>
      <c r="AQ164" s="1618"/>
      <c r="AR164" s="1618"/>
      <c r="AS164" s="2320"/>
      <c r="AT164" s="2320"/>
      <c r="AU164" s="2320"/>
      <c r="AV164" s="2320"/>
      <c r="AW164" s="2320"/>
      <c r="AX164" s="1618"/>
      <c r="AY164" s="1618"/>
      <c r="AZ164" s="1618"/>
      <c r="BA164" s="1618"/>
      <c r="BB164" s="1618"/>
      <c r="BC164" s="1618"/>
    </row>
    <row r="165" spans="2:58" hidden="1" outlineLevel="1">
      <c r="AD165" s="2321"/>
      <c r="AE165" s="2857"/>
      <c r="AF165" s="2857"/>
      <c r="AG165" s="2857"/>
      <c r="AH165" s="2857"/>
      <c r="AI165" s="2857"/>
      <c r="AJ165" s="2857"/>
      <c r="AK165" s="2857"/>
      <c r="AL165" s="2857"/>
      <c r="AM165" s="2857"/>
      <c r="AN165" s="2857"/>
      <c r="AO165" s="2857"/>
      <c r="AP165" s="2857"/>
      <c r="AQ165" s="2793"/>
      <c r="AR165" s="1618"/>
      <c r="AS165" s="2320"/>
      <c r="AT165" s="2320"/>
      <c r="AU165" s="2320"/>
      <c r="AV165" s="2320"/>
      <c r="AW165" s="2320"/>
      <c r="AX165" s="1618"/>
      <c r="AY165" s="1618"/>
      <c r="AZ165" s="1618"/>
      <c r="BA165" s="1618"/>
      <c r="BB165" s="1618"/>
      <c r="BC165" s="1618"/>
    </row>
    <row r="166" spans="2:58" collapsed="1">
      <c r="B166" s="1770" t="s">
        <v>565</v>
      </c>
      <c r="C166" s="777"/>
      <c r="D166" s="1772"/>
      <c r="E166" s="1772"/>
      <c r="F166" s="1772"/>
      <c r="G166" s="1772"/>
      <c r="H166" s="1772"/>
      <c r="I166" s="1772"/>
      <c r="J166" s="1772"/>
      <c r="K166" s="1772"/>
      <c r="L166" s="1772"/>
      <c r="M166" s="1772"/>
      <c r="N166" s="1772"/>
      <c r="O166" s="1772"/>
      <c r="P166" s="1772"/>
      <c r="Q166" s="1772"/>
      <c r="R166" s="1772"/>
      <c r="S166" s="1772"/>
      <c r="T166" s="1772"/>
      <c r="U166" s="1772"/>
      <c r="V166" s="1772"/>
      <c r="W166" s="1772"/>
      <c r="X166" s="1772"/>
      <c r="Y166" s="1772"/>
      <c r="Z166" s="1772"/>
      <c r="AA166" s="1772"/>
      <c r="AB166" s="1772"/>
      <c r="AC166" s="1772"/>
      <c r="AE166" s="2005"/>
      <c r="AF166" s="2320"/>
      <c r="AG166" s="2320"/>
      <c r="AH166" s="2320"/>
      <c r="AI166" s="2320"/>
      <c r="AJ166" s="2320"/>
      <c r="AK166" s="2320"/>
      <c r="AL166" s="2320"/>
      <c r="AM166" s="2320"/>
      <c r="AN166" s="2320"/>
      <c r="AO166" s="2320"/>
      <c r="AP166" s="2320"/>
      <c r="AQ166" s="1618"/>
      <c r="AR166" s="2005"/>
      <c r="AS166" s="2320"/>
      <c r="AT166" s="2320"/>
      <c r="AU166" s="2320"/>
      <c r="AV166" s="2320"/>
      <c r="AW166" s="2320"/>
      <c r="AX166" s="2320"/>
      <c r="AY166" s="2320"/>
      <c r="AZ166" s="2320"/>
      <c r="BA166" s="2320"/>
      <c r="BB166" s="2320"/>
      <c r="BC166" s="2320"/>
    </row>
    <row r="167" spans="2:58">
      <c r="B167" s="3282" t="s">
        <v>439</v>
      </c>
      <c r="C167" s="3283"/>
      <c r="D167" s="3275" t="s">
        <v>494</v>
      </c>
      <c r="E167" s="3276"/>
      <c r="F167" s="3276"/>
      <c r="G167" s="3276"/>
      <c r="H167" s="3276"/>
      <c r="I167" s="3276"/>
      <c r="J167" s="3276"/>
      <c r="K167" s="3276"/>
      <c r="L167" s="3276"/>
      <c r="M167" s="3276"/>
      <c r="N167" s="3276"/>
      <c r="O167" s="3276"/>
      <c r="P167" s="3295"/>
      <c r="Q167" s="3275" t="s">
        <v>546</v>
      </c>
      <c r="R167" s="3276"/>
      <c r="S167" s="3276"/>
      <c r="T167" s="3276"/>
      <c r="U167" s="3276"/>
      <c r="V167" s="3276"/>
      <c r="W167" s="3276"/>
      <c r="X167" s="3276"/>
      <c r="Y167" s="3276"/>
      <c r="Z167" s="3276"/>
      <c r="AA167" s="3276"/>
      <c r="AB167" s="3276"/>
      <c r="AC167" s="3298"/>
      <c r="AD167" s="3275" t="s">
        <v>572</v>
      </c>
      <c r="AE167" s="3276"/>
      <c r="AF167" s="3276"/>
      <c r="AG167" s="3276"/>
      <c r="AH167" s="3276"/>
      <c r="AI167" s="3276"/>
      <c r="AJ167" s="3276"/>
      <c r="AK167" s="3276"/>
      <c r="AL167" s="3276"/>
      <c r="AM167" s="3276"/>
      <c r="AN167" s="3276"/>
      <c r="AO167" s="3276"/>
      <c r="AP167" s="3276"/>
      <c r="AQ167" s="3277" t="s">
        <v>586</v>
      </c>
      <c r="AR167" s="3278"/>
      <c r="AS167" s="3278"/>
      <c r="AT167" s="3278"/>
      <c r="AU167" s="3278"/>
      <c r="AV167" s="3278"/>
      <c r="AW167" s="3278"/>
      <c r="AX167" s="3278"/>
      <c r="AY167" s="3278"/>
      <c r="AZ167" s="3278"/>
      <c r="BA167" s="3278"/>
      <c r="BB167" s="3278"/>
      <c r="BC167" s="3278"/>
    </row>
    <row r="168" spans="2:58">
      <c r="B168" s="3284"/>
      <c r="C168" s="3285"/>
      <c r="D168" s="1104" t="s">
        <v>492</v>
      </c>
      <c r="E168" s="1320" t="str">
        <f>E$34</f>
        <v>1월</v>
      </c>
      <c r="F168" s="1320" t="str">
        <f>F$34</f>
        <v>2월</v>
      </c>
      <c r="G168" s="1320" t="str">
        <f t="shared" ref="G168:P168" si="273">G$34</f>
        <v>3월</v>
      </c>
      <c r="H168" s="1320" t="str">
        <f t="shared" si="273"/>
        <v>4월</v>
      </c>
      <c r="I168" s="1320" t="str">
        <f t="shared" si="273"/>
        <v>5월</v>
      </c>
      <c r="J168" s="1320" t="str">
        <f t="shared" si="273"/>
        <v>6월</v>
      </c>
      <c r="K168" s="1320" t="str">
        <f t="shared" si="273"/>
        <v>7월</v>
      </c>
      <c r="L168" s="1320" t="str">
        <f t="shared" si="273"/>
        <v>8월</v>
      </c>
      <c r="M168" s="1320" t="str">
        <f t="shared" si="273"/>
        <v>9월</v>
      </c>
      <c r="N168" s="1320" t="str">
        <f t="shared" si="273"/>
        <v>10월</v>
      </c>
      <c r="O168" s="1320" t="str">
        <f t="shared" si="273"/>
        <v>11월</v>
      </c>
      <c r="P168" s="1320" t="str">
        <f t="shared" si="273"/>
        <v>12월</v>
      </c>
      <c r="Q168" s="1104" t="s">
        <v>492</v>
      </c>
      <c r="R168" s="1320" t="s">
        <v>2</v>
      </c>
      <c r="S168" s="1320" t="s">
        <v>440</v>
      </c>
      <c r="T168" s="1320" t="s">
        <v>4</v>
      </c>
      <c r="U168" s="1320" t="s">
        <v>5</v>
      </c>
      <c r="V168" s="1320" t="s">
        <v>6</v>
      </c>
      <c r="W168" s="1320" t="s">
        <v>7</v>
      </c>
      <c r="X168" s="1320" t="s">
        <v>8</v>
      </c>
      <c r="Y168" s="1320" t="s">
        <v>9</v>
      </c>
      <c r="Z168" s="1320" t="s">
        <v>10</v>
      </c>
      <c r="AA168" s="1320" t="s">
        <v>11</v>
      </c>
      <c r="AB168" s="1320" t="s">
        <v>441</v>
      </c>
      <c r="AC168" s="1609" t="s">
        <v>442</v>
      </c>
      <c r="AD168" s="1104" t="s">
        <v>492</v>
      </c>
      <c r="AE168" s="1320" t="s">
        <v>2</v>
      </c>
      <c r="AF168" s="1320" t="s">
        <v>440</v>
      </c>
      <c r="AG168" s="1320" t="s">
        <v>4</v>
      </c>
      <c r="AH168" s="1320" t="s">
        <v>5</v>
      </c>
      <c r="AI168" s="1320" t="s">
        <v>6</v>
      </c>
      <c r="AJ168" s="1320" t="s">
        <v>7</v>
      </c>
      <c r="AK168" s="1320" t="s">
        <v>8</v>
      </c>
      <c r="AL168" s="1320" t="s">
        <v>9</v>
      </c>
      <c r="AM168" s="1320" t="s">
        <v>10</v>
      </c>
      <c r="AN168" s="1320" t="s">
        <v>11</v>
      </c>
      <c r="AO168" s="1320" t="s">
        <v>441</v>
      </c>
      <c r="AP168" s="1915" t="s">
        <v>442</v>
      </c>
      <c r="AQ168" s="2792" t="s">
        <v>492</v>
      </c>
      <c r="AR168" s="2323" t="s">
        <v>2</v>
      </c>
      <c r="AS168" s="2323" t="s">
        <v>440</v>
      </c>
      <c r="AT168" s="2323" t="s">
        <v>4</v>
      </c>
      <c r="AU168" s="2323" t="s">
        <v>5</v>
      </c>
      <c r="AV168" s="2323" t="s">
        <v>6</v>
      </c>
      <c r="AW168" s="2323" t="s">
        <v>7</v>
      </c>
      <c r="AX168" s="2323" t="s">
        <v>8</v>
      </c>
      <c r="AY168" s="2323" t="s">
        <v>9</v>
      </c>
      <c r="AZ168" s="2323" t="s">
        <v>10</v>
      </c>
      <c r="BA168" s="2323" t="s">
        <v>11</v>
      </c>
      <c r="BB168" s="2323" t="s">
        <v>441</v>
      </c>
      <c r="BC168" s="2788" t="s">
        <v>442</v>
      </c>
    </row>
    <row r="169" spans="2:58">
      <c r="B169" s="3290" t="s">
        <v>385</v>
      </c>
      <c r="C169" s="3304"/>
      <c r="D169" s="1469">
        <f t="shared" ref="D169:D181" si="274">SUM(E169:P169)</f>
        <v>0</v>
      </c>
      <c r="E169" s="1469">
        <f>SUM(E170:E172)</f>
        <v>0</v>
      </c>
      <c r="F169" s="1469">
        <f t="shared" ref="F169:P169" si="275">SUM(F170:F172)</f>
        <v>0</v>
      </c>
      <c r="G169" s="1469">
        <f t="shared" si="275"/>
        <v>0</v>
      </c>
      <c r="H169" s="1469">
        <f t="shared" si="275"/>
        <v>0</v>
      </c>
      <c r="I169" s="1469">
        <f t="shared" si="275"/>
        <v>0</v>
      </c>
      <c r="J169" s="1469">
        <f t="shared" si="275"/>
        <v>0</v>
      </c>
      <c r="K169" s="1469">
        <f t="shared" si="275"/>
        <v>0</v>
      </c>
      <c r="L169" s="1469">
        <f t="shared" si="275"/>
        <v>0</v>
      </c>
      <c r="M169" s="1469">
        <f t="shared" si="275"/>
        <v>0</v>
      </c>
      <c r="N169" s="1469">
        <f t="shared" si="275"/>
        <v>0</v>
      </c>
      <c r="O169" s="1469">
        <f t="shared" si="275"/>
        <v>0</v>
      </c>
      <c r="P169" s="1469">
        <f t="shared" si="275"/>
        <v>0</v>
      </c>
      <c r="Q169" s="1469">
        <f t="shared" ref="Q169:Q181" si="276">SUM(R169:AC169)</f>
        <v>0</v>
      </c>
      <c r="R169" s="1469">
        <f>SUM(R170:R172)</f>
        <v>0</v>
      </c>
      <c r="S169" s="1469">
        <f t="shared" ref="S169:AC169" si="277">SUM(S170:S172)</f>
        <v>0</v>
      </c>
      <c r="T169" s="1469">
        <f t="shared" si="277"/>
        <v>0</v>
      </c>
      <c r="U169" s="1469">
        <f t="shared" si="277"/>
        <v>0</v>
      </c>
      <c r="V169" s="1469">
        <f t="shared" si="277"/>
        <v>0</v>
      </c>
      <c r="W169" s="1469">
        <f t="shared" si="277"/>
        <v>0</v>
      </c>
      <c r="X169" s="1469">
        <f t="shared" si="277"/>
        <v>0</v>
      </c>
      <c r="Y169" s="1469">
        <f t="shared" si="277"/>
        <v>0</v>
      </c>
      <c r="Z169" s="1469">
        <f t="shared" si="277"/>
        <v>0</v>
      </c>
      <c r="AA169" s="1469">
        <f t="shared" si="277"/>
        <v>0</v>
      </c>
      <c r="AB169" s="1469">
        <f t="shared" si="277"/>
        <v>0</v>
      </c>
      <c r="AC169" s="1469">
        <f t="shared" si="277"/>
        <v>0</v>
      </c>
      <c r="AD169" s="1469">
        <f t="shared" ref="AD169:AD181" si="278">SUM(AE169:AP169)</f>
        <v>891.32068800000013</v>
      </c>
      <c r="AE169" s="1469">
        <f>SUM(AE170:AE172)</f>
        <v>6.8</v>
      </c>
      <c r="AF169" s="1469">
        <f t="shared" ref="AF169:AP169" si="279">SUM(AF170:AF172)</f>
        <v>46.181820000000002</v>
      </c>
      <c r="AG169" s="1469">
        <f t="shared" si="279"/>
        <v>61.831819000000003</v>
      </c>
      <c r="AH169" s="1469">
        <f t="shared" si="279"/>
        <v>53.395454000000001</v>
      </c>
      <c r="AI169" s="1469">
        <f t="shared" si="279"/>
        <v>39.672727000000002</v>
      </c>
      <c r="AJ169" s="1469">
        <f t="shared" si="279"/>
        <v>36.509090999999998</v>
      </c>
      <c r="AK169" s="1469">
        <f t="shared" si="279"/>
        <v>38.156019000000001</v>
      </c>
      <c r="AL169" s="1469">
        <f t="shared" si="279"/>
        <v>48.210000999999998</v>
      </c>
      <c r="AM169" s="1469">
        <f t="shared" si="279"/>
        <v>156.92272700000001</v>
      </c>
      <c r="AN169" s="1469">
        <f t="shared" si="279"/>
        <v>167.37400099999999</v>
      </c>
      <c r="AO169" s="1469">
        <f t="shared" si="279"/>
        <v>155.172484</v>
      </c>
      <c r="AP169" s="2000">
        <f t="shared" si="279"/>
        <v>81.094544999999997</v>
      </c>
      <c r="AQ169" s="1469">
        <f t="shared" ref="AQ169:AQ181" si="280">SUM(AR169:BC169)</f>
        <v>3019.9999999999995</v>
      </c>
      <c r="AR169" s="1469">
        <f>SUM(AR170:AR172)</f>
        <v>251.66666666666666</v>
      </c>
      <c r="AS169" s="1469">
        <f t="shared" ref="AS169:BC169" si="281">SUM(AS170:AS172)</f>
        <v>251.66666666666666</v>
      </c>
      <c r="AT169" s="1469">
        <f t="shared" si="281"/>
        <v>251.66666666666666</v>
      </c>
      <c r="AU169" s="1469">
        <f t="shared" si="281"/>
        <v>251.66666666666666</v>
      </c>
      <c r="AV169" s="1469">
        <f t="shared" si="281"/>
        <v>251.66666666666666</v>
      </c>
      <c r="AW169" s="1469">
        <f t="shared" si="281"/>
        <v>251.66666666666666</v>
      </c>
      <c r="AX169" s="1469">
        <f t="shared" si="281"/>
        <v>251.66666666666666</v>
      </c>
      <c r="AY169" s="1469">
        <f t="shared" si="281"/>
        <v>251.66666666666666</v>
      </c>
      <c r="AZ169" s="1469">
        <f t="shared" si="281"/>
        <v>251.66666666666666</v>
      </c>
      <c r="BA169" s="1469">
        <f t="shared" si="281"/>
        <v>251.66666666666666</v>
      </c>
      <c r="BB169" s="1469">
        <f t="shared" si="281"/>
        <v>251.66666666666666</v>
      </c>
      <c r="BC169" s="2000">
        <f t="shared" si="281"/>
        <v>251.66666666666666</v>
      </c>
    </row>
    <row r="170" spans="2:58">
      <c r="B170" s="1736"/>
      <c r="C170" s="1629" t="s">
        <v>529</v>
      </c>
      <c r="D170" s="1470">
        <f t="shared" si="274"/>
        <v>0</v>
      </c>
      <c r="E170" s="1685"/>
      <c r="F170" s="1685"/>
      <c r="G170" s="1685"/>
      <c r="H170" s="1685"/>
      <c r="I170" s="1685"/>
      <c r="J170" s="1685"/>
      <c r="K170" s="1685"/>
      <c r="L170" s="1685"/>
      <c r="M170" s="1685"/>
      <c r="N170" s="1685"/>
      <c r="O170" s="1685"/>
      <c r="P170" s="1685"/>
      <c r="Q170" s="1470">
        <f t="shared" si="276"/>
        <v>0</v>
      </c>
      <c r="R170" s="1685"/>
      <c r="S170" s="1685"/>
      <c r="T170" s="1685"/>
      <c r="U170" s="1685"/>
      <c r="V170" s="1685"/>
      <c r="W170" s="1685"/>
      <c r="X170" s="1685"/>
      <c r="Y170" s="1685"/>
      <c r="Z170" s="1685"/>
      <c r="AA170" s="1685"/>
      <c r="AB170" s="1685"/>
      <c r="AC170" s="1685"/>
      <c r="AD170" s="1470">
        <f t="shared" si="278"/>
        <v>318.18181800000002</v>
      </c>
      <c r="AE170" s="1471"/>
      <c r="AF170" s="1471"/>
      <c r="AG170" s="1471"/>
      <c r="AH170" s="1471"/>
      <c r="AI170" s="1471"/>
      <c r="AJ170" s="1471"/>
      <c r="AK170" s="1471"/>
      <c r="AL170" s="1471"/>
      <c r="AM170" s="1471">
        <v>109.090909</v>
      </c>
      <c r="AN170" s="1471">
        <v>109.090909</v>
      </c>
      <c r="AO170" s="1471">
        <v>100</v>
      </c>
      <c r="AP170" s="2001"/>
      <c r="AQ170" s="1470">
        <f t="shared" si="280"/>
        <v>320</v>
      </c>
      <c r="AR170" s="1471">
        <v>26.666666666666668</v>
      </c>
      <c r="AS170" s="1471">
        <v>26.666666666666668</v>
      </c>
      <c r="AT170" s="1471">
        <v>26.666666666666668</v>
      </c>
      <c r="AU170" s="1471">
        <v>26.666666666666668</v>
      </c>
      <c r="AV170" s="1471">
        <v>26.666666666666668</v>
      </c>
      <c r="AW170" s="1471">
        <v>26.666666666666668</v>
      </c>
      <c r="AX170" s="1471">
        <v>26.666666666666668</v>
      </c>
      <c r="AY170" s="1471">
        <v>26.666666666666668</v>
      </c>
      <c r="AZ170" s="1471">
        <v>26.666666666666668</v>
      </c>
      <c r="BA170" s="1471">
        <v>26.666666666666668</v>
      </c>
      <c r="BB170" s="1471">
        <v>26.666666666666668</v>
      </c>
      <c r="BC170" s="2001">
        <v>26.666666666666668</v>
      </c>
    </row>
    <row r="171" spans="2:58">
      <c r="B171" s="3281"/>
      <c r="C171" s="1629" t="s">
        <v>543</v>
      </c>
      <c r="D171" s="1470">
        <f t="shared" si="274"/>
        <v>0</v>
      </c>
      <c r="E171" s="1686"/>
      <c r="F171" s="1686"/>
      <c r="G171" s="1686"/>
      <c r="H171" s="1686"/>
      <c r="I171" s="1686"/>
      <c r="J171" s="1686"/>
      <c r="K171" s="1686"/>
      <c r="L171" s="1686"/>
      <c r="M171" s="1686"/>
      <c r="N171" s="1686"/>
      <c r="O171" s="1686"/>
      <c r="P171" s="1686"/>
      <c r="Q171" s="1470">
        <f t="shared" si="276"/>
        <v>0</v>
      </c>
      <c r="R171" s="1686"/>
      <c r="S171" s="1686"/>
      <c r="T171" s="1686"/>
      <c r="U171" s="1686"/>
      <c r="V171" s="1686"/>
      <c r="W171" s="1686"/>
      <c r="X171" s="1686"/>
      <c r="Y171" s="1686"/>
      <c r="Z171" s="1686"/>
      <c r="AA171" s="1686"/>
      <c r="AB171" s="1686"/>
      <c r="AC171" s="1686"/>
      <c r="AD171" s="1470">
        <f t="shared" si="278"/>
        <v>573.13887</v>
      </c>
      <c r="AE171" s="1471">
        <v>6.8</v>
      </c>
      <c r="AF171" s="1471">
        <v>46.181820000000002</v>
      </c>
      <c r="AG171" s="1471">
        <v>61.831819000000003</v>
      </c>
      <c r="AH171" s="1471">
        <v>53.395454000000001</v>
      </c>
      <c r="AI171" s="1471">
        <v>39.672727000000002</v>
      </c>
      <c r="AJ171" s="1471">
        <v>36.509090999999998</v>
      </c>
      <c r="AK171" s="1471">
        <v>38.156019000000001</v>
      </c>
      <c r="AL171" s="1471">
        <v>48.210000999999998</v>
      </c>
      <c r="AM171" s="1471">
        <v>47.831817999999998</v>
      </c>
      <c r="AN171" s="1471">
        <v>58.283091999999996</v>
      </c>
      <c r="AO171" s="1471">
        <v>55.172483999999997</v>
      </c>
      <c r="AP171" s="2001">
        <v>81.094544999999997</v>
      </c>
      <c r="AQ171" s="1470">
        <f t="shared" si="280"/>
        <v>2700</v>
      </c>
      <c r="AR171" s="1471">
        <v>225</v>
      </c>
      <c r="AS171" s="1471">
        <v>225</v>
      </c>
      <c r="AT171" s="1471">
        <v>225</v>
      </c>
      <c r="AU171" s="1471">
        <v>225</v>
      </c>
      <c r="AV171" s="1471">
        <v>225</v>
      </c>
      <c r="AW171" s="1471">
        <v>225</v>
      </c>
      <c r="AX171" s="1471">
        <v>225</v>
      </c>
      <c r="AY171" s="1471">
        <v>225</v>
      </c>
      <c r="AZ171" s="1471">
        <v>225</v>
      </c>
      <c r="BA171" s="1471">
        <v>225</v>
      </c>
      <c r="BB171" s="1471">
        <v>225</v>
      </c>
      <c r="BC171" s="2001">
        <v>225</v>
      </c>
      <c r="BF171" s="2874"/>
    </row>
    <row r="172" spans="2:58">
      <c r="B172" s="3289"/>
      <c r="C172" s="1629"/>
      <c r="D172" s="1470">
        <f t="shared" si="274"/>
        <v>0</v>
      </c>
      <c r="E172" s="1686"/>
      <c r="F172" s="1686"/>
      <c r="G172" s="1686"/>
      <c r="H172" s="1686"/>
      <c r="I172" s="1686"/>
      <c r="J172" s="1686"/>
      <c r="K172" s="1686"/>
      <c r="L172" s="1686"/>
      <c r="M172" s="1686"/>
      <c r="N172" s="1686"/>
      <c r="O172" s="1686"/>
      <c r="P172" s="1686"/>
      <c r="Q172" s="1470">
        <f t="shared" si="276"/>
        <v>0</v>
      </c>
      <c r="R172" s="1686"/>
      <c r="S172" s="1686"/>
      <c r="T172" s="1686"/>
      <c r="U172" s="1686"/>
      <c r="V172" s="1686"/>
      <c r="W172" s="1686"/>
      <c r="X172" s="1686"/>
      <c r="Y172" s="1686"/>
      <c r="Z172" s="1686"/>
      <c r="AA172" s="1686"/>
      <c r="AB172" s="1686"/>
      <c r="AC172" s="1686"/>
      <c r="AD172" s="1470">
        <f t="shared" si="278"/>
        <v>0</v>
      </c>
      <c r="AE172" s="1471"/>
      <c r="AF172" s="1471"/>
      <c r="AG172" s="1471"/>
      <c r="AH172" s="1471"/>
      <c r="AI172" s="1505"/>
      <c r="AJ172" s="1471"/>
      <c r="AK172" s="1471"/>
      <c r="AL172" s="1471"/>
      <c r="AM172" s="1471"/>
      <c r="AN172" s="1471"/>
      <c r="AO172" s="1471"/>
      <c r="AP172" s="2001"/>
      <c r="AQ172" s="1470">
        <f t="shared" si="280"/>
        <v>0</v>
      </c>
      <c r="AR172" s="1471"/>
      <c r="AS172" s="1471"/>
      <c r="AT172" s="1471"/>
      <c r="AU172" s="1471"/>
      <c r="AV172" s="1505"/>
      <c r="AW172" s="1471"/>
      <c r="AX172" s="1471"/>
      <c r="AY172" s="1471"/>
      <c r="AZ172" s="1471"/>
      <c r="BA172" s="1471"/>
      <c r="BB172" s="1471"/>
      <c r="BC172" s="2001"/>
    </row>
    <row r="173" spans="2:58">
      <c r="B173" s="3290" t="s">
        <v>417</v>
      </c>
      <c r="C173" s="3304"/>
      <c r="D173" s="1469">
        <f t="shared" si="274"/>
        <v>0</v>
      </c>
      <c r="E173" s="1469">
        <f>SUM(E174:E180)</f>
        <v>0</v>
      </c>
      <c r="F173" s="1469">
        <f t="shared" ref="F173:P173" si="282">SUM(F174:F180)</f>
        <v>0</v>
      </c>
      <c r="G173" s="1469">
        <f t="shared" si="282"/>
        <v>0</v>
      </c>
      <c r="H173" s="1469">
        <f t="shared" si="282"/>
        <v>0</v>
      </c>
      <c r="I173" s="1469">
        <f t="shared" si="282"/>
        <v>0</v>
      </c>
      <c r="J173" s="1469">
        <f t="shared" si="282"/>
        <v>0</v>
      </c>
      <c r="K173" s="1469">
        <f t="shared" si="282"/>
        <v>0</v>
      </c>
      <c r="L173" s="1469">
        <f t="shared" si="282"/>
        <v>0</v>
      </c>
      <c r="M173" s="1469">
        <f t="shared" si="282"/>
        <v>0</v>
      </c>
      <c r="N173" s="1469">
        <f t="shared" si="282"/>
        <v>0</v>
      </c>
      <c r="O173" s="1469">
        <f t="shared" si="282"/>
        <v>0</v>
      </c>
      <c r="P173" s="1469">
        <f t="shared" si="282"/>
        <v>0</v>
      </c>
      <c r="Q173" s="1469">
        <f t="shared" si="276"/>
        <v>0</v>
      </c>
      <c r="R173" s="1469">
        <f>SUM(R174:R180)</f>
        <v>0</v>
      </c>
      <c r="S173" s="1469">
        <f t="shared" ref="S173:AC173" si="283">SUM(S174:S180)</f>
        <v>0</v>
      </c>
      <c r="T173" s="1469">
        <f t="shared" si="283"/>
        <v>0</v>
      </c>
      <c r="U173" s="1469">
        <f t="shared" si="283"/>
        <v>0</v>
      </c>
      <c r="V173" s="1469">
        <f t="shared" si="283"/>
        <v>0</v>
      </c>
      <c r="W173" s="1469">
        <f t="shared" si="283"/>
        <v>0</v>
      </c>
      <c r="X173" s="1469">
        <f t="shared" si="283"/>
        <v>0</v>
      </c>
      <c r="Y173" s="1469">
        <f t="shared" si="283"/>
        <v>0</v>
      </c>
      <c r="Z173" s="1469">
        <f t="shared" si="283"/>
        <v>0</v>
      </c>
      <c r="AA173" s="1469">
        <f t="shared" si="283"/>
        <v>0</v>
      </c>
      <c r="AB173" s="1469">
        <f t="shared" si="283"/>
        <v>0</v>
      </c>
      <c r="AC173" s="1469">
        <f t="shared" si="283"/>
        <v>0</v>
      </c>
      <c r="AD173" s="1469">
        <f t="shared" si="278"/>
        <v>1582.0413923333363</v>
      </c>
      <c r="AE173" s="1469">
        <f>SUM(AE174:AE180)</f>
        <v>147.23675966666721</v>
      </c>
      <c r="AF173" s="1469">
        <f t="shared" ref="AF173:AP173" si="284">SUM(AF174:AF180)</f>
        <v>90.188336833333338</v>
      </c>
      <c r="AG173" s="1469">
        <f t="shared" si="284"/>
        <v>122.21834366666667</v>
      </c>
      <c r="AH173" s="1469">
        <f t="shared" si="284"/>
        <v>83.387344999999996</v>
      </c>
      <c r="AI173" s="1469">
        <f t="shared" si="284"/>
        <v>68.076814500000012</v>
      </c>
      <c r="AJ173" s="1469">
        <f t="shared" si="284"/>
        <v>85.58265616666904</v>
      </c>
      <c r="AK173" s="1469">
        <f t="shared" si="284"/>
        <v>398.45742683333339</v>
      </c>
      <c r="AL173" s="1469">
        <f t="shared" si="284"/>
        <v>77.375170166666663</v>
      </c>
      <c r="AM173" s="1469">
        <f t="shared" si="284"/>
        <v>93.691030666666663</v>
      </c>
      <c r="AN173" s="1469">
        <f t="shared" si="284"/>
        <v>125.25071516666667</v>
      </c>
      <c r="AO173" s="1469">
        <f t="shared" si="284"/>
        <v>127.65934016666667</v>
      </c>
      <c r="AP173" s="2000">
        <f t="shared" si="284"/>
        <v>162.91745350000002</v>
      </c>
      <c r="AQ173" s="1469">
        <f t="shared" si="280"/>
        <v>2808.1448225752119</v>
      </c>
      <c r="AR173" s="1469">
        <f>SUM(AR174:AR180)</f>
        <v>234.0120685479344</v>
      </c>
      <c r="AS173" s="1469">
        <f t="shared" ref="AS173:BC173" si="285">SUM(AS174:AS180)</f>
        <v>234.0120685479344</v>
      </c>
      <c r="AT173" s="1469">
        <f t="shared" si="285"/>
        <v>234.0120685479344</v>
      </c>
      <c r="AU173" s="1469">
        <f t="shared" si="285"/>
        <v>234.0120685479344</v>
      </c>
      <c r="AV173" s="1469">
        <f t="shared" si="285"/>
        <v>234.0120685479344</v>
      </c>
      <c r="AW173" s="1469">
        <f t="shared" si="285"/>
        <v>234.0120685479344</v>
      </c>
      <c r="AX173" s="1469">
        <f t="shared" si="285"/>
        <v>234.0120685479344</v>
      </c>
      <c r="AY173" s="1469">
        <f t="shared" si="285"/>
        <v>234.0120685479344</v>
      </c>
      <c r="AZ173" s="1469">
        <f t="shared" si="285"/>
        <v>234.0120685479344</v>
      </c>
      <c r="BA173" s="1469">
        <f t="shared" si="285"/>
        <v>234.0120685479344</v>
      </c>
      <c r="BB173" s="1469">
        <f t="shared" si="285"/>
        <v>234.0120685479344</v>
      </c>
      <c r="BC173" s="2000">
        <f t="shared" si="285"/>
        <v>234.0120685479344</v>
      </c>
    </row>
    <row r="174" spans="2:58">
      <c r="B174" s="1736"/>
      <c r="C174" s="1771" t="s">
        <v>422</v>
      </c>
      <c r="D174" s="1470">
        <f t="shared" si="274"/>
        <v>0</v>
      </c>
      <c r="E174" s="1685"/>
      <c r="F174" s="1685"/>
      <c r="G174" s="1685"/>
      <c r="H174" s="1685"/>
      <c r="I174" s="1685"/>
      <c r="J174" s="1685"/>
      <c r="K174" s="1685"/>
      <c r="L174" s="1685"/>
      <c r="M174" s="1685"/>
      <c r="N174" s="1685"/>
      <c r="O174" s="1685"/>
      <c r="P174" s="1685"/>
      <c r="Q174" s="1470">
        <f t="shared" si="276"/>
        <v>0</v>
      </c>
      <c r="R174" s="1685"/>
      <c r="S174" s="1685"/>
      <c r="T174" s="1685"/>
      <c r="U174" s="1685"/>
      <c r="V174" s="1685"/>
      <c r="W174" s="1685"/>
      <c r="X174" s="1685"/>
      <c r="Y174" s="1685"/>
      <c r="Z174" s="1685"/>
      <c r="AA174" s="1685"/>
      <c r="AB174" s="1685"/>
      <c r="AC174" s="1685"/>
      <c r="AD174" s="1470">
        <f t="shared" si="278"/>
        <v>531.67763616666662</v>
      </c>
      <c r="AE174" s="1471">
        <v>40.580554000000006</v>
      </c>
      <c r="AF174" s="1471">
        <v>35.104918166666671</v>
      </c>
      <c r="AG174" s="1471">
        <v>63.997044500000001</v>
      </c>
      <c r="AH174" s="1471">
        <v>39.996128166666665</v>
      </c>
      <c r="AI174" s="1471">
        <v>31.871821500000003</v>
      </c>
      <c r="AJ174" s="1471">
        <v>34.467209666666669</v>
      </c>
      <c r="AK174" s="1471">
        <v>45.255291333333332</v>
      </c>
      <c r="AL174" s="1471">
        <v>32.742320166666666</v>
      </c>
      <c r="AM174" s="1471">
        <v>46.201618166666663</v>
      </c>
      <c r="AN174" s="1471">
        <v>58.865080500000005</v>
      </c>
      <c r="AO174" s="1471">
        <v>50.81849866666667</v>
      </c>
      <c r="AP174" s="2001">
        <v>51.777151333333329</v>
      </c>
      <c r="AQ174" s="1470">
        <f t="shared" si="280"/>
        <v>573.93076346952478</v>
      </c>
      <c r="AR174" s="1471">
        <v>47.82756362246041</v>
      </c>
      <c r="AS174" s="1471">
        <v>47.82756362246041</v>
      </c>
      <c r="AT174" s="1471">
        <v>47.82756362246041</v>
      </c>
      <c r="AU174" s="1471">
        <v>47.82756362246041</v>
      </c>
      <c r="AV174" s="1471">
        <v>47.82756362246041</v>
      </c>
      <c r="AW174" s="1471">
        <v>47.82756362246041</v>
      </c>
      <c r="AX174" s="1471">
        <v>47.82756362246041</v>
      </c>
      <c r="AY174" s="1471">
        <v>47.82756362246041</v>
      </c>
      <c r="AZ174" s="1471">
        <v>47.82756362246041</v>
      </c>
      <c r="BA174" s="1471">
        <v>47.82756362246041</v>
      </c>
      <c r="BB174" s="1471">
        <v>47.82756362246041</v>
      </c>
      <c r="BC174" s="2001">
        <v>47.82756362246041</v>
      </c>
    </row>
    <row r="175" spans="2:58">
      <c r="B175" s="1736"/>
      <c r="C175" s="1771" t="s">
        <v>517</v>
      </c>
      <c r="D175" s="1470">
        <f t="shared" si="274"/>
        <v>0</v>
      </c>
      <c r="E175" s="1685"/>
      <c r="F175" s="1685"/>
      <c r="G175" s="1685"/>
      <c r="H175" s="1685"/>
      <c r="I175" s="1685"/>
      <c r="J175" s="1685"/>
      <c r="K175" s="1685"/>
      <c r="L175" s="1685"/>
      <c r="M175" s="1685"/>
      <c r="N175" s="1685"/>
      <c r="O175" s="1685"/>
      <c r="P175" s="1685"/>
      <c r="Q175" s="1470">
        <f t="shared" si="276"/>
        <v>0</v>
      </c>
      <c r="R175" s="1685"/>
      <c r="S175" s="1685"/>
      <c r="T175" s="1685"/>
      <c r="U175" s="1685"/>
      <c r="V175" s="1685"/>
      <c r="W175" s="1685"/>
      <c r="X175" s="1685"/>
      <c r="Y175" s="1685"/>
      <c r="Z175" s="1685"/>
      <c r="AA175" s="1685"/>
      <c r="AB175" s="1685"/>
      <c r="AC175" s="1685"/>
      <c r="AD175" s="1470">
        <f t="shared" si="278"/>
        <v>72.600371999999993</v>
      </c>
      <c r="AE175" s="1471">
        <v>0.2</v>
      </c>
      <c r="AF175" s="1471">
        <v>0.2</v>
      </c>
      <c r="AG175" s="1471">
        <v>0.2</v>
      </c>
      <c r="AH175" s="1471">
        <v>0.49037199999999997</v>
      </c>
      <c r="AI175" s="1471">
        <v>5.2830000000000004</v>
      </c>
      <c r="AJ175" s="1471">
        <v>9.4610000000000003</v>
      </c>
      <c r="AK175" s="1471">
        <v>9.4610000000000003</v>
      </c>
      <c r="AL175" s="1471">
        <v>9.4610000000000003</v>
      </c>
      <c r="AM175" s="1471">
        <v>9.4610000000000003</v>
      </c>
      <c r="AN175" s="1471">
        <v>9.4610000000000003</v>
      </c>
      <c r="AO175" s="1471">
        <v>9.4610000000000003</v>
      </c>
      <c r="AP175" s="2001">
        <v>9.4610000000000003</v>
      </c>
      <c r="AQ175" s="1470">
        <f t="shared" si="280"/>
        <v>90.000000000000014</v>
      </c>
      <c r="AR175" s="1471">
        <v>7.5000000000000027</v>
      </c>
      <c r="AS175" s="1471">
        <v>7.5000000000000027</v>
      </c>
      <c r="AT175" s="1471">
        <v>7.5000000000000027</v>
      </c>
      <c r="AU175" s="1471">
        <v>7.5000000000000027</v>
      </c>
      <c r="AV175" s="1471">
        <v>7.5000000000000027</v>
      </c>
      <c r="AW175" s="1471">
        <v>7.5000000000000027</v>
      </c>
      <c r="AX175" s="1471">
        <v>7.5000000000000027</v>
      </c>
      <c r="AY175" s="1471">
        <v>7.5000000000000027</v>
      </c>
      <c r="AZ175" s="1471">
        <v>7.5000000000000027</v>
      </c>
      <c r="BA175" s="1471">
        <v>7.5000000000000027</v>
      </c>
      <c r="BB175" s="1471">
        <v>7.5000000000000027</v>
      </c>
      <c r="BC175" s="2001">
        <v>7.5000000000000027</v>
      </c>
      <c r="BE175" s="489"/>
    </row>
    <row r="176" spans="2:58">
      <c r="B176" s="1736"/>
      <c r="C176" s="1771" t="s">
        <v>82</v>
      </c>
      <c r="D176" s="1470">
        <f t="shared" si="274"/>
        <v>0</v>
      </c>
      <c r="E176" s="1685"/>
      <c r="F176" s="1685"/>
      <c r="G176" s="1685"/>
      <c r="H176" s="1685"/>
      <c r="I176" s="1685"/>
      <c r="J176" s="1685"/>
      <c r="K176" s="1685"/>
      <c r="L176" s="1685"/>
      <c r="M176" s="1685"/>
      <c r="N176" s="1685"/>
      <c r="O176" s="1685"/>
      <c r="P176" s="1685"/>
      <c r="Q176" s="1470">
        <f t="shared" si="276"/>
        <v>0</v>
      </c>
      <c r="R176" s="1685"/>
      <c r="S176" s="1685"/>
      <c r="T176" s="1685"/>
      <c r="U176" s="1685"/>
      <c r="V176" s="1685"/>
      <c r="W176" s="1685"/>
      <c r="X176" s="1685"/>
      <c r="Y176" s="1685"/>
      <c r="Z176" s="1685"/>
      <c r="AA176" s="1773"/>
      <c r="AB176" s="1685"/>
      <c r="AC176" s="1685"/>
      <c r="AD176" s="1470">
        <f t="shared" si="278"/>
        <v>447.04012100000006</v>
      </c>
      <c r="AE176" s="1471">
        <v>78.389794833333326</v>
      </c>
      <c r="AF176" s="1471">
        <v>9.8162625000000006</v>
      </c>
      <c r="AG176" s="1471">
        <v>1.5449999999999999</v>
      </c>
      <c r="AH176" s="1471">
        <v>0.29666666666666669</v>
      </c>
      <c r="AI176" s="1471">
        <v>0.82159000000000004</v>
      </c>
      <c r="AJ176" s="1471">
        <v>3.1116666666666664</v>
      </c>
      <c r="AK176" s="1471">
        <v>301.67633683333338</v>
      </c>
      <c r="AL176" s="1471">
        <v>2.0794499999999996</v>
      </c>
      <c r="AM176" s="1471">
        <v>0.23687333333333332</v>
      </c>
      <c r="AN176" s="1471">
        <v>17.677991833333333</v>
      </c>
      <c r="AO176" s="1471">
        <v>18.348900833333335</v>
      </c>
      <c r="AP176" s="2001">
        <v>13.0395875</v>
      </c>
      <c r="AQ176" s="1470">
        <f t="shared" si="280"/>
        <v>448.10673271407063</v>
      </c>
      <c r="AR176" s="1471">
        <v>37.342227726172553</v>
      </c>
      <c r="AS176" s="1471">
        <v>37.342227726172553</v>
      </c>
      <c r="AT176" s="1471">
        <v>37.342227726172553</v>
      </c>
      <c r="AU176" s="1471">
        <v>37.342227726172553</v>
      </c>
      <c r="AV176" s="1471">
        <v>37.342227726172553</v>
      </c>
      <c r="AW176" s="1471">
        <v>37.342227726172553</v>
      </c>
      <c r="AX176" s="1471">
        <v>37.342227726172553</v>
      </c>
      <c r="AY176" s="1471">
        <v>37.342227726172553</v>
      </c>
      <c r="AZ176" s="1471">
        <v>37.342227726172553</v>
      </c>
      <c r="BA176" s="1471">
        <v>37.342227726172553</v>
      </c>
      <c r="BB176" s="1471">
        <v>37.342227726172553</v>
      </c>
      <c r="BC176" s="2001">
        <v>37.342227726172553</v>
      </c>
      <c r="BF176" s="2874"/>
    </row>
    <row r="177" spans="2:57">
      <c r="B177" s="1736"/>
      <c r="C177" s="1771" t="s">
        <v>84</v>
      </c>
      <c r="D177" s="1470">
        <f t="shared" si="274"/>
        <v>0</v>
      </c>
      <c r="E177" s="1685"/>
      <c r="F177" s="1685"/>
      <c r="G177" s="1685"/>
      <c r="H177" s="1685"/>
      <c r="I177" s="1685"/>
      <c r="J177" s="1685"/>
      <c r="K177" s="1685"/>
      <c r="L177" s="1685"/>
      <c r="M177" s="1685"/>
      <c r="N177" s="1685"/>
      <c r="O177" s="1685"/>
      <c r="P177" s="1685"/>
      <c r="Q177" s="1470">
        <f t="shared" si="276"/>
        <v>0</v>
      </c>
      <c r="R177" s="1685"/>
      <c r="S177" s="1685"/>
      <c r="T177" s="1685"/>
      <c r="U177" s="1685"/>
      <c r="V177" s="1685"/>
      <c r="W177" s="1685"/>
      <c r="X177" s="1685"/>
      <c r="Y177" s="1685"/>
      <c r="Z177" s="1685"/>
      <c r="AA177" s="1685"/>
      <c r="AB177" s="1685"/>
      <c r="AC177" s="1685"/>
      <c r="AD177" s="1470">
        <f t="shared" si="278"/>
        <v>1.0580000000000001</v>
      </c>
      <c r="AE177" s="1471"/>
      <c r="AF177" s="1471">
        <v>7.0000000000000007E-2</v>
      </c>
      <c r="AG177" s="1471">
        <v>0.16</v>
      </c>
      <c r="AH177" s="1471"/>
      <c r="AI177" s="1471"/>
      <c r="AJ177" s="1471">
        <v>5.8000000000000003E-2</v>
      </c>
      <c r="AK177" s="1471">
        <v>0.05</v>
      </c>
      <c r="AL177" s="1471">
        <v>0.115</v>
      </c>
      <c r="AM177" s="1471">
        <v>0.105</v>
      </c>
      <c r="AN177" s="1471">
        <v>0.155</v>
      </c>
      <c r="AO177" s="1471">
        <v>0.11</v>
      </c>
      <c r="AP177" s="2001">
        <v>0.23499999999999999</v>
      </c>
      <c r="AQ177" s="1470">
        <f t="shared" si="280"/>
        <v>0</v>
      </c>
      <c r="AR177" s="1471"/>
      <c r="AS177" s="1471"/>
      <c r="AT177" s="1471"/>
      <c r="AU177" s="1471"/>
      <c r="AV177" s="1471"/>
      <c r="AW177" s="1471"/>
      <c r="AX177" s="1471"/>
      <c r="AY177" s="1471"/>
      <c r="AZ177" s="1471"/>
      <c r="BA177" s="1471"/>
      <c r="BB177" s="1471"/>
      <c r="BC177" s="2001"/>
    </row>
    <row r="178" spans="2:57">
      <c r="B178" s="1736"/>
      <c r="C178" s="1771" t="s">
        <v>437</v>
      </c>
      <c r="D178" s="1470">
        <f t="shared" si="274"/>
        <v>0</v>
      </c>
      <c r="E178" s="1685"/>
      <c r="F178" s="1685"/>
      <c r="G178" s="1685"/>
      <c r="H178" s="1685"/>
      <c r="I178" s="1685"/>
      <c r="J178" s="1685"/>
      <c r="K178" s="1685"/>
      <c r="L178" s="1685"/>
      <c r="M178" s="1685"/>
      <c r="N178" s="1685"/>
      <c r="O178" s="1685"/>
      <c r="P178" s="1685"/>
      <c r="Q178" s="1470">
        <f t="shared" si="276"/>
        <v>0</v>
      </c>
      <c r="R178" s="1685"/>
      <c r="S178" s="1685"/>
      <c r="T178" s="1685"/>
      <c r="U178" s="1685"/>
      <c r="V178" s="1685"/>
      <c r="W178" s="1685"/>
      <c r="X178" s="1685"/>
      <c r="Y178" s="1685"/>
      <c r="Z178" s="1685"/>
      <c r="AA178" s="1685"/>
      <c r="AB178" s="1685"/>
      <c r="AC178" s="1685"/>
      <c r="AD178" s="1470">
        <f t="shared" si="278"/>
        <v>446.85333133333341</v>
      </c>
      <c r="AE178" s="1471">
        <v>4.42</v>
      </c>
      <c r="AF178" s="1471">
        <v>41.997970000000002</v>
      </c>
      <c r="AG178" s="1471">
        <v>52.780214999999998</v>
      </c>
      <c r="AH178" s="1471">
        <v>37.809579999999997</v>
      </c>
      <c r="AI178" s="1471">
        <v>26.7225</v>
      </c>
      <c r="AJ178" s="1471">
        <v>35.307499999999997</v>
      </c>
      <c r="AK178" s="1471">
        <v>29.183199999999999</v>
      </c>
      <c r="AL178" s="1471">
        <v>29.617999999999999</v>
      </c>
      <c r="AM178" s="1471">
        <v>32.0565</v>
      </c>
      <c r="AN178" s="1471">
        <v>32.387318</v>
      </c>
      <c r="AO178" s="1471">
        <v>41.661214999999999</v>
      </c>
      <c r="AP178" s="2001">
        <f>75.626+7.28333333333333</f>
        <v>82.909333333333336</v>
      </c>
      <c r="AQ178" s="1470">
        <f t="shared" si="280"/>
        <v>1599.9999999999993</v>
      </c>
      <c r="AR178" s="1471">
        <v>133.33333333333331</v>
      </c>
      <c r="AS178" s="1471">
        <v>133.33333333333331</v>
      </c>
      <c r="AT178" s="1471">
        <v>133.33333333333331</v>
      </c>
      <c r="AU178" s="1471">
        <v>133.33333333333331</v>
      </c>
      <c r="AV178" s="1471">
        <v>133.33333333333331</v>
      </c>
      <c r="AW178" s="1471">
        <v>133.33333333333331</v>
      </c>
      <c r="AX178" s="1471">
        <v>133.33333333333331</v>
      </c>
      <c r="AY178" s="1471">
        <v>133.33333333333331</v>
      </c>
      <c r="AZ178" s="1471">
        <v>133.33333333333331</v>
      </c>
      <c r="BA178" s="1471">
        <v>133.33333333333331</v>
      </c>
      <c r="BB178" s="1471">
        <v>133.33333333333331</v>
      </c>
      <c r="BC178" s="2001">
        <v>133.33333333333331</v>
      </c>
    </row>
    <row r="179" spans="2:57">
      <c r="B179" s="2315"/>
      <c r="C179" s="1771" t="s">
        <v>583</v>
      </c>
      <c r="D179" s="1470">
        <f t="shared" si="274"/>
        <v>0</v>
      </c>
      <c r="E179" s="1685"/>
      <c r="F179" s="1685"/>
      <c r="G179" s="1685"/>
      <c r="H179" s="1685"/>
      <c r="I179" s="1685"/>
      <c r="J179" s="1685"/>
      <c r="K179" s="1685"/>
      <c r="L179" s="1685"/>
      <c r="M179" s="1685"/>
      <c r="N179" s="1685"/>
      <c r="O179" s="1685"/>
      <c r="P179" s="1685"/>
      <c r="Q179" s="1470">
        <f t="shared" si="276"/>
        <v>0</v>
      </c>
      <c r="R179" s="1685"/>
      <c r="S179" s="1685"/>
      <c r="T179" s="1685"/>
      <c r="U179" s="1685"/>
      <c r="V179" s="1685"/>
      <c r="W179" s="1685"/>
      <c r="X179" s="1685"/>
      <c r="Y179" s="1685"/>
      <c r="Z179" s="1685"/>
      <c r="AA179" s="1685"/>
      <c r="AB179" s="1685"/>
      <c r="AC179" s="1685"/>
      <c r="AD179" s="1470">
        <f t="shared" si="278"/>
        <v>42.391912000002911</v>
      </c>
      <c r="AE179" s="1471">
        <v>4.0758941666672008</v>
      </c>
      <c r="AF179" s="1471">
        <v>1.5074466666666666</v>
      </c>
      <c r="AG179" s="1471">
        <v>1.3830708333333332</v>
      </c>
      <c r="AH179" s="1471">
        <v>3.6875125000000004</v>
      </c>
      <c r="AI179" s="1471">
        <v>1.8463683333333334</v>
      </c>
      <c r="AJ179" s="1471">
        <v>2.2273708333357174</v>
      </c>
      <c r="AK179" s="1471">
        <v>5.9000008333333334</v>
      </c>
      <c r="AL179" s="1471">
        <v>1.4952450000000002</v>
      </c>
      <c r="AM179" s="1471">
        <v>3.953811</v>
      </c>
      <c r="AN179" s="1471">
        <v>5.6593951666666671</v>
      </c>
      <c r="AO179" s="1471">
        <v>6.1196099999999998</v>
      </c>
      <c r="AP179" s="2001">
        <v>4.5361866666666666</v>
      </c>
      <c r="AQ179" s="1470">
        <f t="shared" si="280"/>
        <v>55.687306558284291</v>
      </c>
      <c r="AR179" s="1471">
        <v>4.6406088798570231</v>
      </c>
      <c r="AS179" s="1471">
        <v>4.6406088798570231</v>
      </c>
      <c r="AT179" s="1471">
        <v>4.6406088798570231</v>
      </c>
      <c r="AU179" s="1471">
        <v>4.6406088798570231</v>
      </c>
      <c r="AV179" s="1471">
        <v>4.6406088798570231</v>
      </c>
      <c r="AW179" s="1471">
        <v>4.6406088798570231</v>
      </c>
      <c r="AX179" s="1471">
        <v>4.6406088798570231</v>
      </c>
      <c r="AY179" s="1471">
        <v>4.6406088798570231</v>
      </c>
      <c r="AZ179" s="1471">
        <v>4.6406088798570231</v>
      </c>
      <c r="BA179" s="1471">
        <v>4.6406088798570231</v>
      </c>
      <c r="BB179" s="1471">
        <v>4.6406088798570231</v>
      </c>
      <c r="BC179" s="2001">
        <v>4.6406088798570231</v>
      </c>
      <c r="BE179" s="489"/>
    </row>
    <row r="180" spans="2:57">
      <c r="B180" s="1737"/>
      <c r="C180" s="1771" t="s">
        <v>419</v>
      </c>
      <c r="D180" s="1470">
        <f t="shared" si="274"/>
        <v>0</v>
      </c>
      <c r="E180" s="1685"/>
      <c r="F180" s="1685"/>
      <c r="G180" s="1685"/>
      <c r="H180" s="1685"/>
      <c r="I180" s="1685"/>
      <c r="J180" s="1685"/>
      <c r="K180" s="1685"/>
      <c r="L180" s="1685"/>
      <c r="M180" s="1685"/>
      <c r="N180" s="1685"/>
      <c r="O180" s="1685"/>
      <c r="P180" s="1685"/>
      <c r="Q180" s="1470">
        <f t="shared" si="276"/>
        <v>0</v>
      </c>
      <c r="R180" s="1685"/>
      <c r="S180" s="1685"/>
      <c r="T180" s="1685"/>
      <c r="U180" s="1685"/>
      <c r="V180" s="1685"/>
      <c r="W180" s="1685"/>
      <c r="X180" s="1685"/>
      <c r="Y180" s="1685"/>
      <c r="Z180" s="1685"/>
      <c r="AA180" s="1685"/>
      <c r="AB180" s="1685"/>
      <c r="AC180" s="1685"/>
      <c r="AD180" s="1470">
        <f t="shared" si="278"/>
        <v>40.420019833333335</v>
      </c>
      <c r="AE180" s="1471">
        <v>19.570516666666666</v>
      </c>
      <c r="AF180" s="1471">
        <v>1.4917395</v>
      </c>
      <c r="AG180" s="1471">
        <v>2.1530133333333334</v>
      </c>
      <c r="AH180" s="1471">
        <v>1.1070856666666666</v>
      </c>
      <c r="AI180" s="1471">
        <v>1.5315346666666667</v>
      </c>
      <c r="AJ180" s="1471">
        <v>0.949909</v>
      </c>
      <c r="AK180" s="1471">
        <v>6.931597833333333</v>
      </c>
      <c r="AL180" s="1471">
        <v>1.864155</v>
      </c>
      <c r="AM180" s="1471">
        <v>1.6762281666666665</v>
      </c>
      <c r="AN180" s="1471">
        <v>1.0449296666666668</v>
      </c>
      <c r="AO180" s="1471">
        <v>1.1401156666666667</v>
      </c>
      <c r="AP180" s="2001">
        <v>0.95919466666666664</v>
      </c>
      <c r="AQ180" s="1470">
        <f t="shared" si="280"/>
        <v>40.420019833333328</v>
      </c>
      <c r="AR180" s="1471">
        <v>3.3683349861111109</v>
      </c>
      <c r="AS180" s="1471">
        <v>3.3683349861111109</v>
      </c>
      <c r="AT180" s="1471">
        <v>3.3683349861111109</v>
      </c>
      <c r="AU180" s="1471">
        <v>3.3683349861111109</v>
      </c>
      <c r="AV180" s="1471">
        <v>3.3683349861111109</v>
      </c>
      <c r="AW180" s="1471">
        <v>3.3683349861111109</v>
      </c>
      <c r="AX180" s="1471">
        <v>3.3683349861111109</v>
      </c>
      <c r="AY180" s="1471">
        <v>3.3683349861111109</v>
      </c>
      <c r="AZ180" s="1471">
        <v>3.3683349861111109</v>
      </c>
      <c r="BA180" s="1471">
        <v>3.3683349861111109</v>
      </c>
      <c r="BB180" s="1471">
        <v>3.3683349861111109</v>
      </c>
      <c r="BC180" s="2001">
        <v>3.3683349861111109</v>
      </c>
    </row>
    <row r="181" spans="2:57">
      <c r="B181" s="3305" t="s">
        <v>349</v>
      </c>
      <c r="C181" s="3304"/>
      <c r="D181" s="1469">
        <f t="shared" si="274"/>
        <v>0</v>
      </c>
      <c r="E181" s="1469">
        <f>E169-E173</f>
        <v>0</v>
      </c>
      <c r="F181" s="1469">
        <f t="shared" ref="F181:P181" si="286">F169-F173</f>
        <v>0</v>
      </c>
      <c r="G181" s="1469">
        <f t="shared" si="286"/>
        <v>0</v>
      </c>
      <c r="H181" s="1469">
        <f t="shared" si="286"/>
        <v>0</v>
      </c>
      <c r="I181" s="1469">
        <f t="shared" si="286"/>
        <v>0</v>
      </c>
      <c r="J181" s="1469">
        <f t="shared" si="286"/>
        <v>0</v>
      </c>
      <c r="K181" s="1469">
        <f t="shared" si="286"/>
        <v>0</v>
      </c>
      <c r="L181" s="1469">
        <f t="shared" si="286"/>
        <v>0</v>
      </c>
      <c r="M181" s="1469">
        <f t="shared" si="286"/>
        <v>0</v>
      </c>
      <c r="N181" s="1469">
        <f t="shared" si="286"/>
        <v>0</v>
      </c>
      <c r="O181" s="1469">
        <f t="shared" si="286"/>
        <v>0</v>
      </c>
      <c r="P181" s="1469">
        <f t="shared" si="286"/>
        <v>0</v>
      </c>
      <c r="Q181" s="1469">
        <f t="shared" si="276"/>
        <v>0</v>
      </c>
      <c r="R181" s="1469">
        <f>R169-R173</f>
        <v>0</v>
      </c>
      <c r="S181" s="1469">
        <f t="shared" ref="S181:AC181" si="287">S169-S173</f>
        <v>0</v>
      </c>
      <c r="T181" s="1469">
        <f t="shared" si="287"/>
        <v>0</v>
      </c>
      <c r="U181" s="1469">
        <f t="shared" si="287"/>
        <v>0</v>
      </c>
      <c r="V181" s="1469">
        <f t="shared" si="287"/>
        <v>0</v>
      </c>
      <c r="W181" s="1469">
        <f t="shared" si="287"/>
        <v>0</v>
      </c>
      <c r="X181" s="1469">
        <f t="shared" si="287"/>
        <v>0</v>
      </c>
      <c r="Y181" s="1469">
        <f t="shared" si="287"/>
        <v>0</v>
      </c>
      <c r="Z181" s="1469">
        <f t="shared" si="287"/>
        <v>0</v>
      </c>
      <c r="AA181" s="1469">
        <f t="shared" si="287"/>
        <v>0</v>
      </c>
      <c r="AB181" s="1469">
        <f t="shared" si="287"/>
        <v>0</v>
      </c>
      <c r="AC181" s="1469">
        <f t="shared" si="287"/>
        <v>0</v>
      </c>
      <c r="AD181" s="1469">
        <f t="shared" si="278"/>
        <v>-690.72070433333647</v>
      </c>
      <c r="AE181" s="1469">
        <f>AE169-AE173</f>
        <v>-140.4367596666672</v>
      </c>
      <c r="AF181" s="1469">
        <f t="shared" ref="AF181:AP181" si="288">AF169-AF173</f>
        <v>-44.006516833333336</v>
      </c>
      <c r="AG181" s="1469">
        <f t="shared" si="288"/>
        <v>-60.386524666666666</v>
      </c>
      <c r="AH181" s="1469">
        <f t="shared" si="288"/>
        <v>-29.991890999999995</v>
      </c>
      <c r="AI181" s="1469">
        <f t="shared" si="288"/>
        <v>-28.40408750000001</v>
      </c>
      <c r="AJ181" s="1469">
        <f t="shared" si="288"/>
        <v>-49.073565166669042</v>
      </c>
      <c r="AK181" s="1469">
        <f t="shared" si="288"/>
        <v>-360.30140783333337</v>
      </c>
      <c r="AL181" s="1469">
        <f t="shared" si="288"/>
        <v>-29.165169166666665</v>
      </c>
      <c r="AM181" s="1469">
        <f t="shared" si="288"/>
        <v>63.231696333333346</v>
      </c>
      <c r="AN181" s="1469">
        <f t="shared" si="288"/>
        <v>42.123285833333327</v>
      </c>
      <c r="AO181" s="1469">
        <f t="shared" si="288"/>
        <v>27.513143833333331</v>
      </c>
      <c r="AP181" s="2000">
        <f t="shared" si="288"/>
        <v>-81.822908500000025</v>
      </c>
      <c r="AQ181" s="1469">
        <f t="shared" si="280"/>
        <v>211.85517742478703</v>
      </c>
      <c r="AR181" s="1469">
        <f>AR169-AR173</f>
        <v>17.654598118732252</v>
      </c>
      <c r="AS181" s="1469">
        <f t="shared" ref="AS181:BC181" si="289">AS169-AS173</f>
        <v>17.654598118732252</v>
      </c>
      <c r="AT181" s="1469">
        <f t="shared" si="289"/>
        <v>17.654598118732252</v>
      </c>
      <c r="AU181" s="1469">
        <f t="shared" si="289"/>
        <v>17.654598118732252</v>
      </c>
      <c r="AV181" s="1469">
        <f t="shared" si="289"/>
        <v>17.654598118732252</v>
      </c>
      <c r="AW181" s="1469">
        <f t="shared" si="289"/>
        <v>17.654598118732252</v>
      </c>
      <c r="AX181" s="1469">
        <f t="shared" si="289"/>
        <v>17.654598118732252</v>
      </c>
      <c r="AY181" s="1469">
        <f t="shared" si="289"/>
        <v>17.654598118732252</v>
      </c>
      <c r="AZ181" s="1469">
        <f t="shared" si="289"/>
        <v>17.654598118732252</v>
      </c>
      <c r="BA181" s="1469">
        <f t="shared" si="289"/>
        <v>17.654598118732252</v>
      </c>
      <c r="BB181" s="1469">
        <f t="shared" si="289"/>
        <v>17.654598118732252</v>
      </c>
      <c r="BC181" s="2000">
        <f t="shared" si="289"/>
        <v>17.654598118732252</v>
      </c>
    </row>
    <row r="182" spans="2:57">
      <c r="AD182" s="1618"/>
      <c r="AE182" s="1618"/>
      <c r="AF182" s="1618"/>
      <c r="AG182" s="1618"/>
      <c r="AH182" s="1618"/>
      <c r="AI182" s="1618"/>
      <c r="AJ182" s="1618"/>
      <c r="AK182" s="1618"/>
      <c r="AL182" s="1618"/>
      <c r="AM182" s="1618"/>
      <c r="AN182" s="1618"/>
      <c r="AO182" s="1618"/>
      <c r="AP182" s="1618"/>
      <c r="AQ182" s="1618"/>
      <c r="AR182" s="1618"/>
      <c r="AS182" s="1618"/>
      <c r="AT182" s="1618"/>
      <c r="AU182" s="1618"/>
      <c r="AV182" s="1618"/>
      <c r="AW182" s="1618"/>
      <c r="AX182" s="1618"/>
      <c r="AY182" s="1618"/>
      <c r="AZ182" s="1618"/>
      <c r="BA182" s="1618"/>
      <c r="BB182" s="1618"/>
      <c r="BC182" s="1618"/>
    </row>
    <row r="183" spans="2:57" hidden="1" outlineLevel="1">
      <c r="B183" s="2317"/>
      <c r="C183" s="2317"/>
      <c r="D183" s="2318"/>
      <c r="E183" s="2318"/>
      <c r="F183" s="2318"/>
      <c r="G183" s="2318"/>
      <c r="H183" s="2318"/>
      <c r="I183" s="2318"/>
      <c r="J183" s="2318"/>
      <c r="K183" s="2318"/>
      <c r="L183" s="2318"/>
      <c r="M183" s="2318"/>
      <c r="N183" s="2318"/>
      <c r="O183" s="2318"/>
      <c r="P183" s="2318"/>
      <c r="Q183" s="2318"/>
      <c r="R183" s="2318"/>
      <c r="S183" s="2318"/>
      <c r="T183" s="2318"/>
      <c r="U183" s="2318"/>
      <c r="V183" s="2318"/>
      <c r="W183" s="2318"/>
      <c r="X183" s="2318"/>
      <c r="Y183" s="2318"/>
      <c r="Z183" s="2318"/>
      <c r="AA183" s="2318"/>
      <c r="AB183" s="2318"/>
      <c r="AC183" s="2318"/>
      <c r="AD183" s="2318"/>
      <c r="AE183" s="2318"/>
      <c r="AF183" s="2318"/>
      <c r="AG183" s="2318"/>
      <c r="AH183" s="2318"/>
      <c r="AI183" s="2318"/>
      <c r="AJ183" s="2318"/>
      <c r="AK183" s="2318"/>
      <c r="AL183" s="2318"/>
      <c r="AM183" s="2318"/>
      <c r="AN183" s="2318"/>
      <c r="AO183" s="2318"/>
      <c r="AP183" s="2318"/>
      <c r="AQ183" s="2318"/>
      <c r="AR183" s="2318"/>
      <c r="AS183" s="2318"/>
      <c r="AT183" s="2318"/>
      <c r="AU183" s="2318"/>
      <c r="AV183" s="2318"/>
      <c r="AW183" s="2318"/>
      <c r="AX183" s="2318"/>
      <c r="AY183" s="2318"/>
      <c r="AZ183" s="2318"/>
      <c r="BA183" s="2318"/>
      <c r="BB183" s="2318"/>
      <c r="BC183" s="2318"/>
    </row>
    <row r="184" spans="2:57" hidden="1" outlineLevel="1">
      <c r="B184" s="1620" t="s">
        <v>568</v>
      </c>
      <c r="AD184" s="1618"/>
      <c r="AE184" s="1618"/>
      <c r="AF184" s="1618"/>
      <c r="AG184" s="1618"/>
      <c r="AH184" s="1618"/>
      <c r="AI184" s="1618"/>
      <c r="AJ184" s="1618"/>
      <c r="AK184" s="1618"/>
      <c r="AL184" s="1618"/>
      <c r="AM184" s="1618"/>
      <c r="AN184" s="1618"/>
      <c r="AO184" s="1618"/>
      <c r="AP184" s="1618"/>
      <c r="AQ184" s="1618"/>
      <c r="AR184" s="1618"/>
      <c r="AS184" s="1618"/>
      <c r="AT184" s="1618"/>
      <c r="AU184" s="1618"/>
      <c r="AV184" s="1618"/>
      <c r="AW184" s="1618"/>
      <c r="AX184" s="1618"/>
      <c r="AY184" s="1618"/>
      <c r="AZ184" s="1618"/>
      <c r="BA184" s="1618"/>
      <c r="BB184" s="1618"/>
      <c r="BC184" s="1618"/>
    </row>
    <row r="185" spans="2:57" hidden="1" outlineLevel="1">
      <c r="B185" s="3282" t="s">
        <v>439</v>
      </c>
      <c r="C185" s="3302"/>
      <c r="D185" s="3275" t="s">
        <v>494</v>
      </c>
      <c r="E185" s="3276"/>
      <c r="F185" s="3276"/>
      <c r="G185" s="3276"/>
      <c r="H185" s="3276"/>
      <c r="I185" s="3276"/>
      <c r="J185" s="3276"/>
      <c r="K185" s="3276"/>
      <c r="L185" s="3276"/>
      <c r="M185" s="3276"/>
      <c r="N185" s="3276"/>
      <c r="O185" s="3276"/>
      <c r="P185" s="3295"/>
      <c r="Q185" s="3275" t="s">
        <v>546</v>
      </c>
      <c r="R185" s="3276"/>
      <c r="S185" s="3276"/>
      <c r="T185" s="3276"/>
      <c r="U185" s="3276"/>
      <c r="V185" s="3276"/>
      <c r="W185" s="3276"/>
      <c r="X185" s="3276"/>
      <c r="Y185" s="3276"/>
      <c r="Z185" s="3276"/>
      <c r="AA185" s="3276"/>
      <c r="AB185" s="3276"/>
      <c r="AC185" s="3295"/>
      <c r="AD185" s="3275" t="s">
        <v>572</v>
      </c>
      <c r="AE185" s="3276"/>
      <c r="AF185" s="3276"/>
      <c r="AG185" s="3276"/>
      <c r="AH185" s="3276"/>
      <c r="AI185" s="3276"/>
      <c r="AJ185" s="3276"/>
      <c r="AK185" s="3276"/>
      <c r="AL185" s="3276"/>
      <c r="AM185" s="3276"/>
      <c r="AN185" s="3276"/>
      <c r="AO185" s="3276"/>
      <c r="AP185" s="3276"/>
      <c r="AQ185" s="3275" t="s">
        <v>572</v>
      </c>
      <c r="AR185" s="3276"/>
      <c r="AS185" s="3276"/>
      <c r="AT185" s="3276"/>
      <c r="AU185" s="3276"/>
      <c r="AV185" s="3276"/>
      <c r="AW185" s="3276"/>
      <c r="AX185" s="3276"/>
      <c r="AY185" s="3276"/>
      <c r="AZ185" s="3276"/>
      <c r="BA185" s="3276"/>
      <c r="BB185" s="3276"/>
      <c r="BC185" s="3276"/>
    </row>
    <row r="186" spans="2:57" hidden="1" outlineLevel="1">
      <c r="B186" s="3284"/>
      <c r="C186" s="3303"/>
      <c r="D186" s="1104" t="s">
        <v>492</v>
      </c>
      <c r="E186" s="1320" t="str">
        <f>E$34</f>
        <v>1월</v>
      </c>
      <c r="F186" s="1320" t="str">
        <f>F$34</f>
        <v>2월</v>
      </c>
      <c r="G186" s="1320" t="str">
        <f t="shared" ref="G186:P186" si="290">G$34</f>
        <v>3월</v>
      </c>
      <c r="H186" s="1320" t="str">
        <f t="shared" si="290"/>
        <v>4월</v>
      </c>
      <c r="I186" s="1320" t="str">
        <f t="shared" si="290"/>
        <v>5월</v>
      </c>
      <c r="J186" s="1320" t="str">
        <f t="shared" si="290"/>
        <v>6월</v>
      </c>
      <c r="K186" s="1320" t="str">
        <f t="shared" si="290"/>
        <v>7월</v>
      </c>
      <c r="L186" s="1320" t="str">
        <f t="shared" si="290"/>
        <v>8월</v>
      </c>
      <c r="M186" s="1320" t="str">
        <f t="shared" si="290"/>
        <v>9월</v>
      </c>
      <c r="N186" s="1320" t="str">
        <f t="shared" si="290"/>
        <v>10월</v>
      </c>
      <c r="O186" s="1320" t="str">
        <f t="shared" si="290"/>
        <v>11월</v>
      </c>
      <c r="P186" s="1320" t="str">
        <f t="shared" si="290"/>
        <v>12월</v>
      </c>
      <c r="Q186" s="1104" t="s">
        <v>492</v>
      </c>
      <c r="R186" s="1320" t="s">
        <v>2</v>
      </c>
      <c r="S186" s="1320" t="s">
        <v>440</v>
      </c>
      <c r="T186" s="1320" t="s">
        <v>4</v>
      </c>
      <c r="U186" s="1320" t="s">
        <v>5</v>
      </c>
      <c r="V186" s="1320" t="s">
        <v>6</v>
      </c>
      <c r="W186" s="1320" t="s">
        <v>7</v>
      </c>
      <c r="X186" s="1320" t="s">
        <v>8</v>
      </c>
      <c r="Y186" s="1320" t="s">
        <v>9</v>
      </c>
      <c r="Z186" s="1320" t="s">
        <v>10</v>
      </c>
      <c r="AA186" s="1320" t="s">
        <v>11</v>
      </c>
      <c r="AB186" s="1320" t="s">
        <v>441</v>
      </c>
      <c r="AC186" s="1609" t="s">
        <v>442</v>
      </c>
      <c r="AD186" s="1104" t="s">
        <v>492</v>
      </c>
      <c r="AE186" s="1320" t="s">
        <v>2</v>
      </c>
      <c r="AF186" s="1320" t="s">
        <v>440</v>
      </c>
      <c r="AG186" s="1320" t="s">
        <v>4</v>
      </c>
      <c r="AH186" s="1320" t="s">
        <v>5</v>
      </c>
      <c r="AI186" s="1320" t="s">
        <v>6</v>
      </c>
      <c r="AJ186" s="1320" t="s">
        <v>7</v>
      </c>
      <c r="AK186" s="1320" t="s">
        <v>8</v>
      </c>
      <c r="AL186" s="1320" t="s">
        <v>9</v>
      </c>
      <c r="AM186" s="1320" t="s">
        <v>10</v>
      </c>
      <c r="AN186" s="1320" t="s">
        <v>11</v>
      </c>
      <c r="AO186" s="1320" t="s">
        <v>441</v>
      </c>
      <c r="AP186" s="1915" t="s">
        <v>442</v>
      </c>
      <c r="AQ186" s="1104" t="s">
        <v>492</v>
      </c>
      <c r="AR186" s="1320" t="s">
        <v>2</v>
      </c>
      <c r="AS186" s="1320" t="s">
        <v>440</v>
      </c>
      <c r="AT186" s="1320" t="s">
        <v>4</v>
      </c>
      <c r="AU186" s="1320" t="s">
        <v>5</v>
      </c>
      <c r="AV186" s="1320" t="s">
        <v>6</v>
      </c>
      <c r="AW186" s="1320" t="s">
        <v>7</v>
      </c>
      <c r="AX186" s="1320" t="s">
        <v>8</v>
      </c>
      <c r="AY186" s="1320" t="s">
        <v>9</v>
      </c>
      <c r="AZ186" s="1320" t="s">
        <v>10</v>
      </c>
      <c r="BA186" s="1320" t="s">
        <v>11</v>
      </c>
      <c r="BB186" s="1320" t="s">
        <v>441</v>
      </c>
      <c r="BC186" s="2322" t="s">
        <v>442</v>
      </c>
    </row>
    <row r="187" spans="2:57" hidden="1" outlineLevel="1">
      <c r="B187" s="3306" t="s">
        <v>385</v>
      </c>
      <c r="C187" s="3307"/>
      <c r="D187" s="1469">
        <f t="shared" ref="D187:D199" si="291">SUM(E187:P187)</f>
        <v>0</v>
      </c>
      <c r="E187" s="1469">
        <f>SUM(E188:E190)</f>
        <v>0</v>
      </c>
      <c r="F187" s="1469">
        <f t="shared" ref="F187:P187" si="292">SUM(F188:F190)</f>
        <v>0</v>
      </c>
      <c r="G187" s="1469">
        <f t="shared" si="292"/>
        <v>0</v>
      </c>
      <c r="H187" s="1469">
        <f t="shared" si="292"/>
        <v>0</v>
      </c>
      <c r="I187" s="1469">
        <f t="shared" si="292"/>
        <v>0</v>
      </c>
      <c r="J187" s="1469">
        <f t="shared" si="292"/>
        <v>0</v>
      </c>
      <c r="K187" s="1469">
        <f t="shared" si="292"/>
        <v>0</v>
      </c>
      <c r="L187" s="1469">
        <f t="shared" si="292"/>
        <v>0</v>
      </c>
      <c r="M187" s="1469">
        <f t="shared" si="292"/>
        <v>0</v>
      </c>
      <c r="N187" s="1469">
        <f t="shared" si="292"/>
        <v>0</v>
      </c>
      <c r="O187" s="1469">
        <f t="shared" si="292"/>
        <v>0</v>
      </c>
      <c r="P187" s="1469">
        <f t="shared" si="292"/>
        <v>0</v>
      </c>
      <c r="Q187" s="1469">
        <f t="shared" ref="Q187:Q199" si="293">SUM(R187:AC187)</f>
        <v>59.369609000007628</v>
      </c>
      <c r="R187" s="1469">
        <f>SUM(R188:R190)</f>
        <v>0</v>
      </c>
      <c r="S187" s="1469">
        <f t="shared" ref="S187:AC187" si="294">SUM(S188:S190)</f>
        <v>56.965358999999999</v>
      </c>
      <c r="T187" s="1469">
        <f t="shared" si="294"/>
        <v>0</v>
      </c>
      <c r="U187" s="1469">
        <f t="shared" si="294"/>
        <v>0.12825</v>
      </c>
      <c r="V187" s="1469">
        <f t="shared" si="294"/>
        <v>0</v>
      </c>
      <c r="W187" s="1469">
        <f t="shared" si="294"/>
        <v>0</v>
      </c>
      <c r="X187" s="1469">
        <f t="shared" si="294"/>
        <v>0</v>
      </c>
      <c r="Y187" s="1469">
        <f t="shared" si="294"/>
        <v>0</v>
      </c>
      <c r="Z187" s="1469">
        <f t="shared" si="294"/>
        <v>0</v>
      </c>
      <c r="AA187" s="1469">
        <f t="shared" si="294"/>
        <v>1.458</v>
      </c>
      <c r="AB187" s="1469">
        <f t="shared" si="294"/>
        <v>0.8180000000076294</v>
      </c>
      <c r="AC187" s="1610">
        <f t="shared" si="294"/>
        <v>0</v>
      </c>
      <c r="AD187" s="1469">
        <f t="shared" ref="AD187:AD199" si="295">SUM(AE187:AP187)</f>
        <v>0</v>
      </c>
      <c r="AE187" s="1469">
        <f>SUM(AE188:AE190)</f>
        <v>0</v>
      </c>
      <c r="AF187" s="1469">
        <f t="shared" ref="AF187:AP187" si="296">SUM(AF188:AF190)</f>
        <v>0</v>
      </c>
      <c r="AG187" s="1469">
        <f t="shared" si="296"/>
        <v>0</v>
      </c>
      <c r="AH187" s="1469">
        <f t="shared" si="296"/>
        <v>0</v>
      </c>
      <c r="AI187" s="1469">
        <f t="shared" si="296"/>
        <v>0</v>
      </c>
      <c r="AJ187" s="1469">
        <f t="shared" si="296"/>
        <v>0</v>
      </c>
      <c r="AK187" s="1469">
        <f t="shared" si="296"/>
        <v>0</v>
      </c>
      <c r="AL187" s="1469">
        <f t="shared" si="296"/>
        <v>0</v>
      </c>
      <c r="AM187" s="1469">
        <f t="shared" si="296"/>
        <v>0</v>
      </c>
      <c r="AN187" s="1469">
        <f t="shared" si="296"/>
        <v>0</v>
      </c>
      <c r="AO187" s="1469">
        <f t="shared" si="296"/>
        <v>0</v>
      </c>
      <c r="AP187" s="2000">
        <f t="shared" si="296"/>
        <v>0</v>
      </c>
      <c r="AQ187" s="1469">
        <f t="shared" ref="AQ187:AQ199" si="297">SUM(AR187:BC187)</f>
        <v>0</v>
      </c>
      <c r="AR187" s="1469">
        <f>SUM(AR188:AR190)</f>
        <v>0</v>
      </c>
      <c r="AS187" s="1469">
        <f t="shared" ref="AS187:BC187" si="298">SUM(AS188:AS190)</f>
        <v>0</v>
      </c>
      <c r="AT187" s="1469">
        <f t="shared" si="298"/>
        <v>0</v>
      </c>
      <c r="AU187" s="1469">
        <f t="shared" si="298"/>
        <v>0</v>
      </c>
      <c r="AV187" s="1469">
        <f t="shared" si="298"/>
        <v>0</v>
      </c>
      <c r="AW187" s="1469">
        <f t="shared" si="298"/>
        <v>0</v>
      </c>
      <c r="AX187" s="1469">
        <f t="shared" si="298"/>
        <v>0</v>
      </c>
      <c r="AY187" s="1469">
        <f t="shared" si="298"/>
        <v>0</v>
      </c>
      <c r="AZ187" s="1469">
        <f t="shared" si="298"/>
        <v>0</v>
      </c>
      <c r="BA187" s="1469">
        <f t="shared" si="298"/>
        <v>0</v>
      </c>
      <c r="BB187" s="1469">
        <f t="shared" si="298"/>
        <v>0</v>
      </c>
      <c r="BC187" s="2000">
        <f t="shared" si="298"/>
        <v>0</v>
      </c>
    </row>
    <row r="188" spans="2:57" hidden="1" outlineLevel="1">
      <c r="B188" s="1692"/>
      <c r="C188" s="1611" t="s">
        <v>521</v>
      </c>
      <c r="D188" s="1470">
        <f t="shared" si="291"/>
        <v>0</v>
      </c>
      <c r="E188" s="1685"/>
      <c r="F188" s="1685"/>
      <c r="G188" s="1685"/>
      <c r="H188" s="1685"/>
      <c r="I188" s="1685"/>
      <c r="J188" s="1685"/>
      <c r="K188" s="1685"/>
      <c r="L188" s="1685"/>
      <c r="M188" s="1685"/>
      <c r="N188" s="1685"/>
      <c r="O188" s="1685"/>
      <c r="P188" s="1685"/>
      <c r="Q188" s="1470">
        <f t="shared" si="293"/>
        <v>32.070682000007629</v>
      </c>
      <c r="R188" s="1471"/>
      <c r="S188" s="1471">
        <v>29.666431999999997</v>
      </c>
      <c r="T188" s="1471"/>
      <c r="U188" s="1471">
        <v>0.12825</v>
      </c>
      <c r="V188" s="1471"/>
      <c r="W188" s="1471"/>
      <c r="X188" s="1471"/>
      <c r="Y188" s="1471"/>
      <c r="Z188" s="1471"/>
      <c r="AA188" s="1471">
        <v>1.458</v>
      </c>
      <c r="AB188" s="1471">
        <v>0.8180000000076294</v>
      </c>
      <c r="AC188" s="1612"/>
      <c r="AD188" s="1470">
        <f t="shared" si="295"/>
        <v>0</v>
      </c>
      <c r="AE188" s="1773"/>
      <c r="AF188" s="1773"/>
      <c r="AG188" s="1773"/>
      <c r="AH188" s="1773"/>
      <c r="AI188" s="1773"/>
      <c r="AJ188" s="1773"/>
      <c r="AK188" s="1773"/>
      <c r="AL188" s="1773"/>
      <c r="AM188" s="1773"/>
      <c r="AN188" s="1773"/>
      <c r="AO188" s="1773"/>
      <c r="AP188" s="2006"/>
      <c r="AQ188" s="1470">
        <f t="shared" si="297"/>
        <v>0</v>
      </c>
      <c r="AR188" s="1773"/>
      <c r="AS188" s="1773"/>
      <c r="AT188" s="1773"/>
      <c r="AU188" s="1773"/>
      <c r="AV188" s="1773"/>
      <c r="AW188" s="1773"/>
      <c r="AX188" s="1773"/>
      <c r="AY188" s="1773"/>
      <c r="AZ188" s="1773"/>
      <c r="BA188" s="1773"/>
      <c r="BB188" s="1773"/>
      <c r="BC188" s="2006"/>
    </row>
    <row r="189" spans="2:57" hidden="1" outlineLevel="1">
      <c r="B189" s="3281"/>
      <c r="C189" s="1611" t="s">
        <v>533</v>
      </c>
      <c r="D189" s="1470">
        <f t="shared" si="291"/>
        <v>0</v>
      </c>
      <c r="E189" s="1686"/>
      <c r="F189" s="1686"/>
      <c r="G189" s="1686"/>
      <c r="H189" s="1686"/>
      <c r="I189" s="1686"/>
      <c r="J189" s="1686"/>
      <c r="K189" s="1686"/>
      <c r="L189" s="1686"/>
      <c r="M189" s="1686"/>
      <c r="N189" s="1686"/>
      <c r="O189" s="1686"/>
      <c r="P189" s="1686"/>
      <c r="Q189" s="1470">
        <f t="shared" si="293"/>
        <v>27.272727</v>
      </c>
      <c r="R189" s="1472"/>
      <c r="S189" s="1472">
        <v>27.272727</v>
      </c>
      <c r="T189" s="1472"/>
      <c r="U189" s="1472"/>
      <c r="V189" s="1472"/>
      <c r="W189" s="1472"/>
      <c r="X189" s="1472"/>
      <c r="Y189" s="1472"/>
      <c r="Z189" s="1472"/>
      <c r="AA189" s="1472"/>
      <c r="AB189" s="1472"/>
      <c r="AC189" s="1625"/>
      <c r="AD189" s="1470">
        <f t="shared" si="295"/>
        <v>0</v>
      </c>
      <c r="AE189" s="1774"/>
      <c r="AF189" s="1774"/>
      <c r="AG189" s="1774"/>
      <c r="AH189" s="1774"/>
      <c r="AI189" s="1774"/>
      <c r="AJ189" s="1774"/>
      <c r="AK189" s="1774"/>
      <c r="AL189" s="1774"/>
      <c r="AM189" s="1774"/>
      <c r="AN189" s="1774"/>
      <c r="AO189" s="1774"/>
      <c r="AP189" s="2007"/>
      <c r="AQ189" s="1470">
        <f t="shared" si="297"/>
        <v>0</v>
      </c>
      <c r="AR189" s="1774"/>
      <c r="AS189" s="1774"/>
      <c r="AT189" s="1774"/>
      <c r="AU189" s="1774"/>
      <c r="AV189" s="1774"/>
      <c r="AW189" s="1774"/>
      <c r="AX189" s="1774"/>
      <c r="AY189" s="1774"/>
      <c r="AZ189" s="1774"/>
      <c r="BA189" s="1774"/>
      <c r="BB189" s="1774"/>
      <c r="BC189" s="2007"/>
    </row>
    <row r="190" spans="2:57" hidden="1" outlineLevel="1">
      <c r="B190" s="3289"/>
      <c r="C190" s="1611" t="s">
        <v>534</v>
      </c>
      <c r="D190" s="1470">
        <f t="shared" si="291"/>
        <v>0</v>
      </c>
      <c r="E190" s="1686"/>
      <c r="F190" s="1686"/>
      <c r="G190" s="1686"/>
      <c r="H190" s="1686"/>
      <c r="I190" s="1686"/>
      <c r="J190" s="1686"/>
      <c r="K190" s="1686"/>
      <c r="L190" s="1686"/>
      <c r="M190" s="1686"/>
      <c r="N190" s="1686"/>
      <c r="O190" s="1686"/>
      <c r="P190" s="1686"/>
      <c r="Q190" s="1470">
        <f t="shared" si="293"/>
        <v>2.6200000000000001E-2</v>
      </c>
      <c r="R190" s="1472"/>
      <c r="S190" s="1919">
        <v>2.6200000000000001E-2</v>
      </c>
      <c r="T190" s="1472"/>
      <c r="U190" s="1472"/>
      <c r="V190" s="1472"/>
      <c r="W190" s="1472"/>
      <c r="X190" s="1472"/>
      <c r="Y190" s="1472"/>
      <c r="Z190" s="1472"/>
      <c r="AA190" s="1472"/>
      <c r="AB190" s="1472"/>
      <c r="AC190" s="1625"/>
      <c r="AD190" s="1470">
        <f t="shared" si="295"/>
        <v>0</v>
      </c>
      <c r="AE190" s="1774"/>
      <c r="AF190" s="1775"/>
      <c r="AG190" s="1774"/>
      <c r="AH190" s="1774"/>
      <c r="AI190" s="1774"/>
      <c r="AJ190" s="1774"/>
      <c r="AK190" s="1774"/>
      <c r="AL190" s="1774"/>
      <c r="AM190" s="1774"/>
      <c r="AN190" s="1774"/>
      <c r="AO190" s="1774"/>
      <c r="AP190" s="2007"/>
      <c r="AQ190" s="1470">
        <f t="shared" si="297"/>
        <v>0</v>
      </c>
      <c r="AR190" s="1774"/>
      <c r="AS190" s="1775"/>
      <c r="AT190" s="1774"/>
      <c r="AU190" s="1774"/>
      <c r="AV190" s="1774"/>
      <c r="AW190" s="1774"/>
      <c r="AX190" s="1774"/>
      <c r="AY190" s="1774"/>
      <c r="AZ190" s="1774"/>
      <c r="BA190" s="1774"/>
      <c r="BB190" s="1774"/>
      <c r="BC190" s="2007"/>
    </row>
    <row r="191" spans="2:57" hidden="1" outlineLevel="1">
      <c r="B191" s="3306" t="s">
        <v>417</v>
      </c>
      <c r="C191" s="3307"/>
      <c r="D191" s="1469">
        <f t="shared" si="291"/>
        <v>0</v>
      </c>
      <c r="E191" s="1469">
        <f>SUM(E192:E198)</f>
        <v>0</v>
      </c>
      <c r="F191" s="1469">
        <f t="shared" ref="F191:P191" si="299">SUM(F192:F198)</f>
        <v>0</v>
      </c>
      <c r="G191" s="1469">
        <f t="shared" si="299"/>
        <v>0</v>
      </c>
      <c r="H191" s="1469">
        <f t="shared" si="299"/>
        <v>0</v>
      </c>
      <c r="I191" s="1469">
        <f t="shared" si="299"/>
        <v>0</v>
      </c>
      <c r="J191" s="1469">
        <f t="shared" si="299"/>
        <v>0</v>
      </c>
      <c r="K191" s="1469">
        <f t="shared" si="299"/>
        <v>0</v>
      </c>
      <c r="L191" s="1469">
        <f t="shared" si="299"/>
        <v>0</v>
      </c>
      <c r="M191" s="1469">
        <f t="shared" si="299"/>
        <v>0</v>
      </c>
      <c r="N191" s="1469">
        <f t="shared" si="299"/>
        <v>0</v>
      </c>
      <c r="O191" s="1469">
        <f t="shared" si="299"/>
        <v>0</v>
      </c>
      <c r="P191" s="1469">
        <f t="shared" si="299"/>
        <v>0</v>
      </c>
      <c r="Q191" s="1469">
        <f t="shared" si="293"/>
        <v>2176.5813110000049</v>
      </c>
      <c r="R191" s="1469">
        <f>SUM(R192:R198)</f>
        <v>150.21444699999998</v>
      </c>
      <c r="S191" s="1469">
        <f t="shared" ref="S191:AC191" si="300">SUM(S192:S198)</f>
        <v>604.27475600000002</v>
      </c>
      <c r="T191" s="1469">
        <f t="shared" si="300"/>
        <v>204.582842</v>
      </c>
      <c r="U191" s="1469">
        <f t="shared" si="300"/>
        <v>106.13150400000002</v>
      </c>
      <c r="V191" s="1469">
        <f t="shared" si="300"/>
        <v>82.407546000000011</v>
      </c>
      <c r="W191" s="1469">
        <f t="shared" si="300"/>
        <v>89.476626999999993</v>
      </c>
      <c r="X191" s="1469">
        <f t="shared" si="300"/>
        <v>130.344492</v>
      </c>
      <c r="Y191" s="1469">
        <f t="shared" si="300"/>
        <v>90.378066000000004</v>
      </c>
      <c r="Z191" s="1469">
        <f t="shared" si="300"/>
        <v>108.06922599999999</v>
      </c>
      <c r="AA191" s="1469">
        <f t="shared" si="300"/>
        <v>256.64384699999999</v>
      </c>
      <c r="AB191" s="1469">
        <f t="shared" si="300"/>
        <v>110.692002</v>
      </c>
      <c r="AC191" s="1610">
        <f t="shared" si="300"/>
        <v>243.36595600000481</v>
      </c>
      <c r="AD191" s="1469">
        <f t="shared" si="295"/>
        <v>0</v>
      </c>
      <c r="AE191" s="1469">
        <f>SUM(AE192:AE198)</f>
        <v>0</v>
      </c>
      <c r="AF191" s="1469">
        <f t="shared" ref="AF191:AP191" si="301">SUM(AF192:AF198)</f>
        <v>0</v>
      </c>
      <c r="AG191" s="1469">
        <f t="shared" si="301"/>
        <v>0</v>
      </c>
      <c r="AH191" s="1469">
        <f t="shared" si="301"/>
        <v>0</v>
      </c>
      <c r="AI191" s="1469">
        <f t="shared" si="301"/>
        <v>0</v>
      </c>
      <c r="AJ191" s="1469">
        <f t="shared" si="301"/>
        <v>0</v>
      </c>
      <c r="AK191" s="1469">
        <f t="shared" si="301"/>
        <v>0</v>
      </c>
      <c r="AL191" s="1469">
        <f t="shared" si="301"/>
        <v>0</v>
      </c>
      <c r="AM191" s="1469">
        <f t="shared" si="301"/>
        <v>0</v>
      </c>
      <c r="AN191" s="1469">
        <f t="shared" si="301"/>
        <v>0</v>
      </c>
      <c r="AO191" s="1469">
        <f t="shared" si="301"/>
        <v>0</v>
      </c>
      <c r="AP191" s="2000">
        <f t="shared" si="301"/>
        <v>0</v>
      </c>
      <c r="AQ191" s="1469">
        <f t="shared" si="297"/>
        <v>0</v>
      </c>
      <c r="AR191" s="1469">
        <f>SUM(AR192:AR198)</f>
        <v>0</v>
      </c>
      <c r="AS191" s="1469">
        <f t="shared" ref="AS191:BC191" si="302">SUM(AS192:AS198)</f>
        <v>0</v>
      </c>
      <c r="AT191" s="1469">
        <f t="shared" si="302"/>
        <v>0</v>
      </c>
      <c r="AU191" s="1469">
        <f t="shared" si="302"/>
        <v>0</v>
      </c>
      <c r="AV191" s="1469">
        <f t="shared" si="302"/>
        <v>0</v>
      </c>
      <c r="AW191" s="1469">
        <f t="shared" si="302"/>
        <v>0</v>
      </c>
      <c r="AX191" s="1469">
        <f t="shared" si="302"/>
        <v>0</v>
      </c>
      <c r="AY191" s="1469">
        <f t="shared" si="302"/>
        <v>0</v>
      </c>
      <c r="AZ191" s="1469">
        <f t="shared" si="302"/>
        <v>0</v>
      </c>
      <c r="BA191" s="1469">
        <f t="shared" si="302"/>
        <v>0</v>
      </c>
      <c r="BB191" s="1469">
        <f t="shared" si="302"/>
        <v>0</v>
      </c>
      <c r="BC191" s="2000">
        <f t="shared" si="302"/>
        <v>0</v>
      </c>
    </row>
    <row r="192" spans="2:57" hidden="1" outlineLevel="1">
      <c r="B192" s="1692"/>
      <c r="C192" s="1613" t="s">
        <v>516</v>
      </c>
      <c r="D192" s="1470">
        <f t="shared" si="291"/>
        <v>0</v>
      </c>
      <c r="E192" s="1685"/>
      <c r="F192" s="1685"/>
      <c r="G192" s="1685"/>
      <c r="H192" s="1685"/>
      <c r="I192" s="1685"/>
      <c r="J192" s="1685"/>
      <c r="K192" s="1685"/>
      <c r="L192" s="1685"/>
      <c r="M192" s="1685"/>
      <c r="N192" s="1685"/>
      <c r="O192" s="1685"/>
      <c r="P192" s="1685"/>
      <c r="Q192" s="1470">
        <f t="shared" si="293"/>
        <v>1080.6173260000137</v>
      </c>
      <c r="R192" s="1471">
        <v>103.883219</v>
      </c>
      <c r="S192" s="1471">
        <v>76.235184000000004</v>
      </c>
      <c r="T192" s="1471">
        <v>132.457041</v>
      </c>
      <c r="U192" s="1471">
        <v>79.748802000000012</v>
      </c>
      <c r="V192" s="1471">
        <v>71.233840000000001</v>
      </c>
      <c r="W192" s="1471">
        <v>75.768398000000005</v>
      </c>
      <c r="X192" s="1471">
        <v>110.158502</v>
      </c>
      <c r="Y192" s="1471">
        <v>75.679218000000006</v>
      </c>
      <c r="Z192" s="1471">
        <v>91.013060999999993</v>
      </c>
      <c r="AA192" s="1471">
        <v>92.956863999999996</v>
      </c>
      <c r="AB192" s="1471">
        <v>73.858534000000006</v>
      </c>
      <c r="AC192" s="1612">
        <f>97.759607-0.13494399998641</f>
        <v>97.624663000013598</v>
      </c>
      <c r="AD192" s="1470">
        <f t="shared" si="295"/>
        <v>0</v>
      </c>
      <c r="AE192" s="1773"/>
      <c r="AF192" s="1773"/>
      <c r="AG192" s="1773"/>
      <c r="AH192" s="1773"/>
      <c r="AI192" s="1773"/>
      <c r="AJ192" s="1773"/>
      <c r="AK192" s="1773"/>
      <c r="AL192" s="1773"/>
      <c r="AM192" s="1773"/>
      <c r="AN192" s="1773"/>
      <c r="AO192" s="1773"/>
      <c r="AP192" s="2006"/>
      <c r="AQ192" s="1470">
        <f t="shared" si="297"/>
        <v>0</v>
      </c>
      <c r="AR192" s="1773"/>
      <c r="AS192" s="1773"/>
      <c r="AT192" s="1773"/>
      <c r="AU192" s="1773"/>
      <c r="AV192" s="1773"/>
      <c r="AW192" s="1773"/>
      <c r="AX192" s="1773"/>
      <c r="AY192" s="1773"/>
      <c r="AZ192" s="1773"/>
      <c r="BA192" s="1773"/>
      <c r="BB192" s="1773"/>
      <c r="BC192" s="2006"/>
    </row>
    <row r="193" spans="2:55" hidden="1" outlineLevel="1">
      <c r="B193" s="3281"/>
      <c r="C193" s="1613" t="s">
        <v>517</v>
      </c>
      <c r="D193" s="1470">
        <f t="shared" si="291"/>
        <v>0</v>
      </c>
      <c r="E193" s="1685"/>
      <c r="F193" s="1685"/>
      <c r="G193" s="1685"/>
      <c r="H193" s="1685"/>
      <c r="I193" s="1685"/>
      <c r="J193" s="1685"/>
      <c r="K193" s="1685"/>
      <c r="L193" s="1685"/>
      <c r="M193" s="1685"/>
      <c r="N193" s="1685"/>
      <c r="O193" s="1685"/>
      <c r="P193" s="1685"/>
      <c r="Q193" s="1470">
        <f t="shared" si="293"/>
        <v>1.8274719999911786</v>
      </c>
      <c r="R193" s="1471">
        <v>0.32</v>
      </c>
      <c r="S193" s="1471">
        <v>0.32</v>
      </c>
      <c r="T193" s="1471">
        <v>0.32</v>
      </c>
      <c r="U193" s="1471">
        <v>0.8</v>
      </c>
      <c r="V193" s="1471"/>
      <c r="W193" s="1471"/>
      <c r="X193" s="1471"/>
      <c r="Y193" s="1471"/>
      <c r="Z193" s="1471"/>
      <c r="AA193" s="1471"/>
      <c r="AB193" s="1471"/>
      <c r="AC193" s="1612">
        <v>6.7471999991178505E-2</v>
      </c>
      <c r="AD193" s="1470">
        <f t="shared" si="295"/>
        <v>0</v>
      </c>
      <c r="AE193" s="1773"/>
      <c r="AF193" s="1773"/>
      <c r="AG193" s="1773"/>
      <c r="AH193" s="1773"/>
      <c r="AI193" s="1773"/>
      <c r="AJ193" s="1773"/>
      <c r="AK193" s="1773"/>
      <c r="AL193" s="1773"/>
      <c r="AM193" s="1773"/>
      <c r="AN193" s="1773"/>
      <c r="AO193" s="1773"/>
      <c r="AP193" s="2006"/>
      <c r="AQ193" s="1470">
        <f t="shared" si="297"/>
        <v>0</v>
      </c>
      <c r="AR193" s="1773"/>
      <c r="AS193" s="1773"/>
      <c r="AT193" s="1773"/>
      <c r="AU193" s="1773"/>
      <c r="AV193" s="1773"/>
      <c r="AW193" s="1773"/>
      <c r="AX193" s="1773"/>
      <c r="AY193" s="1773"/>
      <c r="AZ193" s="1773"/>
      <c r="BA193" s="1773"/>
      <c r="BB193" s="1773"/>
      <c r="BC193" s="2006"/>
    </row>
    <row r="194" spans="2:55" hidden="1" outlineLevel="1">
      <c r="B194" s="3281"/>
      <c r="C194" s="1613" t="s">
        <v>518</v>
      </c>
      <c r="D194" s="1470">
        <f t="shared" si="291"/>
        <v>0</v>
      </c>
      <c r="E194" s="1686"/>
      <c r="F194" s="1686"/>
      <c r="G194" s="1686"/>
      <c r="H194" s="1685"/>
      <c r="I194" s="1686"/>
      <c r="J194" s="1686"/>
      <c r="K194" s="1686"/>
      <c r="L194" s="1686"/>
      <c r="M194" s="1686"/>
      <c r="N194" s="1686"/>
      <c r="O194" s="1686"/>
      <c r="P194" s="1686"/>
      <c r="Q194" s="1470">
        <f t="shared" si="293"/>
        <v>133.97634199999999</v>
      </c>
      <c r="R194" s="1472">
        <v>8.4774180000000001</v>
      </c>
      <c r="S194" s="1472">
        <v>9.2949780000000004</v>
      </c>
      <c r="T194" s="1472">
        <v>11.070518999999999</v>
      </c>
      <c r="U194" s="1472">
        <v>12.110313</v>
      </c>
      <c r="V194" s="1472">
        <v>6.7765250000000004</v>
      </c>
      <c r="W194" s="1472">
        <v>7.7195879999999999</v>
      </c>
      <c r="X194" s="1472">
        <v>14.388342000000002</v>
      </c>
      <c r="Y194" s="1472">
        <v>13.836048</v>
      </c>
      <c r="Z194" s="1472">
        <v>9.007949</v>
      </c>
      <c r="AA194" s="1472">
        <v>13.162485999999999</v>
      </c>
      <c r="AB194" s="1472">
        <v>18.708860999999999</v>
      </c>
      <c r="AC194" s="1625">
        <v>9.4233150000000006</v>
      </c>
      <c r="AD194" s="1470">
        <f t="shared" si="295"/>
        <v>0</v>
      </c>
      <c r="AE194" s="1774"/>
      <c r="AF194" s="1774"/>
      <c r="AG194" s="1774"/>
      <c r="AH194" s="1774"/>
      <c r="AI194" s="1774"/>
      <c r="AJ194" s="1774"/>
      <c r="AK194" s="1774"/>
      <c r="AL194" s="1774"/>
      <c r="AM194" s="1774"/>
      <c r="AN194" s="1774"/>
      <c r="AO194" s="1774"/>
      <c r="AP194" s="2007"/>
      <c r="AQ194" s="1470">
        <f t="shared" si="297"/>
        <v>0</v>
      </c>
      <c r="AR194" s="1774"/>
      <c r="AS194" s="1774"/>
      <c r="AT194" s="1774"/>
      <c r="AU194" s="1774"/>
      <c r="AV194" s="1774"/>
      <c r="AW194" s="1774"/>
      <c r="AX194" s="1774"/>
      <c r="AY194" s="1774"/>
      <c r="AZ194" s="1774"/>
      <c r="BA194" s="1774"/>
      <c r="BB194" s="1774"/>
      <c r="BC194" s="2007"/>
    </row>
    <row r="195" spans="2:55" hidden="1" outlineLevel="1">
      <c r="B195" s="3281"/>
      <c r="C195" s="1613" t="s">
        <v>84</v>
      </c>
      <c r="D195" s="1470">
        <f t="shared" si="291"/>
        <v>0</v>
      </c>
      <c r="E195" s="1686"/>
      <c r="F195" s="1686"/>
      <c r="G195" s="1686"/>
      <c r="H195" s="1685"/>
      <c r="I195" s="1686"/>
      <c r="J195" s="1686"/>
      <c r="K195" s="1686"/>
      <c r="L195" s="1686"/>
      <c r="M195" s="1686"/>
      <c r="N195" s="1686"/>
      <c r="O195" s="1686"/>
      <c r="P195" s="1686"/>
      <c r="Q195" s="1470">
        <f t="shared" si="293"/>
        <v>12.024031999999998</v>
      </c>
      <c r="R195" s="1472">
        <v>9.2715189999999996</v>
      </c>
      <c r="S195" s="1472">
        <v>1.0395130000000001</v>
      </c>
      <c r="T195" s="1472">
        <v>1.2130000000000001</v>
      </c>
      <c r="U195" s="1472">
        <v>0.5</v>
      </c>
      <c r="V195" s="1472"/>
      <c r="W195" s="1472">
        <v>0</v>
      </c>
      <c r="X195" s="1472">
        <v>0</v>
      </c>
      <c r="Y195" s="1472"/>
      <c r="Z195" s="1472"/>
      <c r="AA195" s="1472"/>
      <c r="AB195" s="1472"/>
      <c r="AC195" s="1625"/>
      <c r="AD195" s="1470">
        <f t="shared" si="295"/>
        <v>0</v>
      </c>
      <c r="AE195" s="1774"/>
      <c r="AF195" s="1774"/>
      <c r="AG195" s="1774"/>
      <c r="AH195" s="1774"/>
      <c r="AI195" s="1774"/>
      <c r="AJ195" s="1774"/>
      <c r="AK195" s="1774"/>
      <c r="AL195" s="1774"/>
      <c r="AM195" s="1774"/>
      <c r="AN195" s="1774"/>
      <c r="AO195" s="1774"/>
      <c r="AP195" s="2007"/>
      <c r="AQ195" s="1470">
        <f t="shared" si="297"/>
        <v>0</v>
      </c>
      <c r="AR195" s="1774"/>
      <c r="AS195" s="1774"/>
      <c r="AT195" s="1774"/>
      <c r="AU195" s="1774"/>
      <c r="AV195" s="1774"/>
      <c r="AW195" s="1774"/>
      <c r="AX195" s="1774"/>
      <c r="AY195" s="1774"/>
      <c r="AZ195" s="1774"/>
      <c r="BA195" s="1774"/>
      <c r="BB195" s="1774"/>
      <c r="BC195" s="2007"/>
    </row>
    <row r="196" spans="2:55" hidden="1" outlineLevel="1">
      <c r="B196" s="3281"/>
      <c r="C196" s="1613" t="s">
        <v>82</v>
      </c>
      <c r="D196" s="1470">
        <f t="shared" si="291"/>
        <v>0</v>
      </c>
      <c r="E196" s="1686"/>
      <c r="F196" s="1686"/>
      <c r="G196" s="1686"/>
      <c r="H196" s="1685"/>
      <c r="I196" s="1686"/>
      <c r="J196" s="1686"/>
      <c r="K196" s="1686"/>
      <c r="L196" s="1685"/>
      <c r="M196" s="1686"/>
      <c r="N196" s="1686"/>
      <c r="O196" s="1686"/>
      <c r="P196" s="1686"/>
      <c r="Q196" s="1470">
        <f t="shared" si="293"/>
        <v>725.67852400000004</v>
      </c>
      <c r="R196" s="1472">
        <v>13.686745</v>
      </c>
      <c r="S196" s="1472">
        <v>514.47630600000002</v>
      </c>
      <c r="T196" s="1472">
        <v>29.292290000000001</v>
      </c>
      <c r="U196" s="1472">
        <v>12.572388999999999</v>
      </c>
      <c r="V196" s="1472">
        <v>3.597181</v>
      </c>
      <c r="W196" s="1472">
        <v>3.4385199999999996</v>
      </c>
      <c r="X196" s="1472">
        <v>4.9976479999999999</v>
      </c>
      <c r="Y196" s="1472">
        <v>6.2799999999999301E-2</v>
      </c>
      <c r="Z196" s="1472">
        <v>3.7227600000000001</v>
      </c>
      <c r="AA196" s="1472">
        <v>3.25177</v>
      </c>
      <c r="AB196" s="1472">
        <v>11.870062000000001</v>
      </c>
      <c r="AC196" s="1625">
        <v>124.710053</v>
      </c>
      <c r="AD196" s="1470">
        <f t="shared" si="295"/>
        <v>0</v>
      </c>
      <c r="AE196" s="1774"/>
      <c r="AF196" s="1774"/>
      <c r="AG196" s="1774"/>
      <c r="AH196" s="1774"/>
      <c r="AI196" s="1774"/>
      <c r="AJ196" s="1774"/>
      <c r="AK196" s="1774"/>
      <c r="AL196" s="1774"/>
      <c r="AM196" s="1774"/>
      <c r="AN196" s="1774"/>
      <c r="AO196" s="1774"/>
      <c r="AP196" s="2007"/>
      <c r="AQ196" s="1470">
        <f t="shared" si="297"/>
        <v>0</v>
      </c>
      <c r="AR196" s="1774"/>
      <c r="AS196" s="1774"/>
      <c r="AT196" s="1774"/>
      <c r="AU196" s="1774"/>
      <c r="AV196" s="1774"/>
      <c r="AW196" s="1774"/>
      <c r="AX196" s="1774"/>
      <c r="AY196" s="1774"/>
      <c r="AZ196" s="1774"/>
      <c r="BA196" s="1774"/>
      <c r="BB196" s="1774"/>
      <c r="BC196" s="2007"/>
    </row>
    <row r="197" spans="2:55" hidden="1" outlineLevel="1">
      <c r="B197" s="3281"/>
      <c r="C197" s="1689" t="s">
        <v>520</v>
      </c>
      <c r="D197" s="1470">
        <f t="shared" si="291"/>
        <v>0</v>
      </c>
      <c r="E197" s="1686"/>
      <c r="F197" s="1686"/>
      <c r="G197" s="1686"/>
      <c r="H197" s="1685"/>
      <c r="I197" s="1686"/>
      <c r="J197" s="1686"/>
      <c r="K197" s="1686"/>
      <c r="L197" s="1685"/>
      <c r="M197" s="1686"/>
      <c r="N197" s="1686"/>
      <c r="O197" s="1686"/>
      <c r="P197" s="1686"/>
      <c r="Q197" s="1470">
        <f t="shared" si="293"/>
        <v>216.057615</v>
      </c>
      <c r="R197" s="1472">
        <v>14.575546000000001</v>
      </c>
      <c r="S197" s="1472">
        <v>2.9087749999999999</v>
      </c>
      <c r="T197" s="1472">
        <v>29.429991999999999</v>
      </c>
      <c r="U197" s="1472">
        <v>0.4</v>
      </c>
      <c r="V197" s="1472"/>
      <c r="W197" s="1472">
        <v>1.750121</v>
      </c>
      <c r="X197" s="1472"/>
      <c r="Y197" s="1472"/>
      <c r="Z197" s="1472">
        <v>3.5254560000000001</v>
      </c>
      <c r="AA197" s="1472">
        <v>147.272727</v>
      </c>
      <c r="AB197" s="1472">
        <v>5.4545450000000004</v>
      </c>
      <c r="AC197" s="1625">
        <v>10.740453</v>
      </c>
      <c r="AD197" s="1470">
        <f t="shared" si="295"/>
        <v>0</v>
      </c>
      <c r="AE197" s="1774"/>
      <c r="AF197" s="1774"/>
      <c r="AG197" s="1774"/>
      <c r="AH197" s="1774"/>
      <c r="AI197" s="1774"/>
      <c r="AJ197" s="1774"/>
      <c r="AK197" s="1774"/>
      <c r="AL197" s="1774"/>
      <c r="AM197" s="1774"/>
      <c r="AN197" s="1774"/>
      <c r="AO197" s="1774"/>
      <c r="AP197" s="2007"/>
      <c r="AQ197" s="1470">
        <f t="shared" si="297"/>
        <v>0</v>
      </c>
      <c r="AR197" s="1774"/>
      <c r="AS197" s="1774"/>
      <c r="AT197" s="1774"/>
      <c r="AU197" s="1774"/>
      <c r="AV197" s="1774"/>
      <c r="AW197" s="1774"/>
      <c r="AX197" s="1774"/>
      <c r="AY197" s="1774"/>
      <c r="AZ197" s="1774"/>
      <c r="BA197" s="1774"/>
      <c r="BB197" s="1774"/>
      <c r="BC197" s="2007"/>
    </row>
    <row r="198" spans="2:55" hidden="1" outlineLevel="1">
      <c r="B198" s="3289"/>
      <c r="C198" s="1613" t="s">
        <v>519</v>
      </c>
      <c r="D198" s="1470">
        <f t="shared" si="291"/>
        <v>0</v>
      </c>
      <c r="E198" s="1686"/>
      <c r="F198" s="1686"/>
      <c r="G198" s="1686"/>
      <c r="H198" s="1685"/>
      <c r="I198" s="1686"/>
      <c r="J198" s="1686"/>
      <c r="K198" s="1686"/>
      <c r="L198" s="1685"/>
      <c r="M198" s="1686"/>
      <c r="N198" s="1686"/>
      <c r="O198" s="1686"/>
      <c r="P198" s="1686"/>
      <c r="Q198" s="1470">
        <f t="shared" si="293"/>
        <v>6.3999999999999995</v>
      </c>
      <c r="R198" s="1472"/>
      <c r="S198" s="1472"/>
      <c r="T198" s="1472">
        <v>0.8</v>
      </c>
      <c r="U198" s="1472"/>
      <c r="V198" s="1472">
        <v>0.8</v>
      </c>
      <c r="W198" s="1472">
        <v>0.8</v>
      </c>
      <c r="X198" s="1472">
        <v>0.8</v>
      </c>
      <c r="Y198" s="1472">
        <v>0.8</v>
      </c>
      <c r="Z198" s="1472">
        <v>0.8</v>
      </c>
      <c r="AA198" s="1472"/>
      <c r="AB198" s="1472">
        <v>0.8</v>
      </c>
      <c r="AC198" s="1625">
        <v>0.8</v>
      </c>
      <c r="AD198" s="1470">
        <f t="shared" si="295"/>
        <v>0</v>
      </c>
      <c r="AE198" s="1774"/>
      <c r="AF198" s="1774"/>
      <c r="AG198" s="1774"/>
      <c r="AH198" s="1774"/>
      <c r="AI198" s="1774"/>
      <c r="AJ198" s="1774"/>
      <c r="AK198" s="1774"/>
      <c r="AL198" s="1774"/>
      <c r="AM198" s="1774"/>
      <c r="AN198" s="1774"/>
      <c r="AO198" s="1774"/>
      <c r="AP198" s="2007"/>
      <c r="AQ198" s="1470">
        <f t="shared" si="297"/>
        <v>0</v>
      </c>
      <c r="AR198" s="1774"/>
      <c r="AS198" s="1774"/>
      <c r="AT198" s="1774"/>
      <c r="AU198" s="1774"/>
      <c r="AV198" s="1774"/>
      <c r="AW198" s="1774"/>
      <c r="AX198" s="1774"/>
      <c r="AY198" s="1774"/>
      <c r="AZ198" s="1774"/>
      <c r="BA198" s="1774"/>
      <c r="BB198" s="1774"/>
      <c r="BC198" s="2007"/>
    </row>
    <row r="199" spans="2:55" hidden="1" outlineLevel="1">
      <c r="B199" s="3300" t="s">
        <v>349</v>
      </c>
      <c r="C199" s="3301"/>
      <c r="D199" s="1469">
        <f t="shared" si="291"/>
        <v>0</v>
      </c>
      <c r="E199" s="1469">
        <f>E187-E191</f>
        <v>0</v>
      </c>
      <c r="F199" s="1469">
        <f t="shared" ref="F199:P199" si="303">F187-F191</f>
        <v>0</v>
      </c>
      <c r="G199" s="1469">
        <f t="shared" si="303"/>
        <v>0</v>
      </c>
      <c r="H199" s="1469">
        <f t="shared" si="303"/>
        <v>0</v>
      </c>
      <c r="I199" s="1469">
        <f t="shared" si="303"/>
        <v>0</v>
      </c>
      <c r="J199" s="1469">
        <f t="shared" si="303"/>
        <v>0</v>
      </c>
      <c r="K199" s="1469">
        <f t="shared" si="303"/>
        <v>0</v>
      </c>
      <c r="L199" s="1469">
        <f t="shared" si="303"/>
        <v>0</v>
      </c>
      <c r="M199" s="1469">
        <f t="shared" si="303"/>
        <v>0</v>
      </c>
      <c r="N199" s="1469">
        <f t="shared" si="303"/>
        <v>0</v>
      </c>
      <c r="O199" s="1469">
        <f t="shared" si="303"/>
        <v>0</v>
      </c>
      <c r="P199" s="1469">
        <f t="shared" si="303"/>
        <v>0</v>
      </c>
      <c r="Q199" s="1469">
        <f t="shared" si="293"/>
        <v>-2117.2117019999969</v>
      </c>
      <c r="R199" s="1469">
        <f>R187-R191</f>
        <v>-150.21444699999998</v>
      </c>
      <c r="S199" s="1469">
        <f t="shared" ref="S199:AC199" si="304">S187-S191</f>
        <v>-547.30939699999999</v>
      </c>
      <c r="T199" s="1469">
        <f t="shared" si="304"/>
        <v>-204.582842</v>
      </c>
      <c r="U199" s="1469">
        <f t="shared" si="304"/>
        <v>-106.00325400000003</v>
      </c>
      <c r="V199" s="1469">
        <f t="shared" si="304"/>
        <v>-82.407546000000011</v>
      </c>
      <c r="W199" s="1469">
        <f t="shared" si="304"/>
        <v>-89.476626999999993</v>
      </c>
      <c r="X199" s="1469">
        <f t="shared" si="304"/>
        <v>-130.344492</v>
      </c>
      <c r="Y199" s="1469">
        <f t="shared" si="304"/>
        <v>-90.378066000000004</v>
      </c>
      <c r="Z199" s="1469">
        <f t="shared" si="304"/>
        <v>-108.06922599999999</v>
      </c>
      <c r="AA199" s="1469">
        <f t="shared" si="304"/>
        <v>-255.185847</v>
      </c>
      <c r="AB199" s="1469">
        <f t="shared" si="304"/>
        <v>-109.87400199999237</v>
      </c>
      <c r="AC199" s="1610">
        <f t="shared" si="304"/>
        <v>-243.36595600000481</v>
      </c>
      <c r="AD199" s="1469">
        <f t="shared" si="295"/>
        <v>0</v>
      </c>
      <c r="AE199" s="1469">
        <f>AE187-AE191</f>
        <v>0</v>
      </c>
      <c r="AF199" s="1469">
        <f t="shared" ref="AF199:AP199" si="305">AF187-AF191</f>
        <v>0</v>
      </c>
      <c r="AG199" s="1469">
        <f t="shared" si="305"/>
        <v>0</v>
      </c>
      <c r="AH199" s="1469">
        <f t="shared" si="305"/>
        <v>0</v>
      </c>
      <c r="AI199" s="1469">
        <f t="shared" si="305"/>
        <v>0</v>
      </c>
      <c r="AJ199" s="1469">
        <f t="shared" si="305"/>
        <v>0</v>
      </c>
      <c r="AK199" s="1469">
        <f t="shared" si="305"/>
        <v>0</v>
      </c>
      <c r="AL199" s="1469">
        <f t="shared" si="305"/>
        <v>0</v>
      </c>
      <c r="AM199" s="1469">
        <f t="shared" si="305"/>
        <v>0</v>
      </c>
      <c r="AN199" s="1469">
        <f t="shared" si="305"/>
        <v>0</v>
      </c>
      <c r="AO199" s="1469">
        <f t="shared" si="305"/>
        <v>0</v>
      </c>
      <c r="AP199" s="2000">
        <f t="shared" si="305"/>
        <v>0</v>
      </c>
      <c r="AQ199" s="1469">
        <f t="shared" si="297"/>
        <v>0</v>
      </c>
      <c r="AR199" s="1469">
        <f>AR187-AR191</f>
        <v>0</v>
      </c>
      <c r="AS199" s="1469">
        <f t="shared" ref="AS199:BC199" si="306">AS187-AS191</f>
        <v>0</v>
      </c>
      <c r="AT199" s="1469">
        <f t="shared" si="306"/>
        <v>0</v>
      </c>
      <c r="AU199" s="1469">
        <f t="shared" si="306"/>
        <v>0</v>
      </c>
      <c r="AV199" s="1469">
        <f t="shared" si="306"/>
        <v>0</v>
      </c>
      <c r="AW199" s="1469">
        <f t="shared" si="306"/>
        <v>0</v>
      </c>
      <c r="AX199" s="1469">
        <f t="shared" si="306"/>
        <v>0</v>
      </c>
      <c r="AY199" s="1469">
        <f t="shared" si="306"/>
        <v>0</v>
      </c>
      <c r="AZ199" s="1469">
        <f t="shared" si="306"/>
        <v>0</v>
      </c>
      <c r="BA199" s="1469">
        <f t="shared" si="306"/>
        <v>0</v>
      </c>
      <c r="BB199" s="1469">
        <f t="shared" si="306"/>
        <v>0</v>
      </c>
      <c r="BC199" s="2000">
        <f t="shared" si="306"/>
        <v>0</v>
      </c>
    </row>
    <row r="200" spans="2:55" collapsed="1">
      <c r="AD200" s="1618"/>
      <c r="AE200" s="1618"/>
      <c r="AF200" s="1618"/>
      <c r="AG200" s="1618"/>
      <c r="AH200" s="1618"/>
      <c r="AI200" s="1618"/>
      <c r="AJ200" s="1618"/>
      <c r="AK200" s="1618"/>
      <c r="AL200" s="1618"/>
      <c r="AM200" s="1618"/>
      <c r="AN200" s="1618"/>
      <c r="AO200" s="1618"/>
      <c r="AP200" s="1618"/>
      <c r="AQ200" s="1618"/>
      <c r="AR200" s="1618"/>
      <c r="AS200" s="1618"/>
      <c r="AT200" s="1618"/>
      <c r="AU200" s="1618"/>
      <c r="AV200" s="1618"/>
      <c r="AW200" s="1618"/>
      <c r="AX200" s="1618"/>
      <c r="AY200" s="1618"/>
      <c r="AZ200" s="1618"/>
      <c r="BA200" s="1618"/>
      <c r="BB200" s="1618"/>
      <c r="BC200" s="1618"/>
    </row>
    <row r="201" spans="2:55">
      <c r="AD201" s="1618"/>
      <c r="AE201" s="2857"/>
      <c r="AF201" s="2857"/>
      <c r="AG201" s="2857"/>
      <c r="AH201" s="2857"/>
      <c r="AI201" s="2857"/>
      <c r="AJ201" s="2857"/>
      <c r="AK201" s="2857"/>
      <c r="AL201" s="2857"/>
      <c r="AM201" s="2857"/>
      <c r="AN201" s="2857"/>
      <c r="AO201" s="2857"/>
      <c r="AP201" s="2857"/>
      <c r="AQ201" s="1618"/>
      <c r="AR201" s="1618"/>
      <c r="AS201" s="1618"/>
      <c r="AT201" s="1618"/>
      <c r="AU201" s="1618"/>
      <c r="AV201" s="1618"/>
      <c r="AW201" s="1618"/>
      <c r="AX201" s="1618"/>
      <c r="AY201" s="1618"/>
      <c r="AZ201" s="1618"/>
      <c r="BA201" s="1618"/>
      <c r="BB201" s="1618"/>
      <c r="BC201" s="1618"/>
    </row>
    <row r="203" spans="2:55">
      <c r="AQ203" s="798"/>
    </row>
  </sheetData>
  <mergeCells count="101">
    <mergeCell ref="AD147:AP147"/>
    <mergeCell ref="AD185:AP185"/>
    <mergeCell ref="AD167:AP167"/>
    <mergeCell ref="D185:P185"/>
    <mergeCell ref="Q185:AC185"/>
    <mergeCell ref="D147:P147"/>
    <mergeCell ref="Q147:AC147"/>
    <mergeCell ref="D167:P167"/>
    <mergeCell ref="Q167:AC167"/>
    <mergeCell ref="B193:B198"/>
    <mergeCell ref="B199:C199"/>
    <mergeCell ref="B185:C186"/>
    <mergeCell ref="B128:C129"/>
    <mergeCell ref="B167:C168"/>
    <mergeCell ref="B169:C169"/>
    <mergeCell ref="B171:B172"/>
    <mergeCell ref="B173:C173"/>
    <mergeCell ref="B181:C181"/>
    <mergeCell ref="B187:C187"/>
    <mergeCell ref="B189:B190"/>
    <mergeCell ref="B132:B133"/>
    <mergeCell ref="B191:C191"/>
    <mergeCell ref="B134:C134"/>
    <mergeCell ref="B137:B142"/>
    <mergeCell ref="B143:C143"/>
    <mergeCell ref="B153:C153"/>
    <mergeCell ref="B157:B161"/>
    <mergeCell ref="B162:C162"/>
    <mergeCell ref="B147:C148"/>
    <mergeCell ref="B149:C149"/>
    <mergeCell ref="B151:B152"/>
    <mergeCell ref="B110:C111"/>
    <mergeCell ref="B130:C130"/>
    <mergeCell ref="AD7:AP7"/>
    <mergeCell ref="AD33:AP33"/>
    <mergeCell ref="AD55:AP55"/>
    <mergeCell ref="AD73:AP73"/>
    <mergeCell ref="AD95:AP95"/>
    <mergeCell ref="AD110:AP110"/>
    <mergeCell ref="AD128:AP128"/>
    <mergeCell ref="D128:P128"/>
    <mergeCell ref="Q128:AC128"/>
    <mergeCell ref="D110:P110"/>
    <mergeCell ref="Q110:AC110"/>
    <mergeCell ref="Q7:AC7"/>
    <mergeCell ref="Q33:AC33"/>
    <mergeCell ref="Q55:AC55"/>
    <mergeCell ref="Q73:AC73"/>
    <mergeCell ref="Q95:AC95"/>
    <mergeCell ref="D7:P7"/>
    <mergeCell ref="B117:B123"/>
    <mergeCell ref="B124:C124"/>
    <mergeCell ref="B112:C112"/>
    <mergeCell ref="B113:B115"/>
    <mergeCell ref="B116:C116"/>
    <mergeCell ref="B35:C35"/>
    <mergeCell ref="B37:B39"/>
    <mergeCell ref="B40:C40"/>
    <mergeCell ref="B28:C28"/>
    <mergeCell ref="B97:C97"/>
    <mergeCell ref="B106:C106"/>
    <mergeCell ref="B98:B99"/>
    <mergeCell ref="B100:C100"/>
    <mergeCell ref="D95:P95"/>
    <mergeCell ref="D33:P33"/>
    <mergeCell ref="D55:P55"/>
    <mergeCell ref="D73:P73"/>
    <mergeCell ref="B95:C96"/>
    <mergeCell ref="B73:C74"/>
    <mergeCell ref="B90:C90"/>
    <mergeCell ref="B75:C75"/>
    <mergeCell ref="B63:B67"/>
    <mergeCell ref="B68:C68"/>
    <mergeCell ref="B76:B78"/>
    <mergeCell ref="B80:C80"/>
    <mergeCell ref="B81:B89"/>
    <mergeCell ref="B101:B105"/>
    <mergeCell ref="AQ185:BC185"/>
    <mergeCell ref="AQ7:BC7"/>
    <mergeCell ref="AQ33:BC33"/>
    <mergeCell ref="AQ55:BC55"/>
    <mergeCell ref="AQ73:BC73"/>
    <mergeCell ref="AQ95:BC95"/>
    <mergeCell ref="B9:C9"/>
    <mergeCell ref="B10:B14"/>
    <mergeCell ref="B15:C15"/>
    <mergeCell ref="B7:C8"/>
    <mergeCell ref="B29:C29"/>
    <mergeCell ref="AQ110:BC110"/>
    <mergeCell ref="AQ128:BC128"/>
    <mergeCell ref="AQ147:BC147"/>
    <mergeCell ref="AQ167:BC167"/>
    <mergeCell ref="B16:B25"/>
    <mergeCell ref="B27:C27"/>
    <mergeCell ref="B33:C34"/>
    <mergeCell ref="B59:B60"/>
    <mergeCell ref="B61:C61"/>
    <mergeCell ref="B57:C57"/>
    <mergeCell ref="B42:B48"/>
    <mergeCell ref="B51:C51"/>
    <mergeCell ref="B55:C56"/>
  </mergeCells>
  <phoneticPr fontId="2" type="noConversion"/>
  <pageMargins left="0.31496062992125984" right="0.31496062992125984" top="0.74803149606299213" bottom="0.74803149606299213" header="0.31496062992125984" footer="0.31496062992125984"/>
  <pageSetup paperSize="8" scale="67" orientation="portrait" horizontalDpi="300" verticalDpi="300" r:id="rId1"/>
  <ignoredErrors>
    <ignoredError sqref="Q75:Q77 Q57:Q68 Q27 Q35 Q112:Q113 Q97:Q106 Q90 Q123:Q124 Q51 Q80 Q141:Q143 Q15:Q21 Q9:Q12 Q37 Q120 Q39:Q42 Q184:AC184 Q48 Q116:Q118 Q136:Q139 Q149:AC152 Q156:AC163 Q24:Q25 AD25:AD26 AD11:AD12 AD187:AD199 Q180:AD181 Q186:AC201 R185:AC185 AD17:AD20 AD9 Q44:Q46 AD15 AD35:AD48 AD97:AD106 Q169:AD178 AD112 AQ100:BC106 AD51 AQ9:AQ27 Q130:Q134 Q153 AQ143 AQ169:AQ181 AD149:AQ16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">
    <tabColor theme="8" tint="0.39997558519241921"/>
    <pageSetUpPr fitToPage="1"/>
  </sheetPr>
  <dimension ref="A1:CW330"/>
  <sheetViews>
    <sheetView showGridLines="0" zoomScale="85" zoomScaleNormal="85" zoomScaleSheetLayoutView="82" workbookViewId="0">
      <pane xSplit="4" ySplit="7" topLeftCell="E8" activePane="bottomRight" state="frozen"/>
      <selection activeCell="DA43" sqref="DA43"/>
      <selection pane="topRight" activeCell="DA43" sqref="DA43"/>
      <selection pane="bottomLeft" activeCell="DA43" sqref="DA43"/>
      <selection pane="bottomRight" activeCell="B6" sqref="B6:D7"/>
    </sheetView>
  </sheetViews>
  <sheetFormatPr defaultColWidth="8.75" defaultRowHeight="17" outlineLevelCol="1"/>
  <cols>
    <col min="1" max="1" width="6.25" style="1884" customWidth="1"/>
    <col min="2" max="2" width="9.75" customWidth="1"/>
    <col min="3" max="3" width="9.5" customWidth="1"/>
    <col min="4" max="4" width="22.83203125" customWidth="1"/>
    <col min="5" max="5" width="14.5" customWidth="1"/>
    <col min="6" max="6" width="12.58203125" hidden="1" customWidth="1" outlineLevel="1"/>
    <col min="7" max="16" width="13" hidden="1" customWidth="1" outlineLevel="1"/>
    <col min="17" max="17" width="13" style="423" hidden="1" customWidth="1" outlineLevel="1"/>
    <col min="18" max="18" width="14.83203125" customWidth="1" collapsed="1"/>
    <col min="19" max="19" width="12.58203125" hidden="1" customWidth="1" outlineLevel="1"/>
    <col min="20" max="29" width="13" hidden="1" customWidth="1" outlineLevel="1"/>
    <col min="30" max="30" width="13" style="423" hidden="1" customWidth="1" outlineLevel="1"/>
    <col min="31" max="31" width="14.75" customWidth="1" collapsed="1"/>
    <col min="32" max="32" width="12.58203125" hidden="1" customWidth="1" outlineLevel="1"/>
    <col min="33" max="42" width="13" hidden="1" customWidth="1" outlineLevel="1"/>
    <col min="43" max="43" width="13" style="423" hidden="1" customWidth="1" outlineLevel="1"/>
    <col min="44" max="44" width="14.5" bestFit="1" customWidth="1" collapsed="1"/>
    <col min="45" max="45" width="12.58203125" hidden="1" customWidth="1" outlineLevel="1"/>
    <col min="46" max="55" width="13" hidden="1" customWidth="1" outlineLevel="1"/>
    <col min="56" max="56" width="13" style="423" hidden="1" customWidth="1" outlineLevel="1"/>
    <col min="57" max="57" width="14.5" customWidth="1" collapsed="1"/>
    <col min="58" max="58" width="12.58203125" hidden="1" customWidth="1" outlineLevel="1"/>
    <col min="59" max="68" width="13" hidden="1" customWidth="1" outlineLevel="1"/>
    <col min="69" max="69" width="13" style="423" hidden="1" customWidth="1" outlineLevel="1"/>
    <col min="70" max="70" width="14.83203125" customWidth="1" collapsed="1"/>
    <col min="71" max="71" width="12.58203125" customWidth="1" outlineLevel="1"/>
    <col min="72" max="81" width="13" customWidth="1" outlineLevel="1"/>
    <col min="82" max="82" width="13" style="423" customWidth="1" outlineLevel="1"/>
    <col min="83" max="83" width="14.83203125" customWidth="1"/>
    <col min="84" max="84" width="12.58203125" customWidth="1" outlineLevel="1"/>
    <col min="85" max="94" width="13" customWidth="1" outlineLevel="1"/>
    <col min="95" max="95" width="13" style="423" customWidth="1" outlineLevel="1"/>
    <col min="96" max="96" width="8.75" style="129"/>
    <col min="97" max="97" width="10.6640625" style="129" bestFit="1" customWidth="1"/>
    <col min="98" max="16384" width="8.75" style="129"/>
  </cols>
  <sheetData>
    <row r="1" spans="1:101">
      <c r="CD1" s="2967"/>
      <c r="CE1" s="3176">
        <f>CE8/BR8-1</f>
        <v>4.2098023984365351E-2</v>
      </c>
      <c r="CG1" s="371"/>
      <c r="CH1" s="371"/>
    </row>
    <row r="2" spans="1:101">
      <c r="A2" s="3121"/>
      <c r="B2" s="130"/>
      <c r="C2" s="128"/>
      <c r="D2" s="128"/>
      <c r="E2" s="554"/>
      <c r="BE2" s="371"/>
      <c r="BG2" s="128"/>
      <c r="BH2" s="128"/>
      <c r="BI2" s="128"/>
      <c r="BJ2" s="128"/>
      <c r="BK2" s="128"/>
      <c r="BS2" s="2293"/>
      <c r="BT2" s="2293"/>
      <c r="BU2" s="2293"/>
      <c r="BV2" s="2293"/>
      <c r="BW2" s="2293"/>
      <c r="BX2" s="2293"/>
      <c r="BY2" s="2293"/>
      <c r="BZ2" s="2293"/>
      <c r="CA2" s="2293"/>
      <c r="CB2" s="2293"/>
      <c r="CC2" s="2293"/>
      <c r="CD2" s="2967"/>
      <c r="CE2" s="3176">
        <f>CE8/BE8-1</f>
        <v>0.21984347948818295</v>
      </c>
      <c r="CF2" s="2293"/>
      <c r="CG2" s="128"/>
      <c r="CH2" s="2783"/>
      <c r="CI2" s="2770"/>
      <c r="CJ2" s="2293"/>
      <c r="CK2" s="2770"/>
      <c r="CL2" s="2293"/>
      <c r="CM2" s="2293"/>
      <c r="CN2" s="2293"/>
      <c r="CO2" s="2293"/>
      <c r="CP2" s="2293"/>
      <c r="CQ2" s="2294"/>
    </row>
    <row r="3" spans="1:101">
      <c r="C3" s="128"/>
      <c r="D3" s="128"/>
      <c r="E3" s="554"/>
      <c r="BE3" s="1913">
        <f>BE8/AR8-1</f>
        <v>3.5822319785160373E-2</v>
      </c>
      <c r="BF3" s="2309"/>
      <c r="BG3" s="2309"/>
      <c r="BH3" s="2309"/>
      <c r="BI3" s="2309"/>
      <c r="BJ3" s="2309"/>
      <c r="BK3" s="2309"/>
      <c r="BL3" s="2309"/>
      <c r="BM3" s="2309"/>
      <c r="BN3" s="2309"/>
      <c r="BO3" s="2309"/>
      <c r="BP3" s="2309"/>
      <c r="BQ3" s="2309"/>
      <c r="BR3" s="1913">
        <f>BR8-CE8</f>
        <v>-27066.250952363946</v>
      </c>
      <c r="BS3" s="2295"/>
      <c r="BT3" s="2295"/>
      <c r="BU3" s="2295"/>
      <c r="BV3" s="2295"/>
      <c r="BW3" s="2295"/>
      <c r="BX3" s="2295"/>
      <c r="BY3" s="2295"/>
      <c r="BZ3" s="2295"/>
      <c r="CA3" s="2295"/>
      <c r="CB3" s="2295"/>
      <c r="CC3" s="2295"/>
      <c r="CD3" s="3177" t="s">
        <v>752</v>
      </c>
      <c r="CE3" s="3178">
        <f>CE16/BR16-1</f>
        <v>0.24789654097849789</v>
      </c>
      <c r="CG3" s="2923"/>
      <c r="CH3" s="2783"/>
      <c r="CI3" s="2768"/>
      <c r="CJ3" s="2295"/>
      <c r="CK3" s="2295"/>
      <c r="CL3" s="2295"/>
      <c r="CM3" s="2295"/>
      <c r="CN3" s="2295"/>
      <c r="CO3" s="2295"/>
      <c r="CP3" s="2295"/>
      <c r="CQ3" s="2295"/>
    </row>
    <row r="4" spans="1:101" ht="17.5">
      <c r="C4" s="128"/>
      <c r="D4" s="128"/>
      <c r="E4" s="371"/>
      <c r="F4" s="654"/>
      <c r="G4" s="654"/>
      <c r="H4" s="654"/>
      <c r="I4" s="654"/>
      <c r="J4" s="654"/>
      <c r="K4" s="654"/>
      <c r="L4" s="654"/>
      <c r="M4" s="654"/>
      <c r="N4" s="654"/>
      <c r="O4" s="654"/>
      <c r="P4" s="130"/>
      <c r="Q4" s="130"/>
      <c r="S4" s="744"/>
      <c r="T4" s="744"/>
      <c r="U4" s="744"/>
      <c r="V4" s="744"/>
      <c r="W4" s="744"/>
      <c r="X4" s="744"/>
      <c r="Y4" s="744"/>
      <c r="Z4" s="744"/>
      <c r="AA4" s="744"/>
      <c r="AB4" s="653"/>
      <c r="AC4" s="653"/>
      <c r="AD4" s="653"/>
      <c r="AE4" s="821"/>
      <c r="AF4" s="744"/>
      <c r="AG4" s="744"/>
      <c r="AH4" s="744"/>
      <c r="AI4" s="744"/>
      <c r="AJ4" s="744"/>
      <c r="AK4" s="744"/>
      <c r="AL4" s="710"/>
      <c r="AM4" s="653"/>
      <c r="AN4" s="653"/>
      <c r="AO4" s="653"/>
      <c r="AP4" s="653"/>
      <c r="AQ4" s="758"/>
      <c r="AR4" s="1667"/>
      <c r="AS4" s="1681"/>
      <c r="AT4" s="1681"/>
      <c r="AU4" s="1681"/>
      <c r="AV4" s="1681"/>
      <c r="AW4" s="1681"/>
      <c r="AX4" s="1681"/>
      <c r="AY4" s="1681"/>
      <c r="AZ4" s="1681"/>
      <c r="BA4" s="1681"/>
      <c r="BB4" s="1681"/>
      <c r="BC4" s="1681"/>
      <c r="BD4" s="1681"/>
      <c r="BE4" s="2508"/>
      <c r="BF4" s="744"/>
      <c r="BG4" s="744"/>
      <c r="BH4" s="744"/>
      <c r="BI4" s="744"/>
      <c r="BJ4" s="744"/>
      <c r="BK4" s="744"/>
      <c r="BL4" s="744"/>
      <c r="BM4" s="744"/>
      <c r="BN4" s="744"/>
      <c r="BO4" s="744"/>
      <c r="BP4" s="744"/>
      <c r="BQ4" s="744"/>
      <c r="BR4" s="2510"/>
      <c r="BS4" s="2509"/>
      <c r="BT4" s="2509"/>
      <c r="BU4" s="2509"/>
      <c r="BV4" s="2509"/>
      <c r="BW4" s="2509"/>
      <c r="BX4" s="2509"/>
      <c r="BY4" s="2509"/>
      <c r="BZ4" s="2509"/>
      <c r="CA4" s="2509"/>
      <c r="CB4" s="2509"/>
      <c r="CC4" s="2509"/>
      <c r="CD4" s="3177" t="s">
        <v>753</v>
      </c>
      <c r="CE4" s="3178">
        <f>CE17/BR17-1</f>
        <v>0.1516508889401984</v>
      </c>
      <c r="CG4" s="371"/>
      <c r="CH4" s="128"/>
      <c r="CI4" s="2509"/>
      <c r="CJ4" s="2295"/>
      <c r="CK4" s="2295"/>
      <c r="CL4" s="2295"/>
      <c r="CM4" s="2295"/>
      <c r="CN4" s="2295"/>
      <c r="CO4" s="2295"/>
      <c r="CP4" s="2295"/>
      <c r="CQ4" s="2295"/>
    </row>
    <row r="5" spans="1:101" ht="21">
      <c r="B5" s="11" t="s">
        <v>23</v>
      </c>
      <c r="E5" s="819"/>
      <c r="F5" s="820"/>
      <c r="G5" s="820"/>
      <c r="H5" s="820"/>
      <c r="I5" s="820"/>
      <c r="J5" s="820"/>
      <c r="K5" s="820"/>
      <c r="L5" s="820"/>
      <c r="M5" s="820"/>
      <c r="N5" s="820"/>
      <c r="O5" s="820"/>
      <c r="P5" s="820"/>
      <c r="Q5" s="820"/>
      <c r="S5" s="820"/>
      <c r="T5" s="820"/>
      <c r="U5" s="820"/>
      <c r="V5" s="820"/>
      <c r="W5" s="820"/>
      <c r="X5" s="820"/>
      <c r="Y5" s="820"/>
      <c r="Z5" s="820"/>
      <c r="AA5" s="820"/>
      <c r="AB5" s="820"/>
      <c r="AC5" s="820"/>
      <c r="AD5" s="820"/>
      <c r="AF5" s="820"/>
      <c r="AG5" s="820"/>
      <c r="AH5" s="820"/>
      <c r="AI5" s="820"/>
      <c r="AJ5" s="820"/>
      <c r="AK5" s="820"/>
      <c r="AL5" s="820"/>
      <c r="AM5" s="820"/>
      <c r="AN5" s="820"/>
      <c r="AO5" s="820"/>
      <c r="AP5" s="820"/>
      <c r="AQ5" s="820"/>
      <c r="AR5" s="1647"/>
      <c r="AS5" s="1631"/>
      <c r="AT5" s="820"/>
      <c r="AU5" s="820"/>
      <c r="AV5" s="820"/>
      <c r="AW5" s="820"/>
      <c r="AX5" s="820"/>
      <c r="AY5" s="1682"/>
      <c r="AZ5" s="820"/>
      <c r="BA5" s="820"/>
      <c r="BB5" s="820"/>
      <c r="BC5" s="820"/>
      <c r="BD5" s="820"/>
      <c r="BE5" s="1914"/>
      <c r="BF5" s="2310"/>
      <c r="BG5" s="2310"/>
      <c r="BH5" s="2310"/>
      <c r="BI5" s="2310"/>
      <c r="BJ5" s="2310"/>
      <c r="BK5" s="2310"/>
      <c r="BL5" s="2310"/>
      <c r="BM5" s="2310"/>
      <c r="BN5" s="2310"/>
      <c r="BO5" s="2310"/>
      <c r="BP5" s="2310"/>
      <c r="BQ5" s="2310"/>
      <c r="BR5" s="1914"/>
      <c r="BS5" s="2296"/>
      <c r="BT5" s="2296"/>
      <c r="BU5" s="2296"/>
      <c r="BV5" s="2296"/>
      <c r="BW5" s="2296"/>
      <c r="BX5" s="2296"/>
      <c r="BY5" s="2297"/>
      <c r="BZ5" s="2297"/>
      <c r="CA5" s="2297"/>
      <c r="CB5" s="2297"/>
      <c r="CC5" s="2297"/>
      <c r="CD5" s="3177" t="s">
        <v>239</v>
      </c>
      <c r="CE5" s="3177">
        <f>CE19/BR19-1</f>
        <v>0.13328251850422457</v>
      </c>
      <c r="CF5" s="2946">
        <f>CF8-CF9</f>
        <v>30548.316964582125</v>
      </c>
      <c r="CG5" s="2946">
        <f t="shared" ref="CG5:CQ5" si="0">CG8-CG9</f>
        <v>27155.999569850472</v>
      </c>
      <c r="CH5" s="2946">
        <f t="shared" si="0"/>
        <v>38419.625021358232</v>
      </c>
      <c r="CI5" s="2946">
        <f t="shared" si="0"/>
        <v>28049.462605343957</v>
      </c>
      <c r="CJ5" s="2946">
        <f t="shared" si="0"/>
        <v>28056.133760676163</v>
      </c>
      <c r="CK5" s="2946">
        <f t="shared" si="0"/>
        <v>27128.951513792483</v>
      </c>
      <c r="CL5" s="2946">
        <f t="shared" si="0"/>
        <v>38583.931208286434</v>
      </c>
      <c r="CM5" s="2946">
        <f t="shared" si="0"/>
        <v>30335.453589301102</v>
      </c>
      <c r="CN5" s="2946">
        <f t="shared" si="0"/>
        <v>43754.968936484816</v>
      </c>
      <c r="CO5" s="2946">
        <f t="shared" si="0"/>
        <v>32190.693799866505</v>
      </c>
      <c r="CP5" s="2946">
        <f t="shared" si="0"/>
        <v>27771.653791859262</v>
      </c>
      <c r="CQ5" s="2946">
        <f t="shared" si="0"/>
        <v>26273.672959436677</v>
      </c>
    </row>
    <row r="6" spans="1:101" ht="17.5" customHeight="1">
      <c r="B6" s="3325" t="s">
        <v>0</v>
      </c>
      <c r="C6" s="3325"/>
      <c r="D6" s="3326"/>
      <c r="E6" s="3329" t="s">
        <v>363</v>
      </c>
      <c r="F6" s="3310"/>
      <c r="G6" s="3310"/>
      <c r="H6" s="3310"/>
      <c r="I6" s="3310"/>
      <c r="J6" s="3310"/>
      <c r="K6" s="3310"/>
      <c r="L6" s="3310"/>
      <c r="M6" s="3310"/>
      <c r="N6" s="3310"/>
      <c r="O6" s="3310"/>
      <c r="P6" s="3310"/>
      <c r="Q6" s="3310"/>
      <c r="R6" s="3310" t="s">
        <v>377</v>
      </c>
      <c r="S6" s="3310"/>
      <c r="T6" s="3310"/>
      <c r="U6" s="3310"/>
      <c r="V6" s="3310"/>
      <c r="W6" s="3310"/>
      <c r="X6" s="3310"/>
      <c r="Y6" s="3310"/>
      <c r="Z6" s="3310"/>
      <c r="AA6" s="3310"/>
      <c r="AB6" s="3310"/>
      <c r="AC6" s="3310"/>
      <c r="AD6" s="3310"/>
      <c r="AE6" s="3310" t="s">
        <v>394</v>
      </c>
      <c r="AF6" s="3310"/>
      <c r="AG6" s="3310"/>
      <c r="AH6" s="3310"/>
      <c r="AI6" s="3310"/>
      <c r="AJ6" s="3310"/>
      <c r="AK6" s="3310"/>
      <c r="AL6" s="3310"/>
      <c r="AM6" s="3310"/>
      <c r="AN6" s="3310"/>
      <c r="AO6" s="3310"/>
      <c r="AP6" s="3310"/>
      <c r="AQ6" s="3310"/>
      <c r="AR6" s="3310" t="s">
        <v>413</v>
      </c>
      <c r="AS6" s="3310"/>
      <c r="AT6" s="3310"/>
      <c r="AU6" s="3310"/>
      <c r="AV6" s="3310"/>
      <c r="AW6" s="3310"/>
      <c r="AX6" s="3310"/>
      <c r="AY6" s="3310"/>
      <c r="AZ6" s="3310"/>
      <c r="BA6" s="3310"/>
      <c r="BB6" s="3310"/>
      <c r="BC6" s="3310"/>
      <c r="BD6" s="3310"/>
      <c r="BE6" s="3310" t="s">
        <v>468</v>
      </c>
      <c r="BF6" s="3310"/>
      <c r="BG6" s="3310"/>
      <c r="BH6" s="3310"/>
      <c r="BI6" s="3310"/>
      <c r="BJ6" s="3310"/>
      <c r="BK6" s="3310"/>
      <c r="BL6" s="3310"/>
      <c r="BM6" s="3310"/>
      <c r="BN6" s="3310"/>
      <c r="BO6" s="3310"/>
      <c r="BP6" s="3310"/>
      <c r="BQ6" s="3310"/>
      <c r="BR6" s="3310" t="s">
        <v>849</v>
      </c>
      <c r="BS6" s="3310"/>
      <c r="BT6" s="3310"/>
      <c r="BU6" s="3310"/>
      <c r="BV6" s="3310"/>
      <c r="BW6" s="3310"/>
      <c r="BX6" s="3310"/>
      <c r="BY6" s="3310"/>
      <c r="BZ6" s="3310"/>
      <c r="CA6" s="3310"/>
      <c r="CB6" s="3310"/>
      <c r="CC6" s="3310"/>
      <c r="CD6" s="3310"/>
      <c r="CE6" s="3259" t="s">
        <v>699</v>
      </c>
      <c r="CF6" s="3259"/>
      <c r="CG6" s="3259"/>
      <c r="CH6" s="3259"/>
      <c r="CI6" s="3259"/>
      <c r="CJ6" s="3259"/>
      <c r="CK6" s="3259"/>
      <c r="CL6" s="3259"/>
      <c r="CM6" s="3259"/>
      <c r="CN6" s="3259"/>
      <c r="CO6" s="3259"/>
      <c r="CP6" s="3259"/>
      <c r="CQ6" s="3259"/>
    </row>
    <row r="7" spans="1:101" ht="17.5" customHeight="1">
      <c r="B7" s="3327"/>
      <c r="C7" s="3327"/>
      <c r="D7" s="3328"/>
      <c r="E7" s="245" t="s">
        <v>1</v>
      </c>
      <c r="F7" s="246" t="s">
        <v>2</v>
      </c>
      <c r="G7" s="247" t="s">
        <v>3</v>
      </c>
      <c r="H7" s="247" t="s">
        <v>4</v>
      </c>
      <c r="I7" s="247" t="s">
        <v>5</v>
      </c>
      <c r="J7" s="247" t="s">
        <v>6</v>
      </c>
      <c r="K7" s="247" t="s">
        <v>7</v>
      </c>
      <c r="L7" s="247" t="s">
        <v>8</v>
      </c>
      <c r="M7" s="247" t="s">
        <v>9</v>
      </c>
      <c r="N7" s="247" t="s">
        <v>10</v>
      </c>
      <c r="O7" s="247" t="s">
        <v>11</v>
      </c>
      <c r="P7" s="247" t="s">
        <v>12</v>
      </c>
      <c r="Q7" s="248" t="s">
        <v>13</v>
      </c>
      <c r="R7" s="245" t="s">
        <v>1</v>
      </c>
      <c r="S7" s="246" t="s">
        <v>2</v>
      </c>
      <c r="T7" s="247" t="s">
        <v>3</v>
      </c>
      <c r="U7" s="247" t="s">
        <v>4</v>
      </c>
      <c r="V7" s="247" t="s">
        <v>5</v>
      </c>
      <c r="W7" s="247" t="s">
        <v>6</v>
      </c>
      <c r="X7" s="247" t="s">
        <v>7</v>
      </c>
      <c r="Y7" s="247" t="s">
        <v>8</v>
      </c>
      <c r="Z7" s="247" t="s">
        <v>9</v>
      </c>
      <c r="AA7" s="247" t="s">
        <v>10</v>
      </c>
      <c r="AB7" s="247" t="s">
        <v>11</v>
      </c>
      <c r="AC7" s="247" t="s">
        <v>12</v>
      </c>
      <c r="AD7" s="248" t="s">
        <v>13</v>
      </c>
      <c r="AE7" s="245" t="s">
        <v>1</v>
      </c>
      <c r="AF7" s="1170" t="s">
        <v>2</v>
      </c>
      <c r="AG7" s="1170" t="s">
        <v>3</v>
      </c>
      <c r="AH7" s="1170" t="s">
        <v>4</v>
      </c>
      <c r="AI7" s="1170" t="s">
        <v>5</v>
      </c>
      <c r="AJ7" s="1170" t="s">
        <v>6</v>
      </c>
      <c r="AK7" s="1170" t="s">
        <v>7</v>
      </c>
      <c r="AL7" s="1170" t="s">
        <v>8</v>
      </c>
      <c r="AM7" s="1170" t="s">
        <v>9</v>
      </c>
      <c r="AN7" s="1170" t="s">
        <v>10</v>
      </c>
      <c r="AO7" s="1170" t="s">
        <v>11</v>
      </c>
      <c r="AP7" s="1170" t="s">
        <v>12</v>
      </c>
      <c r="AQ7" s="1171" t="s">
        <v>13</v>
      </c>
      <c r="AR7" s="245" t="s">
        <v>1</v>
      </c>
      <c r="AS7" s="246" t="s">
        <v>2</v>
      </c>
      <c r="AT7" s="247" t="s">
        <v>3</v>
      </c>
      <c r="AU7" s="247" t="s">
        <v>4</v>
      </c>
      <c r="AV7" s="247" t="s">
        <v>5</v>
      </c>
      <c r="AW7" s="247" t="s">
        <v>6</v>
      </c>
      <c r="AX7" s="247" t="s">
        <v>7</v>
      </c>
      <c r="AY7" s="247" t="s">
        <v>8</v>
      </c>
      <c r="AZ7" s="247" t="s">
        <v>9</v>
      </c>
      <c r="BA7" s="247" t="s">
        <v>10</v>
      </c>
      <c r="BB7" s="247" t="s">
        <v>11</v>
      </c>
      <c r="BC7" s="247" t="s">
        <v>12</v>
      </c>
      <c r="BD7" s="248" t="s">
        <v>13</v>
      </c>
      <c r="BE7" s="245" t="s">
        <v>1</v>
      </c>
      <c r="BF7" s="246" t="s">
        <v>2</v>
      </c>
      <c r="BG7" s="247" t="s">
        <v>3</v>
      </c>
      <c r="BH7" s="247" t="s">
        <v>4</v>
      </c>
      <c r="BI7" s="247" t="s">
        <v>5</v>
      </c>
      <c r="BJ7" s="247" t="s">
        <v>6</v>
      </c>
      <c r="BK7" s="247" t="s">
        <v>7</v>
      </c>
      <c r="BL7" s="247" t="s">
        <v>8</v>
      </c>
      <c r="BM7" s="247" t="s">
        <v>9</v>
      </c>
      <c r="BN7" s="247" t="s">
        <v>10</v>
      </c>
      <c r="BO7" s="247" t="s">
        <v>11</v>
      </c>
      <c r="BP7" s="247" t="s">
        <v>12</v>
      </c>
      <c r="BQ7" s="1900" t="s">
        <v>13</v>
      </c>
      <c r="BR7" s="245" t="s">
        <v>1</v>
      </c>
      <c r="BS7" s="246" t="s">
        <v>2</v>
      </c>
      <c r="BT7" s="247" t="s">
        <v>3</v>
      </c>
      <c r="BU7" s="247" t="s">
        <v>4</v>
      </c>
      <c r="BV7" s="247" t="s">
        <v>5</v>
      </c>
      <c r="BW7" s="247" t="s">
        <v>6</v>
      </c>
      <c r="BX7" s="247" t="s">
        <v>7</v>
      </c>
      <c r="BY7" s="247" t="s">
        <v>847</v>
      </c>
      <c r="BZ7" s="247" t="s">
        <v>848</v>
      </c>
      <c r="CA7" s="247" t="s">
        <v>506</v>
      </c>
      <c r="CB7" s="247" t="s">
        <v>505</v>
      </c>
      <c r="CC7" s="247" t="s">
        <v>441</v>
      </c>
      <c r="CD7" s="248" t="s">
        <v>442</v>
      </c>
      <c r="CE7" s="2529" t="s">
        <v>1</v>
      </c>
      <c r="CF7" s="2530" t="s">
        <v>711</v>
      </c>
      <c r="CG7" s="2531" t="s">
        <v>709</v>
      </c>
      <c r="CH7" s="2531" t="s">
        <v>707</v>
      </c>
      <c r="CI7" s="2531" t="s">
        <v>705</v>
      </c>
      <c r="CJ7" s="2531" t="s">
        <v>703</v>
      </c>
      <c r="CK7" s="2531" t="s">
        <v>701</v>
      </c>
      <c r="CL7" s="2531" t="s">
        <v>688</v>
      </c>
      <c r="CM7" s="2531" t="s">
        <v>690</v>
      </c>
      <c r="CN7" s="2531" t="s">
        <v>692</v>
      </c>
      <c r="CO7" s="2531" t="s">
        <v>694</v>
      </c>
      <c r="CP7" s="2531" t="s">
        <v>696</v>
      </c>
      <c r="CQ7" s="2532" t="s">
        <v>698</v>
      </c>
    </row>
    <row r="8" spans="1:101" ht="16.5" customHeight="1">
      <c r="B8" s="3317" t="s">
        <v>243</v>
      </c>
      <c r="C8" s="3318"/>
      <c r="D8" s="199" t="s">
        <v>14</v>
      </c>
      <c r="E8" s="205">
        <f t="shared" ref="E8:K8" si="1">SUM(E9:E18)</f>
        <v>647765</v>
      </c>
      <c r="F8" s="567">
        <f t="shared" si="1"/>
        <v>52074</v>
      </c>
      <c r="G8" s="486">
        <f t="shared" si="1"/>
        <v>53921</v>
      </c>
      <c r="H8" s="486">
        <f t="shared" si="1"/>
        <v>53835</v>
      </c>
      <c r="I8" s="486">
        <f t="shared" si="1"/>
        <v>49485</v>
      </c>
      <c r="J8" s="486">
        <f t="shared" si="1"/>
        <v>62541</v>
      </c>
      <c r="K8" s="486">
        <f t="shared" si="1"/>
        <v>52202</v>
      </c>
      <c r="L8" s="486">
        <v>48442</v>
      </c>
      <c r="M8" s="486">
        <v>60808</v>
      </c>
      <c r="N8" s="486">
        <f t="shared" ref="N8:AR8" si="2">SUM(N9:N18)</f>
        <v>48316</v>
      </c>
      <c r="O8" s="486">
        <f t="shared" si="2"/>
        <v>54110</v>
      </c>
      <c r="P8" s="486">
        <f t="shared" si="2"/>
        <v>59547</v>
      </c>
      <c r="Q8" s="486">
        <f t="shared" si="2"/>
        <v>52484</v>
      </c>
      <c r="R8" s="205">
        <f t="shared" si="2"/>
        <v>656015</v>
      </c>
      <c r="S8" s="567">
        <f t="shared" si="2"/>
        <v>56810</v>
      </c>
      <c r="T8" s="486">
        <f t="shared" si="2"/>
        <v>52227</v>
      </c>
      <c r="U8" s="486">
        <f t="shared" si="2"/>
        <v>56190</v>
      </c>
      <c r="V8" s="486">
        <f t="shared" si="2"/>
        <v>51851</v>
      </c>
      <c r="W8" s="486">
        <f t="shared" si="2"/>
        <v>51440</v>
      </c>
      <c r="X8" s="486">
        <f t="shared" si="2"/>
        <v>53375</v>
      </c>
      <c r="Y8" s="486">
        <f t="shared" si="2"/>
        <v>50305</v>
      </c>
      <c r="Z8" s="486">
        <f t="shared" si="2"/>
        <v>66075</v>
      </c>
      <c r="AA8" s="486">
        <f t="shared" si="2"/>
        <v>52005</v>
      </c>
      <c r="AB8" s="486">
        <f t="shared" si="2"/>
        <v>66262</v>
      </c>
      <c r="AC8" s="486">
        <f t="shared" si="2"/>
        <v>54164</v>
      </c>
      <c r="AD8" s="516">
        <f t="shared" si="2"/>
        <v>45311</v>
      </c>
      <c r="AE8" s="205">
        <f t="shared" ref="AE8" si="3">SUM(AE9:AE18)</f>
        <v>608228</v>
      </c>
      <c r="AF8" s="1172">
        <f t="shared" si="2"/>
        <v>47613</v>
      </c>
      <c r="AG8" s="1173">
        <f t="shared" si="2"/>
        <v>56637</v>
      </c>
      <c r="AH8" s="1173">
        <f t="shared" si="2"/>
        <v>50771</v>
      </c>
      <c r="AI8" s="1173">
        <f t="shared" si="2"/>
        <v>51504</v>
      </c>
      <c r="AJ8" s="1173">
        <f t="shared" si="2"/>
        <v>53204</v>
      </c>
      <c r="AK8" s="1173">
        <f t="shared" si="2"/>
        <v>51918</v>
      </c>
      <c r="AL8" s="1173">
        <f t="shared" si="2"/>
        <v>45740</v>
      </c>
      <c r="AM8" s="1173">
        <f t="shared" ref="AM8:AQ8" si="4">SUM(AM9:AM18)</f>
        <v>59910</v>
      </c>
      <c r="AN8" s="1173">
        <f t="shared" si="4"/>
        <v>45734</v>
      </c>
      <c r="AO8" s="1173">
        <f t="shared" si="4"/>
        <v>67840</v>
      </c>
      <c r="AP8" s="1173">
        <f t="shared" si="4"/>
        <v>42653</v>
      </c>
      <c r="AQ8" s="1174">
        <f t="shared" si="4"/>
        <v>34704</v>
      </c>
      <c r="AR8" s="205">
        <f t="shared" si="2"/>
        <v>530256</v>
      </c>
      <c r="AS8" s="567">
        <f t="shared" ref="AS8:BE8" si="5">SUM(AS9:AS18)</f>
        <v>39868.932942162617</v>
      </c>
      <c r="AT8" s="486">
        <f t="shared" si="5"/>
        <v>53032.640681754681</v>
      </c>
      <c r="AU8" s="486">
        <f t="shared" si="5"/>
        <v>41554.687901648511</v>
      </c>
      <c r="AV8" s="486">
        <f t="shared" si="5"/>
        <v>39224.077116512992</v>
      </c>
      <c r="AW8" s="486">
        <f t="shared" si="5"/>
        <v>43035.473037161217</v>
      </c>
      <c r="AX8" s="486">
        <f t="shared" si="5"/>
        <v>40743.630343671415</v>
      </c>
      <c r="AY8" s="486">
        <f t="shared" si="5"/>
        <v>40221.3752444817</v>
      </c>
      <c r="AZ8" s="486">
        <f t="shared" si="5"/>
        <v>58195.730371612182</v>
      </c>
      <c r="BA8" s="486">
        <f t="shared" si="5"/>
        <v>37072.83039955295</v>
      </c>
      <c r="BB8" s="486">
        <f t="shared" si="5"/>
        <v>67970.891869237224</v>
      </c>
      <c r="BC8" s="486">
        <f t="shared" si="5"/>
        <v>37985.340039117073</v>
      </c>
      <c r="BD8" s="516">
        <f t="shared" si="5"/>
        <v>31350.390053087456</v>
      </c>
      <c r="BE8" s="205">
        <f t="shared" si="5"/>
        <v>549251</v>
      </c>
      <c r="BF8" s="567">
        <f t="shared" ref="BF8:BR8" si="6">SUM(BF9:BF18)</f>
        <v>54304</v>
      </c>
      <c r="BG8" s="486">
        <f t="shared" si="6"/>
        <v>38284</v>
      </c>
      <c r="BH8" s="486">
        <f t="shared" si="6"/>
        <v>39331</v>
      </c>
      <c r="BI8" s="486">
        <f t="shared" si="6"/>
        <v>42410</v>
      </c>
      <c r="BJ8" s="486">
        <f t="shared" si="6"/>
        <v>43143</v>
      </c>
      <c r="BK8" s="486">
        <f t="shared" si="6"/>
        <v>38323</v>
      </c>
      <c r="BL8" s="486">
        <f t="shared" si="6"/>
        <v>55181</v>
      </c>
      <c r="BM8" s="486">
        <f t="shared" si="6"/>
        <v>41157</v>
      </c>
      <c r="BN8" s="486">
        <f t="shared" si="6"/>
        <v>62578</v>
      </c>
      <c r="BO8" s="486">
        <f t="shared" si="6"/>
        <v>55555</v>
      </c>
      <c r="BP8" s="486">
        <f t="shared" si="6"/>
        <v>43193</v>
      </c>
      <c r="BQ8" s="516">
        <f t="shared" si="6"/>
        <v>35792</v>
      </c>
      <c r="BR8" s="205">
        <f t="shared" si="6"/>
        <v>642934</v>
      </c>
      <c r="BS8" s="567">
        <f t="shared" ref="BS8:CE8" si="7">SUM(BS9:BS18)</f>
        <v>33725</v>
      </c>
      <c r="BT8" s="486">
        <f t="shared" si="7"/>
        <v>67573</v>
      </c>
      <c r="BU8" s="486">
        <f t="shared" si="7"/>
        <v>43042</v>
      </c>
      <c r="BV8" s="486">
        <f t="shared" si="7"/>
        <v>46783</v>
      </c>
      <c r="BW8" s="486">
        <f t="shared" si="7"/>
        <v>63245</v>
      </c>
      <c r="BX8" s="486">
        <f t="shared" si="7"/>
        <v>51217</v>
      </c>
      <c r="BY8" s="486">
        <f t="shared" si="7"/>
        <v>68808</v>
      </c>
      <c r="BZ8" s="486">
        <f t="shared" si="7"/>
        <v>49766</v>
      </c>
      <c r="CA8" s="486">
        <f t="shared" si="7"/>
        <v>69431</v>
      </c>
      <c r="CB8" s="486">
        <f t="shared" si="7"/>
        <v>56294</v>
      </c>
      <c r="CC8" s="486">
        <f t="shared" si="7"/>
        <v>46695</v>
      </c>
      <c r="CD8" s="516">
        <f t="shared" si="7"/>
        <v>46355</v>
      </c>
      <c r="CE8" s="205">
        <f t="shared" si="7"/>
        <v>670000.25095236395</v>
      </c>
      <c r="CF8" s="567">
        <f t="shared" ref="CF8:CQ8" si="8">SUM(CF9:CF18)</f>
        <v>58967.316964582125</v>
      </c>
      <c r="CG8" s="486">
        <f t="shared" si="8"/>
        <v>48000.171381720662</v>
      </c>
      <c r="CH8" s="486">
        <f t="shared" si="8"/>
        <v>63707.181395704567</v>
      </c>
      <c r="CI8" s="486">
        <f t="shared" si="8"/>
        <v>51132.050496747579</v>
      </c>
      <c r="CJ8" s="486">
        <f t="shared" si="8"/>
        <v>51074.399350943771</v>
      </c>
      <c r="CK8" s="486">
        <f t="shared" si="8"/>
        <v>50463.682825649303</v>
      </c>
      <c r="CL8" s="486">
        <f t="shared" si="8"/>
        <v>66509.988375232235</v>
      </c>
      <c r="CM8" s="486">
        <f t="shared" si="8"/>
        <v>52643.600975027068</v>
      </c>
      <c r="CN8" s="486">
        <f t="shared" si="8"/>
        <v>70415.594657420021</v>
      </c>
      <c r="CO8" s="486">
        <f t="shared" si="8"/>
        <v>57272.418810577583</v>
      </c>
      <c r="CP8" s="486">
        <f t="shared" si="8"/>
        <v>53295.916234386146</v>
      </c>
      <c r="CQ8" s="516">
        <f t="shared" si="8"/>
        <v>46517.929484372879</v>
      </c>
      <c r="CS8" s="2779"/>
      <c r="CT8" s="2780"/>
      <c r="CU8" s="2781"/>
    </row>
    <row r="9" spans="1:101">
      <c r="B9" s="3313"/>
      <c r="C9" s="3314"/>
      <c r="D9" s="2482" t="s">
        <v>15</v>
      </c>
      <c r="E9" s="207">
        <f>SUM(F9:Q9)</f>
        <v>323553</v>
      </c>
      <c r="F9" s="418">
        <v>29451</v>
      </c>
      <c r="G9" s="419">
        <v>28727</v>
      </c>
      <c r="H9" s="419">
        <v>28461</v>
      </c>
      <c r="I9" s="419">
        <v>24593</v>
      </c>
      <c r="J9" s="419">
        <v>30540</v>
      </c>
      <c r="K9" s="419">
        <v>27091</v>
      </c>
      <c r="L9" s="419">
        <v>22703</v>
      </c>
      <c r="M9" s="419">
        <v>30872</v>
      </c>
      <c r="N9" s="419">
        <v>22629</v>
      </c>
      <c r="O9" s="419">
        <v>25481</v>
      </c>
      <c r="P9" s="419">
        <v>27458</v>
      </c>
      <c r="Q9" s="668">
        <v>25547</v>
      </c>
      <c r="R9" s="207">
        <f>SUM(S9:AD9)</f>
        <v>315633</v>
      </c>
      <c r="S9" s="418">
        <v>29299</v>
      </c>
      <c r="T9" s="418">
        <v>26857</v>
      </c>
      <c r="U9" s="418">
        <v>27618</v>
      </c>
      <c r="V9" s="418">
        <v>24175</v>
      </c>
      <c r="W9" s="418">
        <v>24571</v>
      </c>
      <c r="X9" s="418">
        <v>27022</v>
      </c>
      <c r="Y9" s="418">
        <v>24471</v>
      </c>
      <c r="Z9" s="418">
        <v>30633</v>
      </c>
      <c r="AA9" s="418">
        <v>25650</v>
      </c>
      <c r="AB9" s="418">
        <v>28570</v>
      </c>
      <c r="AC9" s="418">
        <v>25052</v>
      </c>
      <c r="AD9" s="418">
        <v>21715</v>
      </c>
      <c r="AE9" s="207">
        <f>SUM(AF9:AQ9)</f>
        <v>285282</v>
      </c>
      <c r="AF9" s="1179">
        <v>22688</v>
      </c>
      <c r="AG9" s="1180">
        <v>27778</v>
      </c>
      <c r="AH9" s="1180">
        <v>24419</v>
      </c>
      <c r="AI9" s="1180">
        <v>26129</v>
      </c>
      <c r="AJ9" s="1180">
        <v>27292</v>
      </c>
      <c r="AK9" s="1180">
        <v>25284</v>
      </c>
      <c r="AL9" s="1180">
        <v>23322</v>
      </c>
      <c r="AM9" s="1180">
        <v>26383</v>
      </c>
      <c r="AN9" s="1180">
        <v>19717</v>
      </c>
      <c r="AO9" s="1180">
        <v>27376</v>
      </c>
      <c r="AP9" s="1180">
        <v>18585</v>
      </c>
      <c r="AQ9" s="1181">
        <v>16309</v>
      </c>
      <c r="AR9" s="207">
        <f>SUM(AS9:BD9)</f>
        <v>218808</v>
      </c>
      <c r="AS9" s="418">
        <v>18311</v>
      </c>
      <c r="AT9" s="418">
        <v>21737</v>
      </c>
      <c r="AU9" s="418">
        <v>17362</v>
      </c>
      <c r="AV9" s="418">
        <v>17102</v>
      </c>
      <c r="AW9" s="418">
        <v>17457</v>
      </c>
      <c r="AX9" s="418">
        <v>16154</v>
      </c>
      <c r="AY9" s="418">
        <v>18417</v>
      </c>
      <c r="AZ9" s="418">
        <v>23729</v>
      </c>
      <c r="BA9" s="418">
        <v>16459</v>
      </c>
      <c r="BB9" s="418">
        <v>22104</v>
      </c>
      <c r="BC9" s="418">
        <v>16430</v>
      </c>
      <c r="BD9" s="1795">
        <v>13546</v>
      </c>
      <c r="BE9" s="207">
        <f>SUM(BF9:BQ9)</f>
        <v>231057</v>
      </c>
      <c r="BF9" s="1799">
        <v>20995</v>
      </c>
      <c r="BG9" s="1799">
        <v>16692</v>
      </c>
      <c r="BH9" s="1799">
        <v>18382</v>
      </c>
      <c r="BI9" s="1799">
        <v>18432</v>
      </c>
      <c r="BJ9" s="1799">
        <v>20146</v>
      </c>
      <c r="BK9" s="1799">
        <v>18628</v>
      </c>
      <c r="BL9" s="1799">
        <v>22197</v>
      </c>
      <c r="BM9" s="1799">
        <v>17830</v>
      </c>
      <c r="BN9" s="1799">
        <v>20436</v>
      </c>
      <c r="BO9" s="1799">
        <v>19986</v>
      </c>
      <c r="BP9" s="1799">
        <v>20330</v>
      </c>
      <c r="BQ9" s="1795">
        <v>17003</v>
      </c>
      <c r="BR9" s="207">
        <f>SUM(BS9:CD9)</f>
        <v>290855</v>
      </c>
      <c r="BS9" s="1799">
        <v>16386</v>
      </c>
      <c r="BT9" s="1799">
        <v>24943</v>
      </c>
      <c r="BU9" s="1799">
        <v>18218</v>
      </c>
      <c r="BV9" s="1799">
        <v>21598</v>
      </c>
      <c r="BW9" s="1799">
        <v>32548</v>
      </c>
      <c r="BX9" s="1799">
        <v>27162</v>
      </c>
      <c r="BY9" s="1799">
        <v>29379.999999999996</v>
      </c>
      <c r="BZ9" s="1799">
        <v>23534</v>
      </c>
      <c r="CA9" s="1799">
        <v>26146</v>
      </c>
      <c r="CB9" s="1799">
        <v>25966</v>
      </c>
      <c r="CC9" s="1799">
        <v>21706</v>
      </c>
      <c r="CD9" s="1795">
        <v>23268</v>
      </c>
      <c r="CE9" s="207">
        <f>SUM(CF9:CQ9)</f>
        <v>291731.38723152567</v>
      </c>
      <c r="CF9" s="2813">
        <v>28419</v>
      </c>
      <c r="CG9" s="2813">
        <v>20844.17181187019</v>
      </c>
      <c r="CH9" s="2813">
        <v>25287.556374346335</v>
      </c>
      <c r="CI9" s="2813">
        <v>23082.587891403622</v>
      </c>
      <c r="CJ9" s="2813">
        <v>23018.265590267609</v>
      </c>
      <c r="CK9" s="2813">
        <v>23334.73131185682</v>
      </c>
      <c r="CL9" s="2813">
        <v>27926.057166945804</v>
      </c>
      <c r="CM9" s="2813">
        <v>22308.147385725966</v>
      </c>
      <c r="CN9" s="2813">
        <v>26660.625720935201</v>
      </c>
      <c r="CO9" s="2813">
        <v>25081.725010711078</v>
      </c>
      <c r="CP9" s="2813">
        <v>25524.262442526884</v>
      </c>
      <c r="CQ9" s="2814">
        <v>20244.256524936201</v>
      </c>
      <c r="CR9" s="2920"/>
      <c r="CS9" s="2779"/>
      <c r="CT9" s="2780"/>
      <c r="CU9" s="2781"/>
      <c r="CW9" s="1169"/>
    </row>
    <row r="10" spans="1:101">
      <c r="B10" s="3313"/>
      <c r="C10" s="3314"/>
      <c r="D10" s="200" t="s">
        <v>16</v>
      </c>
      <c r="E10" s="206">
        <f>SUM(F10:Q10)</f>
        <v>226374</v>
      </c>
      <c r="F10" s="333">
        <v>16556</v>
      </c>
      <c r="G10" s="333">
        <v>17250</v>
      </c>
      <c r="H10" s="333">
        <v>17764</v>
      </c>
      <c r="I10" s="333">
        <v>19003</v>
      </c>
      <c r="J10" s="333">
        <v>21679</v>
      </c>
      <c r="K10" s="333">
        <v>18436</v>
      </c>
      <c r="L10" s="333">
        <v>17730</v>
      </c>
      <c r="M10" s="333">
        <v>21120</v>
      </c>
      <c r="N10" s="333">
        <v>17335</v>
      </c>
      <c r="O10" s="333">
        <v>19709</v>
      </c>
      <c r="P10" s="333">
        <v>21032</v>
      </c>
      <c r="Q10" s="667">
        <v>18760</v>
      </c>
      <c r="R10" s="206">
        <f>SUM(S10:AD10)</f>
        <v>228529</v>
      </c>
      <c r="S10" s="333">
        <v>18598</v>
      </c>
      <c r="T10" s="333">
        <v>17419</v>
      </c>
      <c r="U10" s="333">
        <v>18420</v>
      </c>
      <c r="V10" s="333">
        <v>18335</v>
      </c>
      <c r="W10" s="333">
        <v>17892</v>
      </c>
      <c r="X10" s="333">
        <v>18639</v>
      </c>
      <c r="Y10" s="333">
        <v>19016</v>
      </c>
      <c r="Z10" s="333">
        <v>23421</v>
      </c>
      <c r="AA10" s="333">
        <v>17823</v>
      </c>
      <c r="AB10" s="333">
        <v>22791</v>
      </c>
      <c r="AC10" s="333">
        <v>20001</v>
      </c>
      <c r="AD10" s="333">
        <v>16174</v>
      </c>
      <c r="AE10" s="206">
        <f>SUM(AF10:AQ10)</f>
        <v>203265</v>
      </c>
      <c r="AF10" s="1175">
        <v>16572</v>
      </c>
      <c r="AG10" s="1176">
        <v>16960</v>
      </c>
      <c r="AH10" s="1176">
        <v>15494</v>
      </c>
      <c r="AI10" s="1176">
        <v>16210</v>
      </c>
      <c r="AJ10" s="1176">
        <v>16042</v>
      </c>
      <c r="AK10" s="1176">
        <v>18335</v>
      </c>
      <c r="AL10" s="1176">
        <v>14993</v>
      </c>
      <c r="AM10" s="1176">
        <v>22279</v>
      </c>
      <c r="AN10" s="1176">
        <v>14757</v>
      </c>
      <c r="AO10" s="1176">
        <v>22334</v>
      </c>
      <c r="AP10" s="1176">
        <v>15928</v>
      </c>
      <c r="AQ10" s="1177">
        <v>13361</v>
      </c>
      <c r="AR10" s="206">
        <f t="shared" ref="AR10:AR18" si="9">SUM(AS10:BD10)</f>
        <v>191220</v>
      </c>
      <c r="AS10" s="333">
        <v>14488</v>
      </c>
      <c r="AT10" s="333">
        <v>20071</v>
      </c>
      <c r="AU10" s="333">
        <v>15575</v>
      </c>
      <c r="AV10" s="333">
        <v>14832</v>
      </c>
      <c r="AW10" s="333">
        <v>16388</v>
      </c>
      <c r="AX10" s="333">
        <v>15200</v>
      </c>
      <c r="AY10" s="333">
        <v>13551</v>
      </c>
      <c r="AZ10" s="333">
        <v>23525</v>
      </c>
      <c r="BA10" s="333">
        <v>11140</v>
      </c>
      <c r="BB10" s="333">
        <v>20791</v>
      </c>
      <c r="BC10" s="333">
        <v>13845</v>
      </c>
      <c r="BD10" s="459">
        <v>11814</v>
      </c>
      <c r="BE10" s="206">
        <f t="shared" ref="BE10:BE21" si="10">SUM(BF10:BQ10)</f>
        <v>189823</v>
      </c>
      <c r="BF10" s="1796">
        <v>21975</v>
      </c>
      <c r="BG10" s="1796">
        <v>13403</v>
      </c>
      <c r="BH10" s="1796">
        <v>14709</v>
      </c>
      <c r="BI10" s="1796">
        <v>14808</v>
      </c>
      <c r="BJ10" s="1796">
        <v>15108</v>
      </c>
      <c r="BK10" s="1796">
        <v>13561</v>
      </c>
      <c r="BL10" s="1796">
        <v>21080</v>
      </c>
      <c r="BM10" s="1796">
        <v>15067</v>
      </c>
      <c r="BN10" s="1796">
        <v>19438</v>
      </c>
      <c r="BO10" s="1796">
        <v>15070</v>
      </c>
      <c r="BP10" s="1796">
        <v>13711</v>
      </c>
      <c r="BQ10" s="1797">
        <v>11893</v>
      </c>
      <c r="BR10" s="206">
        <f t="shared" ref="BR10:BR18" si="11">SUM(BS10:CD10)</f>
        <v>196898</v>
      </c>
      <c r="BS10" s="1796">
        <v>10617</v>
      </c>
      <c r="BT10" s="1796">
        <v>23153</v>
      </c>
      <c r="BU10" s="1796">
        <v>15414</v>
      </c>
      <c r="BV10" s="1796">
        <v>16124</v>
      </c>
      <c r="BW10" s="1796">
        <v>19052</v>
      </c>
      <c r="BX10" s="1796">
        <v>15091.999999999998</v>
      </c>
      <c r="BY10" s="1796">
        <v>23066</v>
      </c>
      <c r="BZ10" s="1796">
        <v>15610</v>
      </c>
      <c r="CA10" s="1796">
        <v>21456</v>
      </c>
      <c r="CB10" s="1796">
        <v>13847</v>
      </c>
      <c r="CC10" s="1796">
        <v>12205</v>
      </c>
      <c r="CD10" s="1797">
        <v>11262</v>
      </c>
      <c r="CE10" s="206">
        <f t="shared" ref="CE10:CE18" si="12">SUM(CF10:CQ10)</f>
        <v>206258.93250445407</v>
      </c>
      <c r="CF10" s="2815">
        <v>18070.277251893101</v>
      </c>
      <c r="CG10" s="2815">
        <v>14605.130716793701</v>
      </c>
      <c r="CH10" s="2815">
        <v>21966.103392152301</v>
      </c>
      <c r="CI10" s="2815">
        <v>16105.944435656022</v>
      </c>
      <c r="CJ10" s="2815">
        <v>16333.874325461229</v>
      </c>
      <c r="CK10" s="2815">
        <v>14744.97176029738</v>
      </c>
      <c r="CL10" s="2815">
        <v>22498.992455989577</v>
      </c>
      <c r="CM10" s="2815">
        <v>16402.143181344916</v>
      </c>
      <c r="CN10" s="2815">
        <v>21173.255319151547</v>
      </c>
      <c r="CO10" s="2815">
        <v>15405.4465130812</v>
      </c>
      <c r="CP10" s="2815">
        <v>14958.587212578592</v>
      </c>
      <c r="CQ10" s="2473">
        <v>13994.2059400545</v>
      </c>
      <c r="CR10" s="2920"/>
      <c r="CS10" s="2779"/>
      <c r="CT10" s="2780"/>
      <c r="CU10" s="2781"/>
      <c r="CV10" s="1169"/>
      <c r="CW10" s="1169"/>
    </row>
    <row r="11" spans="1:101">
      <c r="B11" s="3313"/>
      <c r="C11" s="3314"/>
      <c r="D11" s="200" t="s">
        <v>575</v>
      </c>
      <c r="E11" s="206"/>
      <c r="F11" s="333"/>
      <c r="G11" s="333"/>
      <c r="H11" s="333"/>
      <c r="I11" s="333"/>
      <c r="J11" s="333"/>
      <c r="K11" s="333"/>
      <c r="L11" s="333"/>
      <c r="M11" s="333"/>
      <c r="N11" s="333"/>
      <c r="O11" s="333"/>
      <c r="P11" s="333"/>
      <c r="Q11" s="667"/>
      <c r="R11" s="206"/>
      <c r="S11" s="333"/>
      <c r="T11" s="333"/>
      <c r="U11" s="333"/>
      <c r="V11" s="333"/>
      <c r="W11" s="333"/>
      <c r="X11" s="333"/>
      <c r="Y11" s="333"/>
      <c r="Z11" s="333"/>
      <c r="AA11" s="333"/>
      <c r="AB11" s="333"/>
      <c r="AC11" s="333"/>
      <c r="AD11" s="333"/>
      <c r="AE11" s="206"/>
      <c r="AF11" s="1175"/>
      <c r="AG11" s="1176"/>
      <c r="AH11" s="1176"/>
      <c r="AI11" s="1176"/>
      <c r="AJ11" s="1176"/>
      <c r="AK11" s="1176"/>
      <c r="AL11" s="1176"/>
      <c r="AM11" s="1176"/>
      <c r="AN11" s="1176"/>
      <c r="AO11" s="1176"/>
      <c r="AP11" s="1176"/>
      <c r="AQ11" s="1177"/>
      <c r="AR11" s="206"/>
      <c r="AS11" s="333"/>
      <c r="AT11" s="333"/>
      <c r="AU11" s="333"/>
      <c r="AV11" s="333"/>
      <c r="AW11" s="333"/>
      <c r="AX11" s="333"/>
      <c r="AY11" s="333"/>
      <c r="AZ11" s="333"/>
      <c r="BA11" s="333"/>
      <c r="BB11" s="333"/>
      <c r="BC11" s="333"/>
      <c r="BD11" s="459"/>
      <c r="BE11" s="206">
        <f t="shared" si="10"/>
        <v>0</v>
      </c>
      <c r="BF11" s="1796"/>
      <c r="BG11" s="1796"/>
      <c r="BH11" s="1796"/>
      <c r="BI11" s="1796"/>
      <c r="BJ11" s="1796"/>
      <c r="BK11" s="1796"/>
      <c r="BL11" s="1796"/>
      <c r="BM11" s="1796"/>
      <c r="BN11" s="1796"/>
      <c r="BO11" s="1796"/>
      <c r="BP11" s="1796"/>
      <c r="BQ11" s="1797"/>
      <c r="BR11" s="206">
        <f t="shared" si="11"/>
        <v>1938</v>
      </c>
      <c r="BS11" s="1796">
        <v>111.00000000000001</v>
      </c>
      <c r="BT11" s="1796">
        <v>343</v>
      </c>
      <c r="BU11" s="1796">
        <v>117</v>
      </c>
      <c r="BV11" s="1796">
        <v>122</v>
      </c>
      <c r="BW11" s="1796">
        <v>171</v>
      </c>
      <c r="BX11" s="1796">
        <v>123</v>
      </c>
      <c r="BY11" s="1796">
        <v>268</v>
      </c>
      <c r="BZ11" s="1796">
        <v>95</v>
      </c>
      <c r="CA11" s="1796">
        <v>198</v>
      </c>
      <c r="CB11" s="1796">
        <v>186</v>
      </c>
      <c r="CC11" s="1796">
        <v>130</v>
      </c>
      <c r="CD11" s="1797">
        <v>74</v>
      </c>
      <c r="CE11" s="206">
        <f t="shared" si="12"/>
        <v>2073.3729658990696</v>
      </c>
      <c r="CF11" s="2815">
        <v>200</v>
      </c>
      <c r="CG11" s="2815">
        <v>141.59216340604672</v>
      </c>
      <c r="CH11" s="2815">
        <v>342.63858905316903</v>
      </c>
      <c r="CI11" s="2815">
        <v>139.65570805972791</v>
      </c>
      <c r="CJ11" s="2815">
        <v>156.74693506732399</v>
      </c>
      <c r="CK11" s="2815">
        <v>148.80042697824999</v>
      </c>
      <c r="CL11" s="2815">
        <v>306.78467016399242</v>
      </c>
      <c r="CM11" s="2815">
        <v>141.59216340604672</v>
      </c>
      <c r="CN11" s="2815">
        <v>173.05708860739</v>
      </c>
      <c r="CO11" s="2815">
        <v>141.59216340604672</v>
      </c>
      <c r="CP11" s="2815">
        <v>104.33106777287649</v>
      </c>
      <c r="CQ11" s="2473">
        <f>76.1782399611479+0.403750017052062</f>
        <v>76.581989978199957</v>
      </c>
      <c r="CR11" s="2920"/>
      <c r="CS11" s="2779"/>
      <c r="CT11" s="2780"/>
      <c r="CU11" s="2781"/>
    </row>
    <row r="12" spans="1:101" hidden="1">
      <c r="B12" s="3313"/>
      <c r="C12" s="3314"/>
      <c r="D12" s="201" t="s">
        <v>49</v>
      </c>
      <c r="E12" s="206">
        <f>SUM(F12:Q12)</f>
        <v>0</v>
      </c>
      <c r="F12" s="333"/>
      <c r="G12" s="355"/>
      <c r="H12" s="355"/>
      <c r="I12" s="355"/>
      <c r="J12" s="355"/>
      <c r="K12" s="355"/>
      <c r="L12" s="355"/>
      <c r="M12" s="355"/>
      <c r="N12" s="355"/>
      <c r="O12" s="355"/>
      <c r="P12" s="355"/>
      <c r="Q12" s="459"/>
      <c r="R12" s="206">
        <f>SUM(S12:AD12)</f>
        <v>0</v>
      </c>
      <c r="S12" s="333"/>
      <c r="T12" s="355"/>
      <c r="U12" s="355"/>
      <c r="V12" s="355"/>
      <c r="W12" s="355"/>
      <c r="X12" s="355"/>
      <c r="Y12" s="355"/>
      <c r="Z12" s="355"/>
      <c r="AA12" s="355"/>
      <c r="AB12" s="355"/>
      <c r="AC12" s="355"/>
      <c r="AD12" s="355"/>
      <c r="AE12" s="206">
        <f>SUM(AF12:AQ12)</f>
        <v>0</v>
      </c>
      <c r="AF12" s="1178"/>
      <c r="AG12" s="1176"/>
      <c r="AH12" s="1176"/>
      <c r="AI12" s="1176"/>
      <c r="AJ12" s="1176"/>
      <c r="AK12" s="1176"/>
      <c r="AL12" s="1176"/>
      <c r="AM12" s="1176"/>
      <c r="AN12" s="1176"/>
      <c r="AO12" s="1176"/>
      <c r="AP12" s="1176"/>
      <c r="AQ12" s="1177"/>
      <c r="AR12" s="206">
        <f t="shared" si="9"/>
        <v>0</v>
      </c>
      <c r="AS12" s="355"/>
      <c r="AT12" s="355"/>
      <c r="AU12" s="355"/>
      <c r="AV12" s="355"/>
      <c r="AW12" s="355"/>
      <c r="AX12" s="355"/>
      <c r="AY12" s="355"/>
      <c r="AZ12" s="355"/>
      <c r="BA12" s="355"/>
      <c r="BB12" s="355"/>
      <c r="BC12" s="355"/>
      <c r="BD12" s="459"/>
      <c r="BE12" s="206">
        <f t="shared" si="10"/>
        <v>0</v>
      </c>
      <c r="BF12" s="1798"/>
      <c r="BG12" s="1798"/>
      <c r="BH12" s="1798"/>
      <c r="BI12" s="1798"/>
      <c r="BJ12" s="1798"/>
      <c r="BK12" s="1798"/>
      <c r="BL12" s="1798"/>
      <c r="BM12" s="1798"/>
      <c r="BN12" s="1798"/>
      <c r="BO12" s="1798"/>
      <c r="BP12" s="1798"/>
      <c r="BQ12" s="1797"/>
      <c r="BR12" s="206">
        <f t="shared" si="11"/>
        <v>0</v>
      </c>
      <c r="BS12" s="1798"/>
      <c r="BT12" s="1798"/>
      <c r="BU12" s="1798"/>
      <c r="BV12" s="1798"/>
      <c r="BW12" s="1798"/>
      <c r="BX12" s="1798"/>
      <c r="BY12" s="1798"/>
      <c r="BZ12" s="1798"/>
      <c r="CA12" s="1798"/>
      <c r="CB12" s="1798"/>
      <c r="CC12" s="1798"/>
      <c r="CD12" s="1797"/>
      <c r="CE12" s="206">
        <f t="shared" si="12"/>
        <v>0</v>
      </c>
      <c r="CF12" s="2472">
        <v>0</v>
      </c>
      <c r="CG12" s="2472">
        <v>0</v>
      </c>
      <c r="CH12" s="2472">
        <v>0</v>
      </c>
      <c r="CI12" s="2472">
        <v>0</v>
      </c>
      <c r="CJ12" s="2472">
        <v>0</v>
      </c>
      <c r="CK12" s="2472">
        <v>0</v>
      </c>
      <c r="CL12" s="2472">
        <v>0</v>
      </c>
      <c r="CM12" s="2472">
        <v>0</v>
      </c>
      <c r="CN12" s="2472">
        <v>0</v>
      </c>
      <c r="CO12" s="2472">
        <v>0</v>
      </c>
      <c r="CP12" s="2472">
        <v>0</v>
      </c>
      <c r="CQ12" s="2473">
        <v>0</v>
      </c>
      <c r="CR12" s="2920"/>
      <c r="CS12" s="2782"/>
      <c r="CT12" s="2780"/>
      <c r="CU12" s="2781"/>
    </row>
    <row r="13" spans="1:101" hidden="1">
      <c r="B13" s="3313"/>
      <c r="C13" s="3314"/>
      <c r="D13" s="200" t="s">
        <v>47</v>
      </c>
      <c r="E13" s="515">
        <f>SUM(F13:Q13)</f>
        <v>3061</v>
      </c>
      <c r="F13" s="333">
        <v>1120</v>
      </c>
      <c r="G13" s="355">
        <v>991</v>
      </c>
      <c r="H13" s="355">
        <v>738</v>
      </c>
      <c r="I13" s="355">
        <v>212</v>
      </c>
      <c r="J13" s="355">
        <v>0</v>
      </c>
      <c r="K13" s="355">
        <v>0</v>
      </c>
      <c r="L13" s="355">
        <v>0</v>
      </c>
      <c r="M13" s="355">
        <v>0</v>
      </c>
      <c r="N13" s="355">
        <v>0</v>
      </c>
      <c r="O13" s="355">
        <v>0</v>
      </c>
      <c r="P13" s="355"/>
      <c r="Q13" s="459"/>
      <c r="R13" s="515"/>
      <c r="S13" s="333"/>
      <c r="T13" s="355"/>
      <c r="U13" s="355"/>
      <c r="V13" s="355"/>
      <c r="W13" s="355"/>
      <c r="X13" s="355"/>
      <c r="Y13" s="355"/>
      <c r="Z13" s="355"/>
      <c r="AA13" s="355"/>
      <c r="AB13" s="355"/>
      <c r="AC13" s="355"/>
      <c r="AD13" s="355"/>
      <c r="AE13" s="515"/>
      <c r="AF13" s="1178"/>
      <c r="AG13" s="1176"/>
      <c r="AH13" s="1176"/>
      <c r="AI13" s="1176"/>
      <c r="AJ13" s="1176"/>
      <c r="AK13" s="1176"/>
      <c r="AL13" s="1176"/>
      <c r="AM13" s="1176"/>
      <c r="AN13" s="1176"/>
      <c r="AO13" s="1176"/>
      <c r="AP13" s="1176"/>
      <c r="AQ13" s="1177"/>
      <c r="AR13" s="206">
        <f>SUM(AS13:BD13)</f>
        <v>0</v>
      </c>
      <c r="AS13" s="355"/>
      <c r="AT13" s="355"/>
      <c r="AU13" s="355"/>
      <c r="AV13" s="355"/>
      <c r="AW13" s="355"/>
      <c r="AX13" s="355"/>
      <c r="AY13" s="355"/>
      <c r="AZ13" s="355"/>
      <c r="BA13" s="355"/>
      <c r="BB13" s="355"/>
      <c r="BC13" s="355"/>
      <c r="BD13" s="459"/>
      <c r="BE13" s="206">
        <f t="shared" si="10"/>
        <v>0</v>
      </c>
      <c r="BF13" s="1798"/>
      <c r="BG13" s="1798"/>
      <c r="BH13" s="1798"/>
      <c r="BI13" s="1798"/>
      <c r="BJ13" s="1798"/>
      <c r="BK13" s="1798"/>
      <c r="BL13" s="1798"/>
      <c r="BM13" s="1798"/>
      <c r="BN13" s="1798"/>
      <c r="BO13" s="1798"/>
      <c r="BP13" s="1798"/>
      <c r="BQ13" s="1797"/>
      <c r="BR13" s="206">
        <f t="shared" si="11"/>
        <v>0</v>
      </c>
      <c r="BS13" s="1798"/>
      <c r="BT13" s="1798"/>
      <c r="BU13" s="1798"/>
      <c r="BV13" s="1798"/>
      <c r="BW13" s="1798"/>
      <c r="BX13" s="1798"/>
      <c r="BY13" s="1798"/>
      <c r="BZ13" s="1798"/>
      <c r="CA13" s="1798"/>
      <c r="CB13" s="1798"/>
      <c r="CC13" s="1798"/>
      <c r="CD13" s="1797"/>
      <c r="CE13" s="206">
        <f t="shared" si="12"/>
        <v>0</v>
      </c>
      <c r="CF13" s="2472">
        <v>0</v>
      </c>
      <c r="CG13" s="2472">
        <v>0</v>
      </c>
      <c r="CH13" s="2472">
        <v>0</v>
      </c>
      <c r="CI13" s="2472">
        <v>0</v>
      </c>
      <c r="CJ13" s="2472">
        <v>0</v>
      </c>
      <c r="CK13" s="2472">
        <v>0</v>
      </c>
      <c r="CL13" s="2472">
        <v>0</v>
      </c>
      <c r="CM13" s="2472">
        <v>0</v>
      </c>
      <c r="CN13" s="2472">
        <v>0</v>
      </c>
      <c r="CO13" s="2472">
        <v>0</v>
      </c>
      <c r="CP13" s="2472">
        <v>0</v>
      </c>
      <c r="CQ13" s="2473">
        <v>0</v>
      </c>
      <c r="CR13" s="2920"/>
      <c r="CS13" s="2782"/>
      <c r="CT13" s="2780"/>
      <c r="CU13" s="2781"/>
    </row>
    <row r="14" spans="1:101">
      <c r="B14" s="3313"/>
      <c r="C14" s="3314"/>
      <c r="D14" s="201" t="s">
        <v>724</v>
      </c>
      <c r="E14" s="206">
        <f t="shared" ref="E14:E17" si="13">SUM(F14:Q14)</f>
        <v>46424</v>
      </c>
      <c r="F14" s="333">
        <v>1820</v>
      </c>
      <c r="G14" s="355">
        <v>2818</v>
      </c>
      <c r="H14" s="355">
        <v>2933</v>
      </c>
      <c r="I14" s="355">
        <v>2318</v>
      </c>
      <c r="J14" s="355">
        <v>6356</v>
      </c>
      <c r="K14" s="355">
        <v>2774</v>
      </c>
      <c r="L14" s="355">
        <v>3853</v>
      </c>
      <c r="M14" s="355">
        <v>4795</v>
      </c>
      <c r="N14" s="355">
        <v>2961</v>
      </c>
      <c r="O14" s="355">
        <v>4887</v>
      </c>
      <c r="P14" s="355">
        <v>6848</v>
      </c>
      <c r="Q14" s="459">
        <v>4061</v>
      </c>
      <c r="R14" s="206">
        <f t="shared" ref="R14:R16" si="14">SUM(S14:AD14)</f>
        <v>42733</v>
      </c>
      <c r="S14" s="333">
        <v>3949</v>
      </c>
      <c r="T14" s="333">
        <v>3453</v>
      </c>
      <c r="U14" s="333">
        <v>4124</v>
      </c>
      <c r="V14" s="333">
        <v>3806</v>
      </c>
      <c r="W14" s="333">
        <v>2808</v>
      </c>
      <c r="X14" s="333">
        <v>2338</v>
      </c>
      <c r="Y14" s="333">
        <v>1863</v>
      </c>
      <c r="Z14" s="333">
        <v>4787</v>
      </c>
      <c r="AA14" s="333">
        <v>2635</v>
      </c>
      <c r="AB14" s="333">
        <v>8575</v>
      </c>
      <c r="AC14" s="333">
        <v>2668</v>
      </c>
      <c r="AD14" s="333">
        <v>1727</v>
      </c>
      <c r="AE14" s="206">
        <f t="shared" ref="AE14:AE18" si="15">SUM(AF14:AQ14)</f>
        <v>35706</v>
      </c>
      <c r="AF14" s="1175">
        <v>1644</v>
      </c>
      <c r="AG14" s="1176">
        <v>3483</v>
      </c>
      <c r="AH14" s="1176">
        <v>3248</v>
      </c>
      <c r="AI14" s="1176">
        <v>2005</v>
      </c>
      <c r="AJ14" s="1176">
        <v>3218</v>
      </c>
      <c r="AK14" s="1176">
        <v>1663</v>
      </c>
      <c r="AL14" s="1176">
        <v>1475</v>
      </c>
      <c r="AM14" s="1176">
        <v>3038</v>
      </c>
      <c r="AN14" s="1176">
        <v>1475</v>
      </c>
      <c r="AO14" s="1176">
        <v>9114</v>
      </c>
      <c r="AP14" s="1176">
        <v>3364</v>
      </c>
      <c r="AQ14" s="1177">
        <v>1979</v>
      </c>
      <c r="AR14" s="206">
        <f t="shared" si="9"/>
        <v>44735</v>
      </c>
      <c r="AS14" s="333">
        <v>2256</v>
      </c>
      <c r="AT14" s="333">
        <v>2712</v>
      </c>
      <c r="AU14" s="333">
        <v>1734</v>
      </c>
      <c r="AV14" s="333">
        <v>2194</v>
      </c>
      <c r="AW14" s="333">
        <v>3300</v>
      </c>
      <c r="AX14" s="333">
        <v>2558</v>
      </c>
      <c r="AY14" s="333">
        <v>2132</v>
      </c>
      <c r="AZ14" s="333">
        <v>4555</v>
      </c>
      <c r="BA14" s="333">
        <v>1830</v>
      </c>
      <c r="BB14" s="333">
        <v>14944</v>
      </c>
      <c r="BC14" s="333">
        <v>4000</v>
      </c>
      <c r="BD14" s="459">
        <v>2520</v>
      </c>
      <c r="BE14" s="206">
        <f t="shared" si="10"/>
        <v>89761</v>
      </c>
      <c r="BF14" s="1796">
        <v>7410</v>
      </c>
      <c r="BG14" s="1796">
        <v>5611</v>
      </c>
      <c r="BH14" s="1796">
        <v>3529</v>
      </c>
      <c r="BI14" s="1796">
        <v>5237</v>
      </c>
      <c r="BJ14" s="1796">
        <v>5041</v>
      </c>
      <c r="BK14" s="1796">
        <v>3190</v>
      </c>
      <c r="BL14" s="1796">
        <v>8450</v>
      </c>
      <c r="BM14" s="1796">
        <v>5618</v>
      </c>
      <c r="BN14" s="1796">
        <v>19347</v>
      </c>
      <c r="BO14" s="1796">
        <v>14326</v>
      </c>
      <c r="BP14" s="1796">
        <v>6358</v>
      </c>
      <c r="BQ14" s="1797">
        <v>5644</v>
      </c>
      <c r="BR14" s="206">
        <f t="shared" si="11"/>
        <v>125728</v>
      </c>
      <c r="BS14" s="1796">
        <v>5268</v>
      </c>
      <c r="BT14" s="1796">
        <v>16880</v>
      </c>
      <c r="BU14" s="1796">
        <v>7402</v>
      </c>
      <c r="BV14" s="1796">
        <v>7722</v>
      </c>
      <c r="BW14" s="1796">
        <v>9478</v>
      </c>
      <c r="BX14" s="1796">
        <v>7562</v>
      </c>
      <c r="BY14" s="1796">
        <v>12735</v>
      </c>
      <c r="BZ14" s="1796">
        <v>9472</v>
      </c>
      <c r="CA14" s="1796">
        <v>19886</v>
      </c>
      <c r="CB14" s="1796">
        <v>11925</v>
      </c>
      <c r="CC14" s="1796">
        <v>8605</v>
      </c>
      <c r="CD14" s="1797">
        <v>8793</v>
      </c>
      <c r="CE14" s="206">
        <f t="shared" si="12"/>
        <v>137971.85825048512</v>
      </c>
      <c r="CF14" s="2815">
        <v>9644.3980460223502</v>
      </c>
      <c r="CG14" s="2815">
        <v>9775.63502298407</v>
      </c>
      <c r="CH14" s="2815">
        <v>13727.2413734861</v>
      </c>
      <c r="CI14" s="2815">
        <v>9420.2207949615495</v>
      </c>
      <c r="CJ14" s="2815">
        <v>9181.8708334809417</v>
      </c>
      <c r="CK14" s="2815">
        <v>9851.5376598502007</v>
      </c>
      <c r="CL14" s="2815">
        <v>13144.512415466201</v>
      </c>
      <c r="CM14" s="2815">
        <v>11408.076577883474</v>
      </c>
      <c r="CN14" s="2815">
        <v>18994.514862059201</v>
      </c>
      <c r="CO14" s="2815">
        <v>12679.513456712601</v>
      </c>
      <c r="CP14" s="2815">
        <v>10325.093844841131</v>
      </c>
      <c r="CQ14" s="2473">
        <v>9819.2433627373102</v>
      </c>
      <c r="CR14" s="2920"/>
      <c r="CS14" s="2779"/>
      <c r="CT14" s="2780"/>
      <c r="CU14" s="2781"/>
    </row>
    <row r="15" spans="1:101">
      <c r="B15" s="3313"/>
      <c r="C15" s="3313"/>
      <c r="D15" s="682" t="s">
        <v>331</v>
      </c>
      <c r="E15" s="206">
        <f t="shared" si="13"/>
        <v>14029</v>
      </c>
      <c r="F15" s="333">
        <v>885</v>
      </c>
      <c r="G15" s="355">
        <v>737</v>
      </c>
      <c r="H15" s="355">
        <v>666</v>
      </c>
      <c r="I15" s="355">
        <v>1126</v>
      </c>
      <c r="J15" s="355">
        <v>875</v>
      </c>
      <c r="K15" s="355">
        <v>1250</v>
      </c>
      <c r="L15" s="355">
        <v>1345</v>
      </c>
      <c r="M15" s="355">
        <v>1367</v>
      </c>
      <c r="N15" s="355">
        <v>1043</v>
      </c>
      <c r="O15" s="355">
        <v>1871</v>
      </c>
      <c r="P15" s="355">
        <v>1670</v>
      </c>
      <c r="Q15" s="459">
        <v>1194</v>
      </c>
      <c r="R15" s="206">
        <f t="shared" si="14"/>
        <v>17653</v>
      </c>
      <c r="S15" s="333">
        <v>1638</v>
      </c>
      <c r="T15" s="333">
        <v>1472</v>
      </c>
      <c r="U15" s="333">
        <v>1770</v>
      </c>
      <c r="V15" s="333">
        <v>1115</v>
      </c>
      <c r="W15" s="333">
        <v>1157</v>
      </c>
      <c r="X15" s="333">
        <v>1397</v>
      </c>
      <c r="Y15" s="333">
        <v>1417</v>
      </c>
      <c r="Z15" s="333">
        <v>1664</v>
      </c>
      <c r="AA15" s="333">
        <v>1855</v>
      </c>
      <c r="AB15" s="333">
        <v>1829</v>
      </c>
      <c r="AC15" s="333">
        <v>1086</v>
      </c>
      <c r="AD15" s="333">
        <v>1253</v>
      </c>
      <c r="AE15" s="206">
        <f t="shared" si="15"/>
        <v>23545</v>
      </c>
      <c r="AF15" s="1175">
        <v>1437</v>
      </c>
      <c r="AG15" s="1176">
        <v>2171</v>
      </c>
      <c r="AH15" s="1176">
        <v>2396</v>
      </c>
      <c r="AI15" s="1176">
        <v>2674</v>
      </c>
      <c r="AJ15" s="1176">
        <v>1964</v>
      </c>
      <c r="AK15" s="1176">
        <v>1879</v>
      </c>
      <c r="AL15" s="1176">
        <v>1652</v>
      </c>
      <c r="AM15" s="1176">
        <v>2406</v>
      </c>
      <c r="AN15" s="1176">
        <v>2426</v>
      </c>
      <c r="AO15" s="1176">
        <v>2199</v>
      </c>
      <c r="AP15" s="1176">
        <v>1490</v>
      </c>
      <c r="AQ15" s="1177">
        <v>851</v>
      </c>
      <c r="AR15" s="206">
        <f t="shared" si="9"/>
        <v>14135</v>
      </c>
      <c r="AS15" s="333">
        <v>1095</v>
      </c>
      <c r="AT15" s="333">
        <v>1780</v>
      </c>
      <c r="AU15" s="333">
        <v>1231</v>
      </c>
      <c r="AV15" s="333">
        <v>756</v>
      </c>
      <c r="AW15" s="333">
        <v>1312</v>
      </c>
      <c r="AX15" s="333">
        <v>1538</v>
      </c>
      <c r="AY15" s="333">
        <v>1554</v>
      </c>
      <c r="AZ15" s="333">
        <v>2158</v>
      </c>
      <c r="BA15" s="333">
        <v>487</v>
      </c>
      <c r="BB15" s="333">
        <v>1000</v>
      </c>
      <c r="BC15" s="333">
        <v>537</v>
      </c>
      <c r="BD15" s="459">
        <v>687</v>
      </c>
      <c r="BE15" s="206">
        <f t="shared" si="10"/>
        <v>12334</v>
      </c>
      <c r="BF15" s="1796">
        <v>1385</v>
      </c>
      <c r="BG15" s="1796">
        <v>1009</v>
      </c>
      <c r="BH15" s="1796">
        <v>1180</v>
      </c>
      <c r="BI15" s="1796">
        <v>1383</v>
      </c>
      <c r="BJ15" s="1796">
        <v>1477</v>
      </c>
      <c r="BK15" s="1796">
        <v>767</v>
      </c>
      <c r="BL15" s="1796">
        <v>1084</v>
      </c>
      <c r="BM15" s="1796">
        <v>1284</v>
      </c>
      <c r="BN15" s="1796">
        <v>871</v>
      </c>
      <c r="BO15" s="1796">
        <v>805</v>
      </c>
      <c r="BP15" s="1796">
        <v>598</v>
      </c>
      <c r="BQ15" s="1797">
        <v>491</v>
      </c>
      <c r="BR15" s="206">
        <f t="shared" si="11"/>
        <v>562</v>
      </c>
      <c r="BS15" s="1796">
        <v>116</v>
      </c>
      <c r="BT15" s="1796">
        <v>35</v>
      </c>
      <c r="BU15" s="1796">
        <v>6</v>
      </c>
      <c r="BV15" s="1796">
        <v>91</v>
      </c>
      <c r="BW15" s="1796">
        <v>314</v>
      </c>
      <c r="BX15" s="1796"/>
      <c r="BY15" s="1796"/>
      <c r="BZ15" s="1796"/>
      <c r="CA15" s="1796"/>
      <c r="CB15" s="1796"/>
      <c r="CC15" s="1796"/>
      <c r="CD15" s="1797"/>
      <c r="CE15" s="206">
        <f t="shared" si="12"/>
        <v>0</v>
      </c>
      <c r="CF15" s="2815"/>
      <c r="CG15" s="2815"/>
      <c r="CH15" s="2815"/>
      <c r="CI15" s="2815"/>
      <c r="CJ15" s="2815"/>
      <c r="CK15" s="2815"/>
      <c r="CL15" s="2815"/>
      <c r="CM15" s="2815"/>
      <c r="CN15" s="2815"/>
      <c r="CO15" s="2815"/>
      <c r="CP15" s="2815"/>
      <c r="CQ15" s="2473"/>
      <c r="CR15" s="2920"/>
      <c r="CS15" s="2782"/>
      <c r="CT15" s="2780"/>
      <c r="CU15" s="2780"/>
    </row>
    <row r="16" spans="1:101">
      <c r="B16" s="3313"/>
      <c r="C16" s="3314"/>
      <c r="D16" s="201" t="s">
        <v>18</v>
      </c>
      <c r="E16" s="206">
        <f t="shared" si="13"/>
        <v>4414</v>
      </c>
      <c r="F16" s="333">
        <v>104</v>
      </c>
      <c r="G16" s="355">
        <v>120</v>
      </c>
      <c r="H16" s="355">
        <v>305</v>
      </c>
      <c r="I16" s="355">
        <v>189</v>
      </c>
      <c r="J16" s="355">
        <v>350</v>
      </c>
      <c r="K16" s="355">
        <v>364</v>
      </c>
      <c r="L16" s="355">
        <v>279</v>
      </c>
      <c r="M16" s="355">
        <v>275</v>
      </c>
      <c r="N16" s="355">
        <v>1501</v>
      </c>
      <c r="O16" s="355">
        <f>954-769</f>
        <v>185</v>
      </c>
      <c r="P16" s="355">
        <f>3803-3469</f>
        <v>334</v>
      </c>
      <c r="Q16" s="459">
        <v>408</v>
      </c>
      <c r="R16" s="206">
        <f t="shared" si="14"/>
        <v>5563</v>
      </c>
      <c r="S16" s="333">
        <v>233</v>
      </c>
      <c r="T16" s="355">
        <v>106</v>
      </c>
      <c r="U16" s="355">
        <v>171</v>
      </c>
      <c r="V16" s="355">
        <v>385</v>
      </c>
      <c r="W16" s="355">
        <v>1037</v>
      </c>
      <c r="X16" s="355">
        <v>441</v>
      </c>
      <c r="Y16" s="355">
        <v>388</v>
      </c>
      <c r="Z16" s="355">
        <v>612</v>
      </c>
      <c r="AA16" s="355">
        <v>532</v>
      </c>
      <c r="AB16" s="355">
        <v>521</v>
      </c>
      <c r="AC16" s="355">
        <v>780</v>
      </c>
      <c r="AD16" s="355">
        <v>357</v>
      </c>
      <c r="AE16" s="206">
        <f t="shared" si="15"/>
        <v>8759</v>
      </c>
      <c r="AF16" s="1178">
        <v>214</v>
      </c>
      <c r="AG16" s="1176">
        <v>381</v>
      </c>
      <c r="AH16" s="1176">
        <v>228</v>
      </c>
      <c r="AI16" s="1176">
        <v>140</v>
      </c>
      <c r="AJ16" s="1176">
        <v>244</v>
      </c>
      <c r="AK16" s="1176">
        <v>266</v>
      </c>
      <c r="AL16" s="1176">
        <v>449</v>
      </c>
      <c r="AM16" s="1176">
        <v>578</v>
      </c>
      <c r="AN16" s="1176">
        <v>3394</v>
      </c>
      <c r="AO16" s="1176">
        <v>2515</v>
      </c>
      <c r="AP16" s="1176">
        <v>254</v>
      </c>
      <c r="AQ16" s="1177">
        <v>96</v>
      </c>
      <c r="AR16" s="206">
        <f t="shared" si="9"/>
        <v>11811.026543727299</v>
      </c>
      <c r="AS16" s="355">
        <v>318.62754959485892</v>
      </c>
      <c r="AT16" s="355">
        <v>275.01313215982117</v>
      </c>
      <c r="AU16" s="355">
        <v>199.89941324392288</v>
      </c>
      <c r="AV16" s="355">
        <v>203.53394803017602</v>
      </c>
      <c r="AW16" s="355">
        <v>168.40011176306231</v>
      </c>
      <c r="AX16" s="355">
        <v>144.16987985470803</v>
      </c>
      <c r="AY16" s="355">
        <v>144.16987985470803</v>
      </c>
      <c r="AZ16" s="355">
        <v>399.79882648784576</v>
      </c>
      <c r="BA16" s="355">
        <v>4437.7669740150877</v>
      </c>
      <c r="BB16" s="355">
        <v>4901.7759150600732</v>
      </c>
      <c r="BC16" s="355">
        <v>328.31964235820061</v>
      </c>
      <c r="BD16" s="459">
        <v>289.55127130483373</v>
      </c>
      <c r="BE16" s="206">
        <f t="shared" si="10"/>
        <v>9548</v>
      </c>
      <c r="BF16" s="1798">
        <v>627</v>
      </c>
      <c r="BG16" s="1798">
        <v>183</v>
      </c>
      <c r="BH16" s="1798">
        <v>145</v>
      </c>
      <c r="BI16" s="1798">
        <v>1450</v>
      </c>
      <c r="BJ16" s="1798">
        <v>216</v>
      </c>
      <c r="BK16" s="1798">
        <v>189</v>
      </c>
      <c r="BL16" s="1798">
        <v>662</v>
      </c>
      <c r="BM16" s="1798">
        <v>322</v>
      </c>
      <c r="BN16" s="1798">
        <v>549</v>
      </c>
      <c r="BO16" s="1798">
        <v>4305</v>
      </c>
      <c r="BP16" s="1798">
        <v>784</v>
      </c>
      <c r="BQ16" s="1797">
        <v>116</v>
      </c>
      <c r="BR16" s="206">
        <f t="shared" si="11"/>
        <v>9627</v>
      </c>
      <c r="BS16" s="1798">
        <v>151</v>
      </c>
      <c r="BT16" s="1798">
        <v>578</v>
      </c>
      <c r="BU16" s="1798">
        <v>792</v>
      </c>
      <c r="BV16" s="1798">
        <v>213</v>
      </c>
      <c r="BW16" s="1798">
        <v>259</v>
      </c>
      <c r="BX16" s="1798">
        <v>246</v>
      </c>
      <c r="BY16" s="1798">
        <v>609</v>
      </c>
      <c r="BZ16" s="1798">
        <v>152</v>
      </c>
      <c r="CA16" s="1798">
        <v>246</v>
      </c>
      <c r="CB16" s="1798">
        <v>3124</v>
      </c>
      <c r="CC16" s="1798">
        <v>3011</v>
      </c>
      <c r="CD16" s="1797">
        <v>246</v>
      </c>
      <c r="CE16" s="206">
        <f t="shared" si="12"/>
        <v>12013.499999999998</v>
      </c>
      <c r="CF16" s="2472">
        <v>971.04166666667004</v>
      </c>
      <c r="CG16" s="2472">
        <v>971.04166666666617</v>
      </c>
      <c r="CH16" s="2472">
        <v>721.04166666666617</v>
      </c>
      <c r="CI16" s="2472">
        <v>721.04166666666617</v>
      </c>
      <c r="CJ16" s="2472">
        <v>721.04166666666617</v>
      </c>
      <c r="CK16" s="2472">
        <v>721.04166666666617</v>
      </c>
      <c r="CL16" s="2472">
        <v>971.04166666666617</v>
      </c>
      <c r="CM16" s="2472">
        <v>721.04166666666617</v>
      </c>
      <c r="CN16" s="2472">
        <v>1751.5416666666663</v>
      </c>
      <c r="CO16" s="2472">
        <v>2301.5416666666661</v>
      </c>
      <c r="CP16" s="2472">
        <v>721.04166666666617</v>
      </c>
      <c r="CQ16" s="2473">
        <v>721.04166666666617</v>
      </c>
      <c r="CR16" s="2920"/>
      <c r="CS16" s="2779"/>
      <c r="CT16" s="2780"/>
      <c r="CU16" s="2781"/>
    </row>
    <row r="17" spans="1:99">
      <c r="B17" s="3313"/>
      <c r="C17" s="3314"/>
      <c r="D17" s="201" t="s">
        <v>679</v>
      </c>
      <c r="E17" s="206">
        <f t="shared" si="13"/>
        <v>25778</v>
      </c>
      <c r="F17" s="333">
        <v>1834</v>
      </c>
      <c r="G17" s="355">
        <v>2775</v>
      </c>
      <c r="H17" s="355">
        <v>2294</v>
      </c>
      <c r="I17" s="355">
        <v>1798</v>
      </c>
      <c r="J17" s="355">
        <v>2490</v>
      </c>
      <c r="K17" s="355">
        <v>1931</v>
      </c>
      <c r="L17" s="355">
        <v>2196</v>
      </c>
      <c r="M17" s="355">
        <v>2136</v>
      </c>
      <c r="N17" s="355">
        <v>2609</v>
      </c>
      <c r="O17" s="355">
        <v>1585</v>
      </c>
      <c r="P17" s="355">
        <v>1802</v>
      </c>
      <c r="Q17" s="459">
        <v>2328</v>
      </c>
      <c r="R17" s="206">
        <f t="shared" ref="R17:R18" si="16">SUM(S17:AD17)</f>
        <v>31317</v>
      </c>
      <c r="S17" s="333">
        <v>2526</v>
      </c>
      <c r="T17" s="355">
        <v>2543</v>
      </c>
      <c r="U17" s="355">
        <v>3316</v>
      </c>
      <c r="V17" s="355">
        <v>2683</v>
      </c>
      <c r="W17" s="355">
        <v>2564</v>
      </c>
      <c r="X17" s="355">
        <v>2662</v>
      </c>
      <c r="Y17" s="355">
        <v>1915</v>
      </c>
      <c r="Z17" s="355">
        <v>2646</v>
      </c>
      <c r="AA17" s="355">
        <v>2371</v>
      </c>
      <c r="AB17" s="355">
        <v>2297</v>
      </c>
      <c r="AC17" s="355">
        <v>3140</v>
      </c>
      <c r="AD17" s="355">
        <v>2654</v>
      </c>
      <c r="AE17" s="206">
        <f t="shared" si="15"/>
        <v>35035</v>
      </c>
      <c r="AF17" s="1178">
        <v>3615</v>
      </c>
      <c r="AG17" s="1176">
        <v>3956</v>
      </c>
      <c r="AH17" s="1176">
        <v>3401</v>
      </c>
      <c r="AI17" s="1176">
        <v>3194</v>
      </c>
      <c r="AJ17" s="1176">
        <v>3496</v>
      </c>
      <c r="AK17" s="1176">
        <v>3527</v>
      </c>
      <c r="AL17" s="1176">
        <v>2973</v>
      </c>
      <c r="AM17" s="1176">
        <v>1830</v>
      </c>
      <c r="AN17" s="1176">
        <v>2822</v>
      </c>
      <c r="AO17" s="1176">
        <v>2280</v>
      </c>
      <c r="AP17" s="1176">
        <v>2355</v>
      </c>
      <c r="AQ17" s="1177">
        <v>1586</v>
      </c>
      <c r="AR17" s="206">
        <f t="shared" si="9"/>
        <v>40220.973456272703</v>
      </c>
      <c r="AS17" s="355">
        <v>2705.3053925677564</v>
      </c>
      <c r="AT17" s="355">
        <v>4654.6275495948594</v>
      </c>
      <c r="AU17" s="355">
        <v>4334.7884884045825</v>
      </c>
      <c r="AV17" s="355">
        <v>3256.5431684828163</v>
      </c>
      <c r="AW17" s="355">
        <v>3649.0729253981558</v>
      </c>
      <c r="AX17" s="355">
        <v>4384.4604638167084</v>
      </c>
      <c r="AY17" s="355">
        <v>3747.205364626991</v>
      </c>
      <c r="AZ17" s="355">
        <v>3086.9315451243365</v>
      </c>
      <c r="BA17" s="355">
        <v>2343.06342553786</v>
      </c>
      <c r="BB17" s="355">
        <v>3443.1159541771444</v>
      </c>
      <c r="BC17" s="355">
        <v>2549.0203967588714</v>
      </c>
      <c r="BD17" s="355">
        <v>2066.838781782621</v>
      </c>
      <c r="BE17" s="206">
        <f t="shared" si="10"/>
        <v>14306</v>
      </c>
      <c r="BF17" s="1798">
        <v>1307</v>
      </c>
      <c r="BG17" s="1798">
        <v>979</v>
      </c>
      <c r="BH17" s="1798">
        <v>1006</v>
      </c>
      <c r="BI17" s="1798">
        <v>689</v>
      </c>
      <c r="BJ17" s="1798">
        <v>935</v>
      </c>
      <c r="BK17" s="1798">
        <v>1597</v>
      </c>
      <c r="BL17" s="1798">
        <v>1700</v>
      </c>
      <c r="BM17" s="1798">
        <v>1036</v>
      </c>
      <c r="BN17" s="1798">
        <v>1937</v>
      </c>
      <c r="BO17" s="1798">
        <v>1063</v>
      </c>
      <c r="BP17" s="1798">
        <v>1412</v>
      </c>
      <c r="BQ17" s="1797">
        <v>645</v>
      </c>
      <c r="BR17" s="206">
        <f t="shared" si="11"/>
        <v>17324</v>
      </c>
      <c r="BS17" s="1798">
        <v>1076</v>
      </c>
      <c r="BT17" s="1798">
        <v>1641</v>
      </c>
      <c r="BU17" s="1798">
        <v>1093</v>
      </c>
      <c r="BV17" s="1798">
        <v>911</v>
      </c>
      <c r="BW17" s="1798">
        <v>1423</v>
      </c>
      <c r="BX17" s="1798">
        <v>1032</v>
      </c>
      <c r="BY17" s="1798">
        <v>2750</v>
      </c>
      <c r="BZ17" s="1798">
        <v>903</v>
      </c>
      <c r="CA17" s="1798">
        <v>1499</v>
      </c>
      <c r="CB17" s="1798">
        <v>1246</v>
      </c>
      <c r="CC17" s="1798">
        <v>1038</v>
      </c>
      <c r="CD17" s="1797">
        <v>2712</v>
      </c>
      <c r="CE17" s="206">
        <f t="shared" si="12"/>
        <v>19951.199999999997</v>
      </c>
      <c r="CF17" s="2472">
        <v>1662.6</v>
      </c>
      <c r="CG17" s="2472">
        <v>1662.6</v>
      </c>
      <c r="CH17" s="2472">
        <v>1662.6</v>
      </c>
      <c r="CI17" s="2472">
        <v>1662.6</v>
      </c>
      <c r="CJ17" s="2472">
        <v>1662.6</v>
      </c>
      <c r="CK17" s="2472">
        <v>1662.6</v>
      </c>
      <c r="CL17" s="2472">
        <v>1662.6</v>
      </c>
      <c r="CM17" s="2472">
        <v>1662.6</v>
      </c>
      <c r="CN17" s="2472">
        <v>1662.6</v>
      </c>
      <c r="CO17" s="2472">
        <v>1662.6</v>
      </c>
      <c r="CP17" s="2472">
        <v>1662.6</v>
      </c>
      <c r="CQ17" s="2473">
        <v>1662.6</v>
      </c>
      <c r="CR17" s="2920"/>
      <c r="CS17" s="2779"/>
      <c r="CT17" s="2780"/>
      <c r="CU17" s="2781"/>
    </row>
    <row r="18" spans="1:99">
      <c r="B18" s="3319"/>
      <c r="C18" s="3320"/>
      <c r="D18" s="203" t="s">
        <v>352</v>
      </c>
      <c r="E18" s="206">
        <f>SUM(F18:Q18)</f>
        <v>4132</v>
      </c>
      <c r="F18" s="333">
        <v>304</v>
      </c>
      <c r="G18" s="355">
        <v>503</v>
      </c>
      <c r="H18" s="355">
        <v>674</v>
      </c>
      <c r="I18" s="355">
        <v>246</v>
      </c>
      <c r="J18" s="355">
        <v>251</v>
      </c>
      <c r="K18" s="355">
        <v>356</v>
      </c>
      <c r="L18" s="355">
        <v>336</v>
      </c>
      <c r="M18" s="355">
        <v>243</v>
      </c>
      <c r="N18" s="355">
        <v>238</v>
      </c>
      <c r="O18" s="355">
        <v>392</v>
      </c>
      <c r="P18" s="355">
        <v>403</v>
      </c>
      <c r="Q18" s="459">
        <v>186</v>
      </c>
      <c r="R18" s="206">
        <f t="shared" si="16"/>
        <v>14587</v>
      </c>
      <c r="S18" s="333">
        <v>567</v>
      </c>
      <c r="T18" s="355">
        <v>377</v>
      </c>
      <c r="U18" s="355">
        <v>771</v>
      </c>
      <c r="V18" s="355">
        <v>1352</v>
      </c>
      <c r="W18" s="355">
        <v>1411</v>
      </c>
      <c r="X18" s="355">
        <v>876</v>
      </c>
      <c r="Y18" s="355">
        <v>1235</v>
      </c>
      <c r="Z18" s="355">
        <v>2312</v>
      </c>
      <c r="AA18" s="355">
        <v>1139</v>
      </c>
      <c r="AB18" s="355">
        <v>1679</v>
      </c>
      <c r="AC18" s="355">
        <v>1437</v>
      </c>
      <c r="AD18" s="355">
        <v>1431</v>
      </c>
      <c r="AE18" s="206">
        <f t="shared" si="15"/>
        <v>16636</v>
      </c>
      <c r="AF18" s="1178">
        <v>1443</v>
      </c>
      <c r="AG18" s="1176">
        <v>1908</v>
      </c>
      <c r="AH18" s="1176">
        <v>1585</v>
      </c>
      <c r="AI18" s="1176">
        <v>1152</v>
      </c>
      <c r="AJ18" s="1176">
        <v>948</v>
      </c>
      <c r="AK18" s="1176">
        <v>964</v>
      </c>
      <c r="AL18" s="1176">
        <v>876</v>
      </c>
      <c r="AM18" s="1176">
        <v>3396</v>
      </c>
      <c r="AN18" s="1176">
        <v>1143</v>
      </c>
      <c r="AO18" s="1176">
        <v>2022</v>
      </c>
      <c r="AP18" s="1176">
        <v>677</v>
      </c>
      <c r="AQ18" s="1177">
        <v>522</v>
      </c>
      <c r="AR18" s="206">
        <f t="shared" si="9"/>
        <v>9326</v>
      </c>
      <c r="AS18" s="355">
        <v>695</v>
      </c>
      <c r="AT18" s="355">
        <v>1803</v>
      </c>
      <c r="AU18" s="355">
        <v>1118</v>
      </c>
      <c r="AV18" s="355">
        <v>880</v>
      </c>
      <c r="AW18" s="355">
        <v>761</v>
      </c>
      <c r="AX18" s="355">
        <v>765</v>
      </c>
      <c r="AY18" s="355">
        <v>676</v>
      </c>
      <c r="AZ18" s="355">
        <v>742</v>
      </c>
      <c r="BA18" s="355">
        <v>376</v>
      </c>
      <c r="BB18" s="355">
        <v>787</v>
      </c>
      <c r="BC18" s="355">
        <v>296</v>
      </c>
      <c r="BD18" s="459">
        <v>427</v>
      </c>
      <c r="BE18" s="206">
        <f t="shared" si="10"/>
        <v>2422</v>
      </c>
      <c r="BF18" s="1798">
        <v>605</v>
      </c>
      <c r="BG18" s="1798">
        <v>407</v>
      </c>
      <c r="BH18" s="1798">
        <v>380</v>
      </c>
      <c r="BI18" s="1798">
        <v>411</v>
      </c>
      <c r="BJ18" s="1798">
        <v>220</v>
      </c>
      <c r="BK18" s="1798">
        <v>391</v>
      </c>
      <c r="BL18" s="1798">
        <v>8</v>
      </c>
      <c r="BM18" s="1798">
        <v>0</v>
      </c>
      <c r="BN18" s="1798">
        <v>0</v>
      </c>
      <c r="BO18" s="1798">
        <v>0</v>
      </c>
      <c r="BP18" s="1798">
        <v>0</v>
      </c>
      <c r="BQ18" s="1797">
        <v>0</v>
      </c>
      <c r="BR18" s="206">
        <f t="shared" si="11"/>
        <v>2</v>
      </c>
      <c r="BS18" s="1798"/>
      <c r="BT18" s="1798"/>
      <c r="BU18" s="1798"/>
      <c r="BV18" s="1798">
        <v>2</v>
      </c>
      <c r="BW18" s="1798"/>
      <c r="BX18" s="1798"/>
      <c r="BY18" s="1798"/>
      <c r="BZ18" s="1798"/>
      <c r="CA18" s="1798"/>
      <c r="CB18" s="1798"/>
      <c r="CC18" s="1798"/>
      <c r="CD18" s="1797"/>
      <c r="CE18" s="206">
        <f t="shared" si="12"/>
        <v>0</v>
      </c>
      <c r="CF18" s="2472"/>
      <c r="CG18" s="2472"/>
      <c r="CH18" s="2472"/>
      <c r="CI18" s="2472"/>
      <c r="CJ18" s="2472"/>
      <c r="CK18" s="2472"/>
      <c r="CL18" s="2472"/>
      <c r="CM18" s="2472"/>
      <c r="CN18" s="2472"/>
      <c r="CO18" s="2472"/>
      <c r="CP18" s="2472"/>
      <c r="CQ18" s="2473"/>
      <c r="CR18" s="2920"/>
      <c r="CS18" s="678"/>
    </row>
    <row r="19" spans="1:99">
      <c r="B19" s="3317" t="s">
        <v>239</v>
      </c>
      <c r="C19" s="3318"/>
      <c r="D19" s="204" t="s">
        <v>240</v>
      </c>
      <c r="E19" s="822">
        <f>SUM(E20:E21)</f>
        <v>77040</v>
      </c>
      <c r="F19" s="486">
        <f t="shared" ref="F19" si="17">SUM(F20:F21)</f>
        <v>6110</v>
      </c>
      <c r="G19" s="486">
        <f t="shared" ref="G19:K19" si="18">SUM(G20:G21)</f>
        <v>5306</v>
      </c>
      <c r="H19" s="486">
        <f t="shared" si="18"/>
        <v>5538</v>
      </c>
      <c r="I19" s="486">
        <f t="shared" si="18"/>
        <v>5012</v>
      </c>
      <c r="J19" s="486">
        <f t="shared" si="18"/>
        <v>6376</v>
      </c>
      <c r="K19" s="486">
        <f t="shared" si="18"/>
        <v>7902</v>
      </c>
      <c r="L19" s="486">
        <v>8972</v>
      </c>
      <c r="M19" s="486">
        <v>6881</v>
      </c>
      <c r="N19" s="486">
        <v>6881</v>
      </c>
      <c r="O19" s="486">
        <v>6881</v>
      </c>
      <c r="P19" s="486">
        <v>6881</v>
      </c>
      <c r="Q19" s="486">
        <f t="shared" ref="Q19" si="19">SUM(Q20:Q21)</f>
        <v>6091</v>
      </c>
      <c r="R19" s="822">
        <f>SUM(R20:R21)</f>
        <v>94600</v>
      </c>
      <c r="S19" s="486">
        <f t="shared" ref="S19:AD19" si="20">SUM(S20:S21)</f>
        <v>3593</v>
      </c>
      <c r="T19" s="486">
        <f t="shared" si="20"/>
        <v>4807</v>
      </c>
      <c r="U19" s="486">
        <f t="shared" si="20"/>
        <v>4170</v>
      </c>
      <c r="V19" s="486">
        <f t="shared" si="20"/>
        <v>7651</v>
      </c>
      <c r="W19" s="486">
        <f t="shared" si="20"/>
        <v>6891</v>
      </c>
      <c r="X19" s="486">
        <f t="shared" si="20"/>
        <v>6118</v>
      </c>
      <c r="Y19" s="486">
        <f t="shared" si="20"/>
        <v>9407</v>
      </c>
      <c r="Z19" s="486">
        <f t="shared" si="20"/>
        <v>4775</v>
      </c>
      <c r="AA19" s="486">
        <f t="shared" si="20"/>
        <v>8739</v>
      </c>
      <c r="AB19" s="486">
        <f t="shared" si="20"/>
        <v>9927</v>
      </c>
      <c r="AC19" s="486">
        <f t="shared" si="20"/>
        <v>12455</v>
      </c>
      <c r="AD19" s="516">
        <f t="shared" si="20"/>
        <v>16067</v>
      </c>
      <c r="AE19" s="822">
        <f>SUM(AE20:AE21)</f>
        <v>124527</v>
      </c>
      <c r="AF19" s="1183">
        <f t="shared" ref="AF19:AL19" si="21">SUM(AF20:AF21)</f>
        <v>10030</v>
      </c>
      <c r="AG19" s="1173">
        <f t="shared" si="21"/>
        <v>12080</v>
      </c>
      <c r="AH19" s="1173">
        <f t="shared" si="21"/>
        <v>12635</v>
      </c>
      <c r="AI19" s="1173">
        <f t="shared" si="21"/>
        <v>9928</v>
      </c>
      <c r="AJ19" s="1173">
        <f t="shared" si="21"/>
        <v>10602</v>
      </c>
      <c r="AK19" s="1173">
        <f t="shared" si="21"/>
        <v>9737</v>
      </c>
      <c r="AL19" s="1173">
        <f t="shared" si="21"/>
        <v>10678</v>
      </c>
      <c r="AM19" s="1173">
        <f t="shared" ref="AM19:AQ19" si="22">SUM(AM20:AM21)</f>
        <v>7353</v>
      </c>
      <c r="AN19" s="1173">
        <f t="shared" si="22"/>
        <v>6977</v>
      </c>
      <c r="AO19" s="1173">
        <f t="shared" si="22"/>
        <v>6648</v>
      </c>
      <c r="AP19" s="1173">
        <f t="shared" si="22"/>
        <v>8850</v>
      </c>
      <c r="AQ19" s="1174">
        <f t="shared" si="22"/>
        <v>19009</v>
      </c>
      <c r="AR19" s="822">
        <f>SUM(AR20:AR21)</f>
        <v>103414</v>
      </c>
      <c r="AS19" s="486">
        <f t="shared" ref="AS19:BD19" si="23">SUM(AS20:AS21)</f>
        <v>10932</v>
      </c>
      <c r="AT19" s="486">
        <f t="shared" si="23"/>
        <v>5659</v>
      </c>
      <c r="AU19" s="486">
        <f t="shared" si="23"/>
        <v>5068</v>
      </c>
      <c r="AV19" s="486">
        <f t="shared" si="23"/>
        <v>10620</v>
      </c>
      <c r="AW19" s="486">
        <f t="shared" si="23"/>
        <v>5758</v>
      </c>
      <c r="AX19" s="486">
        <f t="shared" si="23"/>
        <v>9038</v>
      </c>
      <c r="AY19" s="486">
        <f t="shared" si="23"/>
        <v>8318</v>
      </c>
      <c r="AZ19" s="486">
        <f t="shared" si="23"/>
        <v>10016</v>
      </c>
      <c r="BA19" s="486">
        <f t="shared" si="23"/>
        <v>11650</v>
      </c>
      <c r="BB19" s="486">
        <f t="shared" si="23"/>
        <v>7875</v>
      </c>
      <c r="BC19" s="486">
        <f t="shared" si="23"/>
        <v>9912</v>
      </c>
      <c r="BD19" s="516">
        <f t="shared" si="23"/>
        <v>8568</v>
      </c>
      <c r="BE19" s="822">
        <f>SUM(BE20:BE21)</f>
        <v>60466</v>
      </c>
      <c r="BF19" s="486">
        <f t="shared" ref="BF19:BQ19" si="24">SUM(BF20:BF21)</f>
        <v>10965</v>
      </c>
      <c r="BG19" s="486">
        <f t="shared" si="24"/>
        <v>3910</v>
      </c>
      <c r="BH19" s="486">
        <f t="shared" si="24"/>
        <v>5353</v>
      </c>
      <c r="BI19" s="486">
        <f t="shared" si="24"/>
        <v>2833</v>
      </c>
      <c r="BJ19" s="486">
        <f t="shared" si="24"/>
        <v>5360</v>
      </c>
      <c r="BK19" s="486">
        <f t="shared" si="24"/>
        <v>4278</v>
      </c>
      <c r="BL19" s="486">
        <f t="shared" si="24"/>
        <v>5171</v>
      </c>
      <c r="BM19" s="486">
        <f t="shared" si="24"/>
        <v>5224</v>
      </c>
      <c r="BN19" s="486">
        <f t="shared" si="24"/>
        <v>3683</v>
      </c>
      <c r="BO19" s="486">
        <f t="shared" si="24"/>
        <v>4845</v>
      </c>
      <c r="BP19" s="486">
        <f t="shared" si="24"/>
        <v>2359</v>
      </c>
      <c r="BQ19" s="516">
        <f t="shared" si="24"/>
        <v>6485</v>
      </c>
      <c r="BR19" s="822">
        <f>SUM(BR20:BR21)</f>
        <v>72551</v>
      </c>
      <c r="BS19" s="486">
        <f t="shared" ref="BS19:CD19" si="25">SUM(BS20:BS21)</f>
        <v>5549</v>
      </c>
      <c r="BT19" s="486">
        <f t="shared" si="25"/>
        <v>3086</v>
      </c>
      <c r="BU19" s="486">
        <f t="shared" si="25"/>
        <v>2916</v>
      </c>
      <c r="BV19" s="486">
        <f t="shared" si="25"/>
        <v>11432</v>
      </c>
      <c r="BW19" s="486">
        <f t="shared" si="25"/>
        <v>7680</v>
      </c>
      <c r="BX19" s="486">
        <f t="shared" si="25"/>
        <v>7724</v>
      </c>
      <c r="BY19" s="486">
        <f t="shared" si="25"/>
        <v>6988</v>
      </c>
      <c r="BZ19" s="486">
        <f t="shared" si="25"/>
        <v>5537</v>
      </c>
      <c r="CA19" s="486">
        <f t="shared" si="25"/>
        <v>8871</v>
      </c>
      <c r="CB19" s="486">
        <f t="shared" si="25"/>
        <v>3123</v>
      </c>
      <c r="CC19" s="486">
        <f t="shared" si="25"/>
        <v>4673</v>
      </c>
      <c r="CD19" s="516">
        <f t="shared" si="25"/>
        <v>4972</v>
      </c>
      <c r="CE19" s="822">
        <f>SUM(CE20:CE21)</f>
        <v>82220.78</v>
      </c>
      <c r="CF19" s="486">
        <f t="shared" ref="CF19:CQ19" si="26">SUM(CF20:CF21)</f>
        <v>5715.47</v>
      </c>
      <c r="CG19" s="486">
        <f t="shared" si="26"/>
        <v>3178.5800000000004</v>
      </c>
      <c r="CH19" s="486">
        <f t="shared" si="26"/>
        <v>7003.4800000000005</v>
      </c>
      <c r="CI19" s="486">
        <f t="shared" si="26"/>
        <v>7774.9599999999991</v>
      </c>
      <c r="CJ19" s="486">
        <f t="shared" si="26"/>
        <v>7910.4</v>
      </c>
      <c r="CK19" s="486">
        <f t="shared" si="26"/>
        <v>7955.72</v>
      </c>
      <c r="CL19" s="486">
        <f t="shared" si="26"/>
        <v>7910.4</v>
      </c>
      <c r="CM19" s="486">
        <f t="shared" si="26"/>
        <v>7955.72</v>
      </c>
      <c r="CN19" s="486">
        <f t="shared" si="26"/>
        <v>7910.4</v>
      </c>
      <c r="CO19" s="486">
        <f t="shared" si="26"/>
        <v>7955.72</v>
      </c>
      <c r="CP19" s="486">
        <f t="shared" si="26"/>
        <v>7946.45</v>
      </c>
      <c r="CQ19" s="516">
        <f t="shared" si="26"/>
        <v>3003.48</v>
      </c>
      <c r="CS19" s="678"/>
    </row>
    <row r="20" spans="1:99">
      <c r="B20" s="3313"/>
      <c r="C20" s="3314"/>
      <c r="D20" s="200" t="s">
        <v>242</v>
      </c>
      <c r="E20" s="206">
        <f>SUM(F20:Q20)</f>
        <v>71948</v>
      </c>
      <c r="F20" s="333">
        <v>5595</v>
      </c>
      <c r="G20" s="355">
        <v>4983</v>
      </c>
      <c r="H20" s="355">
        <v>5062</v>
      </c>
      <c r="I20" s="355">
        <v>4393</v>
      </c>
      <c r="J20" s="355">
        <v>5966</v>
      </c>
      <c r="K20" s="355">
        <v>7650</v>
      </c>
      <c r="L20" s="355">
        <v>8529</v>
      </c>
      <c r="M20" s="355">
        <v>6522</v>
      </c>
      <c r="N20" s="355">
        <v>5114</v>
      </c>
      <c r="O20" s="355">
        <v>6102</v>
      </c>
      <c r="P20" s="355">
        <v>6349</v>
      </c>
      <c r="Q20" s="459">
        <v>5683</v>
      </c>
      <c r="R20" s="206">
        <f t="shared" ref="R20:R21" si="27">SUM(S20:AD20)</f>
        <v>77534</v>
      </c>
      <c r="S20" s="333">
        <v>3409</v>
      </c>
      <c r="T20" s="355">
        <v>4649</v>
      </c>
      <c r="U20" s="355">
        <v>4000</v>
      </c>
      <c r="V20" s="355">
        <v>5439</v>
      </c>
      <c r="W20" s="355">
        <v>5979</v>
      </c>
      <c r="X20" s="355">
        <v>4863</v>
      </c>
      <c r="Y20" s="355">
        <v>8132</v>
      </c>
      <c r="Z20" s="355">
        <v>3502</v>
      </c>
      <c r="AA20" s="355">
        <v>7570</v>
      </c>
      <c r="AB20" s="355">
        <v>5108</v>
      </c>
      <c r="AC20" s="355">
        <v>11067</v>
      </c>
      <c r="AD20" s="355">
        <v>13816</v>
      </c>
      <c r="AE20" s="206">
        <f t="shared" ref="AE20:AE21" si="28">SUM(AF20:AQ20)</f>
        <v>95922</v>
      </c>
      <c r="AF20" s="1178">
        <v>7302</v>
      </c>
      <c r="AG20" s="1176">
        <v>10176</v>
      </c>
      <c r="AH20" s="1176">
        <v>8388</v>
      </c>
      <c r="AI20" s="1176">
        <v>9187</v>
      </c>
      <c r="AJ20" s="1176">
        <v>6864</v>
      </c>
      <c r="AK20" s="1176">
        <v>7906</v>
      </c>
      <c r="AL20" s="1176">
        <v>9457</v>
      </c>
      <c r="AM20" s="1176">
        <v>5826</v>
      </c>
      <c r="AN20" s="1176">
        <v>5263</v>
      </c>
      <c r="AO20" s="1176">
        <v>5883</v>
      </c>
      <c r="AP20" s="1176">
        <v>6060</v>
      </c>
      <c r="AQ20" s="1177">
        <v>13610</v>
      </c>
      <c r="AR20" s="206">
        <f t="shared" ref="AR20:AR21" si="29">SUM(AS20:BD20)</f>
        <v>82244</v>
      </c>
      <c r="AS20" s="355">
        <v>6882</v>
      </c>
      <c r="AT20" s="355">
        <v>4992</v>
      </c>
      <c r="AU20" s="355">
        <v>4487</v>
      </c>
      <c r="AV20" s="355">
        <v>6000</v>
      </c>
      <c r="AW20" s="355">
        <v>4825</v>
      </c>
      <c r="AX20" s="355">
        <v>5089</v>
      </c>
      <c r="AY20" s="355">
        <v>7181</v>
      </c>
      <c r="AZ20" s="355">
        <v>8279</v>
      </c>
      <c r="BA20" s="355">
        <v>11207</v>
      </c>
      <c r="BB20" s="355">
        <v>7060</v>
      </c>
      <c r="BC20" s="355">
        <v>9261</v>
      </c>
      <c r="BD20" s="355">
        <v>6981</v>
      </c>
      <c r="BE20" s="206">
        <f t="shared" si="10"/>
        <v>58425</v>
      </c>
      <c r="BF20" s="1798">
        <v>10654</v>
      </c>
      <c r="BG20" s="1798">
        <v>3442</v>
      </c>
      <c r="BH20" s="1798">
        <v>4984</v>
      </c>
      <c r="BI20" s="1798">
        <v>2695</v>
      </c>
      <c r="BJ20" s="1798">
        <v>5206</v>
      </c>
      <c r="BK20" s="1798">
        <v>4159</v>
      </c>
      <c r="BL20" s="1798">
        <v>5068</v>
      </c>
      <c r="BM20" s="1798">
        <v>5132</v>
      </c>
      <c r="BN20" s="1798">
        <v>3579</v>
      </c>
      <c r="BO20" s="1798">
        <v>4764</v>
      </c>
      <c r="BP20" s="1798">
        <v>2281</v>
      </c>
      <c r="BQ20" s="1797">
        <v>6461</v>
      </c>
      <c r="BR20" s="206">
        <f t="shared" ref="BR20:BR21" si="30">SUM(BS20:CD20)</f>
        <v>72195</v>
      </c>
      <c r="BS20" s="1798">
        <v>5542</v>
      </c>
      <c r="BT20" s="1798">
        <v>3049</v>
      </c>
      <c r="BU20" s="1798">
        <v>2867</v>
      </c>
      <c r="BV20" s="1798">
        <v>11396</v>
      </c>
      <c r="BW20" s="1798">
        <v>7679</v>
      </c>
      <c r="BX20" s="1798">
        <v>7685</v>
      </c>
      <c r="BY20" s="1798">
        <v>6953</v>
      </c>
      <c r="BZ20" s="1798">
        <v>5521</v>
      </c>
      <c r="CA20" s="1798">
        <v>8862</v>
      </c>
      <c r="CB20" s="1798">
        <v>3088</v>
      </c>
      <c r="CC20" s="1798">
        <v>4621</v>
      </c>
      <c r="CD20" s="1797">
        <v>4932</v>
      </c>
      <c r="CE20" s="206">
        <f t="shared" ref="CE20:CE21" si="31">SUM(CF20:CQ20)</f>
        <v>81876.759999999995</v>
      </c>
      <c r="CF20" s="2472">
        <v>5708.26</v>
      </c>
      <c r="CG20" s="2472">
        <v>3140.4700000000003</v>
      </c>
      <c r="CH20" s="2472">
        <v>6953.01</v>
      </c>
      <c r="CI20" s="2472">
        <v>7737.8799999999992</v>
      </c>
      <c r="CJ20" s="2472">
        <v>7909.37</v>
      </c>
      <c r="CK20" s="2472">
        <v>7915.55</v>
      </c>
      <c r="CL20" s="2472">
        <v>7909.37</v>
      </c>
      <c r="CM20" s="2472">
        <v>7915.55</v>
      </c>
      <c r="CN20" s="2472">
        <v>7909.37</v>
      </c>
      <c r="CO20" s="2472">
        <v>7915.55</v>
      </c>
      <c r="CP20" s="2472">
        <v>7909.37</v>
      </c>
      <c r="CQ20" s="2473">
        <v>2953.01</v>
      </c>
    </row>
    <row r="21" spans="1:99">
      <c r="B21" s="3323"/>
      <c r="C21" s="3324"/>
      <c r="D21" s="814" t="s">
        <v>679</v>
      </c>
      <c r="E21" s="815">
        <f>SUM(F21:Q21)</f>
        <v>5092</v>
      </c>
      <c r="F21" s="816">
        <v>515</v>
      </c>
      <c r="G21" s="817">
        <v>323</v>
      </c>
      <c r="H21" s="817">
        <v>476</v>
      </c>
      <c r="I21" s="817">
        <v>619</v>
      </c>
      <c r="J21" s="817">
        <v>410</v>
      </c>
      <c r="K21" s="817">
        <v>252</v>
      </c>
      <c r="L21" s="817">
        <v>443</v>
      </c>
      <c r="M21" s="817">
        <v>359</v>
      </c>
      <c r="N21" s="817">
        <v>287</v>
      </c>
      <c r="O21" s="817">
        <v>599</v>
      </c>
      <c r="P21" s="817">
        <v>401</v>
      </c>
      <c r="Q21" s="818">
        <v>408</v>
      </c>
      <c r="R21" s="815">
        <f t="shared" si="27"/>
        <v>17066</v>
      </c>
      <c r="S21" s="816">
        <v>184</v>
      </c>
      <c r="T21" s="817">
        <v>158</v>
      </c>
      <c r="U21" s="817">
        <v>170</v>
      </c>
      <c r="V21" s="817">
        <v>2212</v>
      </c>
      <c r="W21" s="817">
        <v>912</v>
      </c>
      <c r="X21" s="817">
        <v>1255</v>
      </c>
      <c r="Y21" s="817">
        <v>1275</v>
      </c>
      <c r="Z21" s="817">
        <v>1273</v>
      </c>
      <c r="AA21" s="817">
        <v>1169</v>
      </c>
      <c r="AB21" s="817">
        <v>4819</v>
      </c>
      <c r="AC21" s="817">
        <v>1388</v>
      </c>
      <c r="AD21" s="817">
        <v>2251</v>
      </c>
      <c r="AE21" s="815">
        <f t="shared" si="28"/>
        <v>28605</v>
      </c>
      <c r="AF21" s="1184">
        <v>2728</v>
      </c>
      <c r="AG21" s="1185">
        <v>1904</v>
      </c>
      <c r="AH21" s="1185">
        <v>4247</v>
      </c>
      <c r="AI21" s="1185">
        <v>741</v>
      </c>
      <c r="AJ21" s="1185">
        <v>3738</v>
      </c>
      <c r="AK21" s="1185">
        <v>1831</v>
      </c>
      <c r="AL21" s="1185">
        <v>1221</v>
      </c>
      <c r="AM21" s="1185">
        <v>1527</v>
      </c>
      <c r="AN21" s="1185">
        <v>1714</v>
      </c>
      <c r="AO21" s="1185">
        <v>765</v>
      </c>
      <c r="AP21" s="1185">
        <v>2790</v>
      </c>
      <c r="AQ21" s="1186">
        <v>5399</v>
      </c>
      <c r="AR21" s="815">
        <f t="shared" si="29"/>
        <v>21170</v>
      </c>
      <c r="AS21" s="817">
        <v>4050</v>
      </c>
      <c r="AT21" s="817">
        <v>667</v>
      </c>
      <c r="AU21" s="817">
        <v>581</v>
      </c>
      <c r="AV21" s="817">
        <v>4620</v>
      </c>
      <c r="AW21" s="817">
        <v>933</v>
      </c>
      <c r="AX21" s="817">
        <v>3949</v>
      </c>
      <c r="AY21" s="817">
        <v>1137</v>
      </c>
      <c r="AZ21" s="817">
        <v>1737</v>
      </c>
      <c r="BA21" s="817">
        <v>443</v>
      </c>
      <c r="BB21" s="817">
        <v>815</v>
      </c>
      <c r="BC21" s="817">
        <v>651</v>
      </c>
      <c r="BD21" s="817">
        <v>1587</v>
      </c>
      <c r="BE21" s="815">
        <f t="shared" si="10"/>
        <v>2041</v>
      </c>
      <c r="BF21" s="1800">
        <v>311</v>
      </c>
      <c r="BG21" s="1800">
        <v>468</v>
      </c>
      <c r="BH21" s="1800">
        <v>369</v>
      </c>
      <c r="BI21" s="1800">
        <v>138</v>
      </c>
      <c r="BJ21" s="1800">
        <v>154</v>
      </c>
      <c r="BK21" s="1800">
        <v>119</v>
      </c>
      <c r="BL21" s="1800">
        <v>103</v>
      </c>
      <c r="BM21" s="1800">
        <v>92</v>
      </c>
      <c r="BN21" s="1800">
        <v>104</v>
      </c>
      <c r="BO21" s="1800">
        <v>81</v>
      </c>
      <c r="BP21" s="1800">
        <v>78</v>
      </c>
      <c r="BQ21" s="1801">
        <v>24</v>
      </c>
      <c r="BR21" s="815">
        <f t="shared" si="30"/>
        <v>356</v>
      </c>
      <c r="BS21" s="1800">
        <v>7</v>
      </c>
      <c r="BT21" s="1800">
        <v>37</v>
      </c>
      <c r="BU21" s="1800">
        <v>49</v>
      </c>
      <c r="BV21" s="1800">
        <v>36</v>
      </c>
      <c r="BW21" s="1800">
        <v>1</v>
      </c>
      <c r="BX21" s="1800">
        <v>39</v>
      </c>
      <c r="BY21" s="1800">
        <v>35</v>
      </c>
      <c r="BZ21" s="1800">
        <v>16</v>
      </c>
      <c r="CA21" s="1800">
        <v>9</v>
      </c>
      <c r="CB21" s="1800">
        <v>35</v>
      </c>
      <c r="CC21" s="1800">
        <v>52</v>
      </c>
      <c r="CD21" s="1801">
        <v>40</v>
      </c>
      <c r="CE21" s="815">
        <f t="shared" si="31"/>
        <v>344.02</v>
      </c>
      <c r="CF21" s="2816">
        <v>7.21</v>
      </c>
      <c r="CG21" s="2816">
        <v>38.11</v>
      </c>
      <c r="CH21" s="2816">
        <v>50.47</v>
      </c>
      <c r="CI21" s="2816">
        <v>37.08</v>
      </c>
      <c r="CJ21" s="2816">
        <v>1.03</v>
      </c>
      <c r="CK21" s="2816">
        <v>40.17</v>
      </c>
      <c r="CL21" s="2816">
        <v>1.03</v>
      </c>
      <c r="CM21" s="2816">
        <v>40.17</v>
      </c>
      <c r="CN21" s="2816">
        <v>1.03</v>
      </c>
      <c r="CO21" s="2816">
        <v>40.17</v>
      </c>
      <c r="CP21" s="2816">
        <v>37.08</v>
      </c>
      <c r="CQ21" s="2817">
        <v>50.47</v>
      </c>
    </row>
    <row r="22" spans="1:99"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  <c r="Q22" s="130"/>
      <c r="R22" s="371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371"/>
      <c r="AF22" s="514"/>
      <c r="AG22" s="514"/>
      <c r="AH22" s="514"/>
      <c r="AI22" s="514"/>
      <c r="AJ22" s="514"/>
      <c r="AK22" s="514"/>
      <c r="AL22" s="514"/>
      <c r="AM22" s="514"/>
      <c r="AN22" s="514"/>
      <c r="AO22" s="514"/>
      <c r="AP22" s="514"/>
      <c r="AQ22" s="514"/>
      <c r="AR22" s="371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514"/>
      <c r="BE22" s="746"/>
      <c r="BF22" s="1675"/>
      <c r="BG22" s="514"/>
      <c r="BH22" s="514"/>
      <c r="BI22" s="514"/>
      <c r="BJ22" s="514"/>
      <c r="BK22" s="514"/>
      <c r="BL22" s="514"/>
      <c r="BM22" s="514"/>
      <c r="BN22" s="514"/>
      <c r="BO22" s="514"/>
      <c r="BP22" s="514"/>
      <c r="BQ22" s="514"/>
      <c r="BR22" s="746"/>
      <c r="BS22" s="1675"/>
      <c r="BT22" s="514"/>
      <c r="BU22" s="514"/>
      <c r="BV22" s="514"/>
      <c r="BW22" s="514"/>
      <c r="BX22" s="514"/>
      <c r="BY22" s="514"/>
      <c r="BZ22" s="514"/>
      <c r="CA22" s="514"/>
      <c r="CB22" s="514"/>
      <c r="CC22" s="514"/>
      <c r="CD22" s="514"/>
      <c r="CE22" s="1419"/>
      <c r="CF22" s="1675"/>
      <c r="CG22" s="514"/>
      <c r="CH22" s="514"/>
      <c r="CI22" s="514"/>
      <c r="CJ22" s="514"/>
      <c r="CK22" s="514"/>
      <c r="CL22" s="514"/>
      <c r="CM22" s="514"/>
      <c r="CN22" s="514"/>
      <c r="CO22" s="514"/>
      <c r="CP22" s="514"/>
      <c r="CQ22" s="514"/>
    </row>
    <row r="23" spans="1:99" s="2246" customFormat="1" hidden="1">
      <c r="A23" s="3009"/>
      <c r="B23" s="2241"/>
      <c r="C23" s="2241"/>
      <c r="D23" s="2241"/>
      <c r="E23" s="2242"/>
      <c r="F23" s="2242"/>
      <c r="G23" s="2242"/>
      <c r="H23" s="2242"/>
      <c r="I23" s="2242"/>
      <c r="J23" s="2242"/>
      <c r="K23" s="2242"/>
      <c r="L23" s="2242"/>
      <c r="M23" s="2242"/>
      <c r="N23" s="2242"/>
      <c r="O23" s="2242"/>
      <c r="P23" s="2242"/>
      <c r="Q23" s="2242"/>
      <c r="R23" s="2242"/>
      <c r="S23" s="2242"/>
      <c r="T23" s="2242"/>
      <c r="U23" s="2242"/>
      <c r="V23" s="2242"/>
      <c r="W23" s="2242"/>
      <c r="X23" s="2242"/>
      <c r="Y23" s="2242"/>
      <c r="Z23" s="2242"/>
      <c r="AA23" s="2242"/>
      <c r="AB23" s="2242"/>
      <c r="AC23" s="2241"/>
      <c r="AD23" s="2243"/>
      <c r="AE23" s="2242"/>
      <c r="AF23" s="2244"/>
      <c r="AG23" s="2244"/>
      <c r="AH23" s="2244"/>
      <c r="AI23" s="2244"/>
      <c r="AJ23" s="2244"/>
      <c r="AK23" s="2244"/>
      <c r="AL23" s="2244"/>
      <c r="AM23" s="2244"/>
      <c r="AN23" s="2244"/>
      <c r="AO23" s="2244"/>
      <c r="AP23" s="2244"/>
      <c r="AQ23" s="2244"/>
      <c r="AR23" s="2242"/>
      <c r="AS23" s="2242"/>
      <c r="AT23" s="2242"/>
      <c r="AU23" s="2242"/>
      <c r="AV23" s="2242"/>
      <c r="AW23" s="2242"/>
      <c r="AX23" s="2242"/>
      <c r="AY23" s="2242"/>
      <c r="AZ23" s="2242"/>
      <c r="BA23" s="2242"/>
      <c r="BB23" s="2242"/>
      <c r="BC23" s="2242"/>
      <c r="BD23" s="2245"/>
      <c r="BE23" s="2245"/>
      <c r="BF23" s="2245"/>
      <c r="BG23" s="2245"/>
      <c r="BH23" s="2245"/>
      <c r="BI23" s="2245"/>
      <c r="BJ23" s="2245"/>
      <c r="BK23" s="2245"/>
      <c r="BL23" s="2245"/>
      <c r="BM23" s="2245"/>
      <c r="BN23" s="2245"/>
      <c r="BO23" s="2245"/>
      <c r="BP23" s="2245"/>
      <c r="BQ23" s="2245"/>
      <c r="BR23" s="2245"/>
      <c r="BS23" s="2245"/>
      <c r="BT23" s="2245"/>
      <c r="BU23" s="2245"/>
      <c r="BV23" s="2245"/>
      <c r="BW23" s="2245"/>
      <c r="BX23" s="2245"/>
      <c r="BY23" s="2245"/>
      <c r="BZ23" s="2245"/>
      <c r="CA23" s="2245"/>
      <c r="CB23" s="2245"/>
      <c r="CC23" s="2245"/>
      <c r="CD23" s="2245"/>
      <c r="CE23" s="2245"/>
      <c r="CF23" s="2245"/>
      <c r="CG23" s="2245"/>
      <c r="CH23" s="2245"/>
      <c r="CI23" s="2245"/>
      <c r="CJ23" s="2245"/>
      <c r="CK23" s="2245"/>
      <c r="CL23" s="2245"/>
      <c r="CM23" s="2245"/>
      <c r="CN23" s="2245"/>
      <c r="CO23" s="2245"/>
      <c r="CP23" s="2245"/>
      <c r="CQ23" s="2245"/>
    </row>
    <row r="24" spans="1:99" s="507" customFormat="1">
      <c r="A24" s="3009"/>
      <c r="B24" s="3321" t="s">
        <v>319</v>
      </c>
      <c r="C24" s="3322"/>
      <c r="D24" s="3322"/>
      <c r="E24" s="209">
        <f>AVERAGE(F24:Q24)</f>
        <v>73.457406923738986</v>
      </c>
      <c r="F24" s="372">
        <f>F10/인프라!F6</f>
        <v>65.181102362204726</v>
      </c>
      <c r="G24" s="372">
        <f>G10/인프라!G6</f>
        <v>68.452380952380949</v>
      </c>
      <c r="H24" s="372">
        <f>H10/인프라!H6</f>
        <v>69.66274509803921</v>
      </c>
      <c r="I24" s="372">
        <f>I10/인프라!I6</f>
        <v>74.814960629921259</v>
      </c>
      <c r="J24" s="372">
        <f>J10/인프라!J6</f>
        <v>84.354085603112836</v>
      </c>
      <c r="K24" s="372">
        <f>K10/인프라!K6</f>
        <v>71.735408560311285</v>
      </c>
      <c r="L24" s="372">
        <f>L10/인프라!L6</f>
        <v>68.455598455598462</v>
      </c>
      <c r="M24" s="372">
        <f>M10/인프라!M6</f>
        <v>82.5</v>
      </c>
      <c r="N24" s="372">
        <f>N10/인프라!N6</f>
        <v>67.189922480620154</v>
      </c>
      <c r="O24" s="372">
        <f>O10/인프라!O6</f>
        <v>76.096525096525099</v>
      </c>
      <c r="P24" s="372">
        <f>P10/인프라!P6</f>
        <v>80.892307692307696</v>
      </c>
      <c r="Q24" s="372">
        <f>Q10/인프라!Q6</f>
        <v>72.15384615384616</v>
      </c>
      <c r="R24" s="209">
        <f>AVERAGE(S24:AD24)</f>
        <v>74.512148626704601</v>
      </c>
      <c r="S24" s="372">
        <f>S10/인프라!S6</f>
        <v>72.6484375</v>
      </c>
      <c r="T24" s="372">
        <f>T10/인프라!T6</f>
        <v>68.30980392156863</v>
      </c>
      <c r="U24" s="372">
        <f>U10/인프라!U6</f>
        <v>71.953125</v>
      </c>
      <c r="V24" s="372">
        <f>V10/인프라!V6</f>
        <v>71.62109375</v>
      </c>
      <c r="W24" s="372">
        <f>W10/인프라!W6</f>
        <v>69.890625</v>
      </c>
      <c r="X24" s="372">
        <f>X10/인프라!X6</f>
        <v>73.381889763779526</v>
      </c>
      <c r="Y24" s="372">
        <f>Y10/인프라!Y6</f>
        <v>73.992217898832678</v>
      </c>
      <c r="Z24" s="372">
        <f>Z10/인프라!Z6</f>
        <v>91.48828125</v>
      </c>
      <c r="AA24" s="372">
        <f>AA10/인프라!AA6</f>
        <v>69.62109375</v>
      </c>
      <c r="AB24" s="372">
        <f>AB10/인프라!AB6</f>
        <v>89.376470588235293</v>
      </c>
      <c r="AC24" s="372">
        <f>AC10/인프라!AC6</f>
        <v>78.435294117647061</v>
      </c>
      <c r="AD24" s="372">
        <f>AD10/인프라!AD6</f>
        <v>63.427450980392159</v>
      </c>
      <c r="AE24" s="209">
        <f>AVERAGE(AF24:AQ24)</f>
        <v>65.133532765544132</v>
      </c>
      <c r="AF24" s="1187">
        <f>AF10/인프라!AF6</f>
        <v>64.988235294117644</v>
      </c>
      <c r="AG24" s="1188">
        <f>AG10/인프라!AG6</f>
        <v>65.736434108527135</v>
      </c>
      <c r="AH24" s="1188">
        <f>AH10/인프라!AH6</f>
        <v>60.28793774319066</v>
      </c>
      <c r="AI24" s="1188">
        <f>AI10/인프라!AI6</f>
        <v>61.87022900763359</v>
      </c>
      <c r="AJ24" s="1188">
        <f>AJ10/인프라!AJ6</f>
        <v>61.229007633587784</v>
      </c>
      <c r="AK24" s="1188">
        <f>AK10/인프라!AK6</f>
        <v>70.791505791505799</v>
      </c>
      <c r="AL24" s="1188">
        <f>AL10/인프라!AL6</f>
        <v>57.225190839694655</v>
      </c>
      <c r="AM24" s="1188">
        <f>AM10/인프라!AM6</f>
        <v>85.360153256704976</v>
      </c>
      <c r="AN24" s="1188">
        <f>AN10/인프라!AN6</f>
        <v>56.324427480916029</v>
      </c>
      <c r="AO24" s="1188">
        <f>AO10/인프라!AO6</f>
        <v>85.570881226053643</v>
      </c>
      <c r="AP24" s="1188">
        <f>AP10/인프라!AP6</f>
        <v>61.026819923371647</v>
      </c>
      <c r="AQ24" s="1189">
        <f>AQ10/인프라!AQ6</f>
        <v>51.191570881226056</v>
      </c>
      <c r="AR24" s="209">
        <f>AVERAGE(AS24:BD24)</f>
        <v>62.04220608294623</v>
      </c>
      <c r="AS24" s="372">
        <f>AS10/인프라!AS6</f>
        <v>55.938223938223935</v>
      </c>
      <c r="AT24" s="372">
        <f>AT10/인프라!AT6</f>
        <v>77.494208494208493</v>
      </c>
      <c r="AU24" s="372">
        <f>AU10/인프라!AU6</f>
        <v>61.318897637795274</v>
      </c>
      <c r="AV24" s="372">
        <f>AV10/인프라!AV6</f>
        <v>57.488372093023258</v>
      </c>
      <c r="AW24" s="372">
        <f>AW10/인프라!AW6</f>
        <v>63.519379844961243</v>
      </c>
      <c r="AX24" s="372">
        <f>AX10/인프라!AX6</f>
        <v>59.143968871595334</v>
      </c>
      <c r="AY24" s="372">
        <f>AY10/인프라!AY6</f>
        <v>52.72762645914397</v>
      </c>
      <c r="AZ24" s="372">
        <f>AZ10/인프라!AZ6</f>
        <v>91.536964980544752</v>
      </c>
      <c r="BA24" s="372">
        <f>BA10/인프라!BA6</f>
        <v>43.346303501945528</v>
      </c>
      <c r="BB24" s="372">
        <f>BB10/인프라!BB6</f>
        <v>81.21484375</v>
      </c>
      <c r="BC24" s="372">
        <f>BC10/인프라!BC6</f>
        <v>54.08203125</v>
      </c>
      <c r="BD24" s="759">
        <f>BD10/인프라!BD6</f>
        <v>46.695652173913047</v>
      </c>
      <c r="BE24" s="209">
        <f>AVERAGE(BF24:BQ24)</f>
        <v>59.291102363119514</v>
      </c>
      <c r="BF24" s="372">
        <f>BF10/인프라!BF6</f>
        <v>86.515748031496059</v>
      </c>
      <c r="BG24" s="372">
        <f>BG10/인프라!BG6</f>
        <v>51.749034749034749</v>
      </c>
      <c r="BH24" s="372">
        <f>BH10/인프라!BH6</f>
        <v>56.356321839080458</v>
      </c>
      <c r="BI24" s="372">
        <f>BI10/인프라!BI6</f>
        <v>55.669172932330824</v>
      </c>
      <c r="BJ24" s="372">
        <f>BJ10/인프라!BJ6</f>
        <v>56.796992481203006</v>
      </c>
      <c r="BK24" s="372">
        <f>BK10/인프라!BK6</f>
        <v>50.040590405904062</v>
      </c>
      <c r="BL24" s="372">
        <f>BL10/인프라!BL6</f>
        <v>77.785977859778598</v>
      </c>
      <c r="BM24" s="372">
        <f>BM10/인프라!BM6</f>
        <v>55.393382352941174</v>
      </c>
      <c r="BN24" s="372">
        <f>BN10/인프라!BN6</f>
        <v>71.463235294117652</v>
      </c>
      <c r="BO24" s="372">
        <f>BO10/인프라!BO6</f>
        <v>55.404411764705884</v>
      </c>
      <c r="BP24" s="372">
        <f>BP10/인프라!BP6</f>
        <v>50.594095940959413</v>
      </c>
      <c r="BQ24" s="759">
        <f>BQ10/인프라!BQ6</f>
        <v>43.724264705882355</v>
      </c>
      <c r="BR24" s="209">
        <f>AVERAGE(BS24:CD24)</f>
        <v>63.91097047041464</v>
      </c>
      <c r="BS24" s="372">
        <f>BS10/인프라!BS6</f>
        <v>39.033088235294116</v>
      </c>
      <c r="BT24" s="372">
        <f>BT10/인프라!BT6</f>
        <v>86.070631970260223</v>
      </c>
      <c r="BU24" s="372">
        <f>BU10/인프라!BU6</f>
        <v>59.744186046511629</v>
      </c>
      <c r="BV24" s="372">
        <f>BV10/인프라!BV6</f>
        <v>62.496124031007753</v>
      </c>
      <c r="BW24" s="372">
        <f>BW10/인프라!BW6</f>
        <v>74.132295719844365</v>
      </c>
      <c r="BX24" s="372">
        <f>BX10/인프라!BX6</f>
        <v>59.888888888888879</v>
      </c>
      <c r="BY24" s="372">
        <f>BY10/인프라!BY6</f>
        <v>90.811023622047244</v>
      </c>
      <c r="BZ24" s="372">
        <f>BZ10/인프라!BZ6</f>
        <v>61.699604743083007</v>
      </c>
      <c r="CA24" s="372">
        <f>CA10/인프라!CA6</f>
        <v>84.806324110671937</v>
      </c>
      <c r="CB24" s="372">
        <f>CB10/인프라!CB6</f>
        <v>54.948412698412696</v>
      </c>
      <c r="CC24" s="372">
        <f>CC10/인프라!CC6</f>
        <v>48.432539682539684</v>
      </c>
      <c r="CD24" s="759">
        <f>CD10/인프라!CD6</f>
        <v>44.86852589641434</v>
      </c>
      <c r="CE24" s="209">
        <f>AVERAGE(CF24:CQ24)</f>
        <v>66.753003465212032</v>
      </c>
      <c r="CF24" s="372">
        <f>CF10/인프라!CF6</f>
        <v>71.993136461725499</v>
      </c>
      <c r="CG24" s="372">
        <f>CG10/인프라!CG6</f>
        <v>58.187771780054589</v>
      </c>
      <c r="CH24" s="372">
        <f>CH10/인프라!CH6</f>
        <v>87.514356144033073</v>
      </c>
      <c r="CI24" s="372">
        <f>CI10/인프라!CI6</f>
        <v>63.912477919269925</v>
      </c>
      <c r="CJ24" s="372">
        <f>CJ10/인프라!CJ6</f>
        <v>64.306591832524518</v>
      </c>
      <c r="CK24" s="372">
        <f>CK10/인프라!CK6</f>
        <v>57.597545938661639</v>
      </c>
      <c r="CL24" s="372">
        <f>CL10/인프라!CL6</f>
        <v>87.205397116238672</v>
      </c>
      <c r="CM24" s="372">
        <f>CM10/인프라!CM6</f>
        <v>63.085166082095832</v>
      </c>
      <c r="CN24" s="372">
        <f>CN10/인프라!CN6</f>
        <v>80.81395159981507</v>
      </c>
      <c r="CO24" s="372">
        <f>CO10/인프라!CO6</f>
        <v>58.353964064701515</v>
      </c>
      <c r="CP24" s="372">
        <f>CP10/인프라!CP6</f>
        <v>56.235290272851849</v>
      </c>
      <c r="CQ24" s="759">
        <f>CQ10/인프라!CQ6</f>
        <v>51.830392370572227</v>
      </c>
    </row>
    <row r="25" spans="1:99" s="507" customFormat="1" ht="17.5" hidden="1" customHeight="1">
      <c r="A25" s="3009"/>
      <c r="B25" s="3321" t="s">
        <v>378</v>
      </c>
      <c r="C25" s="3322"/>
      <c r="D25" s="3322"/>
      <c r="E25" s="209">
        <f>E10/12/인건비!F14</f>
        <v>16.053755052833132</v>
      </c>
      <c r="F25" s="372">
        <f>F10/인건비!G14</f>
        <v>14.716444444444445</v>
      </c>
      <c r="G25" s="372">
        <f>G10/인건비!H14</f>
        <v>15.279007971656332</v>
      </c>
      <c r="H25" s="372">
        <f>H10/인건비!I14</f>
        <v>15.514410480349344</v>
      </c>
      <c r="I25" s="372">
        <f>I10/인건비!J14</f>
        <v>14.939465408805031</v>
      </c>
      <c r="J25" s="372">
        <f>J10/인건비!K14</f>
        <v>17.525464834276477</v>
      </c>
      <c r="K25" s="372">
        <f>K10/인건비!L14</f>
        <v>15.000813669650123</v>
      </c>
      <c r="L25" s="372">
        <f>L10/인건비!M14</f>
        <v>14.79966611018364</v>
      </c>
      <c r="M25" s="372">
        <f>M10/인건비!N14</f>
        <v>18.254105445116682</v>
      </c>
      <c r="N25" s="372">
        <f>N10/인건비!O14</f>
        <v>15.060816681146829</v>
      </c>
      <c r="O25" s="372">
        <f>O10/인건비!P14</f>
        <v>17.228146853146853</v>
      </c>
      <c r="P25" s="372">
        <f>P10/인건비!Q14</f>
        <v>18.084264832330181</v>
      </c>
      <c r="Q25" s="372">
        <f>Q10/인건비!R14</f>
        <v>16.298870547350131</v>
      </c>
      <c r="R25" s="209">
        <f>R10/12/인건비!S14</f>
        <v>17.306247633472168</v>
      </c>
      <c r="S25" s="372">
        <f>S10/인건비!T14</f>
        <v>16.046591889559966</v>
      </c>
      <c r="T25" s="372">
        <f>T10/인건비!U14</f>
        <v>15.160139251523063</v>
      </c>
      <c r="U25" s="372">
        <f>U10/인건비!V14</f>
        <v>16.243386243386244</v>
      </c>
      <c r="V25" s="372">
        <f>V10/인건비!W14</f>
        <v>16.429211469534049</v>
      </c>
      <c r="W25" s="372">
        <f>W10/인건비!X14</f>
        <v>16.162601626016261</v>
      </c>
      <c r="X25" s="372">
        <f>X10/인건비!Y14</f>
        <v>16.883152173913043</v>
      </c>
      <c r="Y25" s="372">
        <f>Y10/인건비!Z14</f>
        <v>17.271571298819254</v>
      </c>
      <c r="Z25" s="372">
        <f>Z10/인건비!AA14</f>
        <v>21.706209453197406</v>
      </c>
      <c r="AA25" s="372">
        <f>AA10/인건비!AB14</f>
        <v>16.830028328611899</v>
      </c>
      <c r="AB25" s="372">
        <f>AB10/인건비!AC14</f>
        <v>21.685061845861085</v>
      </c>
      <c r="AC25" s="372">
        <f>AC10/인건비!AD14</f>
        <v>18.588289962825279</v>
      </c>
      <c r="AD25" s="372">
        <f>AD10/인건비!AE14</f>
        <v>15.11588785046729</v>
      </c>
      <c r="AE25" s="209">
        <f>AE10/12/인건비!AF14</f>
        <v>15.503394096560141</v>
      </c>
      <c r="AF25" s="1187">
        <f>AF10/인건비!AG14</f>
        <v>15.415813953488373</v>
      </c>
      <c r="AG25" s="1188">
        <f>AG10/인건비!AH14</f>
        <v>15.703703703703704</v>
      </c>
      <c r="AH25" s="1188">
        <f>AH10/인건비!AI14</f>
        <v>14.575729068673565</v>
      </c>
      <c r="AI25" s="1188">
        <f>AI10/인건비!AJ14</f>
        <v>15.177902621722847</v>
      </c>
      <c r="AJ25" s="1188">
        <f>AJ10/인건비!AK14</f>
        <v>14.69047619047619</v>
      </c>
      <c r="AK25" s="1188">
        <f>AK10/인건비!AL14</f>
        <v>16.945471349353049</v>
      </c>
      <c r="AL25" s="1188">
        <f>AL10/인건비!AM14</f>
        <v>13.780330882352942</v>
      </c>
      <c r="AM25" s="1188">
        <f>AM10/인건비!AN14</f>
        <v>20.552583025830259</v>
      </c>
      <c r="AN25" s="1188">
        <f>AN10/인건비!AO14</f>
        <v>13.415454545454546</v>
      </c>
      <c r="AO25" s="1188">
        <f>AO10/인건비!AP14</f>
        <v>20.066486972147349</v>
      </c>
      <c r="AP25" s="1188">
        <f>AP10/인건비!AQ14</f>
        <v>14.058252427184467</v>
      </c>
      <c r="AQ25" s="1189">
        <f>AQ10/인건비!AR14</f>
        <v>11.792586054721976</v>
      </c>
      <c r="AR25" s="209" t="e">
        <f>AR10/12/인건비!#REF!</f>
        <v>#REF!</v>
      </c>
      <c r="AS25" s="372" t="e">
        <f>AS10/인건비!#REF!</f>
        <v>#REF!</v>
      </c>
      <c r="AT25" s="372" t="e">
        <f>AT10/인건비!#REF!</f>
        <v>#REF!</v>
      </c>
      <c r="AU25" s="372" t="e">
        <f>AU10/인건비!#REF!</f>
        <v>#REF!</v>
      </c>
      <c r="AV25" s="372" t="e">
        <f>AV10/인건비!#REF!</f>
        <v>#REF!</v>
      </c>
      <c r="AW25" s="372" t="e">
        <f>AW10/인건비!#REF!</f>
        <v>#REF!</v>
      </c>
      <c r="AX25" s="372" t="e">
        <f>AX10/인건비!#REF!</f>
        <v>#REF!</v>
      </c>
      <c r="AY25" s="372" t="e">
        <f>AY10/인건비!#REF!</f>
        <v>#REF!</v>
      </c>
      <c r="AZ25" s="372" t="e">
        <f>AZ10/인건비!#REF!</f>
        <v>#REF!</v>
      </c>
      <c r="BA25" s="372" t="e">
        <f>BA10/인건비!#REF!</f>
        <v>#REF!</v>
      </c>
      <c r="BB25" s="372" t="e">
        <f>BB10/인건비!#REF!</f>
        <v>#REF!</v>
      </c>
      <c r="BC25" s="372" t="e">
        <f>BC10/인건비!#REF!</f>
        <v>#REF!</v>
      </c>
      <c r="BD25" s="759" t="e">
        <f>BD10/인건비!#REF!</f>
        <v>#REF!</v>
      </c>
      <c r="BE25" s="209" t="e">
        <f>BE10/12/인건비!#REF!</f>
        <v>#REF!</v>
      </c>
      <c r="BF25" s="372" t="e">
        <f>BF10/인건비!#REF!</f>
        <v>#REF!</v>
      </c>
      <c r="BG25" s="372" t="e">
        <f>BG10/인건비!#REF!</f>
        <v>#REF!</v>
      </c>
      <c r="BH25" s="372" t="e">
        <f>BH10/인건비!#REF!</f>
        <v>#REF!</v>
      </c>
      <c r="BI25" s="372" t="e">
        <f>BI10/인건비!#REF!</f>
        <v>#REF!</v>
      </c>
      <c r="BJ25" s="372" t="e">
        <f>BJ10/인건비!#REF!</f>
        <v>#REF!</v>
      </c>
      <c r="BK25" s="372" t="e">
        <f>BK10/인건비!#REF!</f>
        <v>#REF!</v>
      </c>
      <c r="BL25" s="372" t="e">
        <f>BL10/인건비!#REF!</f>
        <v>#REF!</v>
      </c>
      <c r="BM25" s="372" t="e">
        <f>BM10/인건비!#REF!</f>
        <v>#REF!</v>
      </c>
      <c r="BN25" s="372" t="e">
        <f>BN10/인건비!#REF!</f>
        <v>#REF!</v>
      </c>
      <c r="BO25" s="372" t="e">
        <f>BO10/인건비!#REF!</f>
        <v>#REF!</v>
      </c>
      <c r="BP25" s="372" t="e">
        <f>BP10/인건비!#REF!</f>
        <v>#REF!</v>
      </c>
      <c r="BQ25" s="759" t="e">
        <f>BQ10/인건비!#REF!</f>
        <v>#REF!</v>
      </c>
      <c r="BR25" s="209" t="e">
        <f>BR10/12/인건비!#REF!</f>
        <v>#REF!</v>
      </c>
      <c r="BS25" s="372" t="e">
        <f>BS10/인건비!#REF!</f>
        <v>#REF!</v>
      </c>
      <c r="BT25" s="372" t="e">
        <f>BT10/인건비!#REF!</f>
        <v>#REF!</v>
      </c>
      <c r="BU25" s="372" t="e">
        <f>BU10/인건비!#REF!</f>
        <v>#REF!</v>
      </c>
      <c r="BV25" s="372" t="e">
        <f>BV10/인건비!#REF!</f>
        <v>#REF!</v>
      </c>
      <c r="BW25" s="372" t="e">
        <f>BW10/인건비!#REF!</f>
        <v>#REF!</v>
      </c>
      <c r="BX25" s="372" t="e">
        <f>BX10/인건비!#REF!</f>
        <v>#REF!</v>
      </c>
      <c r="BY25" s="372" t="e">
        <f>BY10/인건비!#REF!</f>
        <v>#REF!</v>
      </c>
      <c r="BZ25" s="372" t="e">
        <f>BZ10/인건비!#REF!</f>
        <v>#REF!</v>
      </c>
      <c r="CA25" s="372" t="e">
        <f>CA10/인건비!#REF!</f>
        <v>#REF!</v>
      </c>
      <c r="CB25" s="372" t="e">
        <f>CB10/인건비!#REF!</f>
        <v>#REF!</v>
      </c>
      <c r="CC25" s="372" t="e">
        <f>CC10/인건비!#REF!</f>
        <v>#REF!</v>
      </c>
      <c r="CD25" s="759" t="e">
        <f>CD10/인건비!#REF!</f>
        <v>#REF!</v>
      </c>
      <c r="CE25" s="209" t="e">
        <f>CE10/12/인건비!#REF!</f>
        <v>#REF!</v>
      </c>
      <c r="CF25" s="372" t="e">
        <f>CF10/인건비!#REF!</f>
        <v>#REF!</v>
      </c>
      <c r="CG25" s="372" t="e">
        <f>CG10/인건비!#REF!</f>
        <v>#REF!</v>
      </c>
      <c r="CH25" s="372" t="e">
        <f>CH10/인건비!#REF!</f>
        <v>#REF!</v>
      </c>
      <c r="CI25" s="372" t="e">
        <f>CI10/인건비!#REF!</f>
        <v>#REF!</v>
      </c>
      <c r="CJ25" s="372" t="e">
        <f>CJ10/인건비!#REF!</f>
        <v>#REF!</v>
      </c>
      <c r="CK25" s="372" t="e">
        <f>CK10/인건비!#REF!</f>
        <v>#REF!</v>
      </c>
      <c r="CL25" s="372" t="e">
        <f>CL10/인건비!#REF!</f>
        <v>#REF!</v>
      </c>
      <c r="CM25" s="372" t="e">
        <f>CM10/인건비!#REF!</f>
        <v>#REF!</v>
      </c>
      <c r="CN25" s="372" t="e">
        <f>CN10/인건비!#REF!</f>
        <v>#REF!</v>
      </c>
      <c r="CO25" s="372" t="e">
        <f>CO10/인건비!#REF!</f>
        <v>#REF!</v>
      </c>
      <c r="CP25" s="372" t="e">
        <f>CP10/인건비!#REF!</f>
        <v>#REF!</v>
      </c>
      <c r="CQ25" s="759" t="e">
        <f>CQ10/인건비!#REF!</f>
        <v>#REF!</v>
      </c>
    </row>
    <row r="26" spans="1:99" s="507" customFormat="1">
      <c r="A26" s="2206"/>
      <c r="B26" s="634"/>
      <c r="C26" s="634"/>
      <c r="D26" s="634"/>
      <c r="E26" s="644"/>
      <c r="F26" s="644"/>
      <c r="G26" s="644"/>
      <c r="H26" s="644"/>
      <c r="I26" s="644"/>
      <c r="J26" s="644"/>
      <c r="K26" s="644"/>
      <c r="L26" s="644"/>
      <c r="M26" s="644"/>
      <c r="N26" s="644"/>
      <c r="O26" s="644"/>
      <c r="P26" s="644"/>
      <c r="Q26" s="644"/>
      <c r="R26" s="644"/>
      <c r="S26" s="644"/>
      <c r="T26" s="644"/>
      <c r="U26" s="644"/>
      <c r="V26" s="644"/>
      <c r="W26" s="644"/>
      <c r="X26" s="644"/>
      <c r="Y26" s="644"/>
      <c r="Z26" s="644"/>
      <c r="AA26" s="644"/>
      <c r="AB26" s="644"/>
      <c r="AC26" s="644"/>
      <c r="AD26" s="644"/>
      <c r="AE26" s="644"/>
      <c r="AF26" s="760"/>
      <c r="AG26" s="760"/>
      <c r="AH26" s="760"/>
      <c r="AI26" s="760"/>
      <c r="AJ26" s="760"/>
      <c r="AK26" s="760"/>
      <c r="AL26" s="760"/>
      <c r="AM26" s="760"/>
      <c r="AN26" s="760"/>
      <c r="AO26" s="760"/>
      <c r="AP26" s="760"/>
      <c r="AQ26" s="760"/>
      <c r="AR26" s="644"/>
      <c r="AS26" s="680"/>
      <c r="AT26" s="680"/>
      <c r="AU26" s="680"/>
      <c r="AV26" s="680"/>
      <c r="AW26" s="680"/>
      <c r="AX26" s="680"/>
      <c r="AY26" s="680"/>
      <c r="AZ26" s="680"/>
      <c r="BA26" s="680"/>
      <c r="BB26" s="680"/>
      <c r="BC26" s="680"/>
      <c r="BD26" s="760"/>
      <c r="BE26" s="1678"/>
      <c r="BF26" s="1679"/>
      <c r="BG26" s="760"/>
      <c r="BH26" s="760"/>
      <c r="BI26" s="760"/>
      <c r="BJ26" s="760"/>
      <c r="BK26" s="760"/>
      <c r="BL26" s="760"/>
      <c r="BM26" s="760"/>
      <c r="BN26" s="760"/>
      <c r="BO26" s="760"/>
      <c r="BP26" s="760"/>
      <c r="BQ26" s="760"/>
      <c r="BR26" s="1678"/>
      <c r="BS26" s="1679"/>
      <c r="BT26" s="760"/>
      <c r="BU26" s="760"/>
      <c r="BV26" s="760"/>
      <c r="BW26" s="760"/>
      <c r="BX26" s="760"/>
      <c r="BY26" s="760"/>
      <c r="BZ26" s="760"/>
      <c r="CA26" s="760"/>
      <c r="CB26" s="760"/>
      <c r="CC26" s="760"/>
      <c r="CD26" s="760"/>
      <c r="CE26" s="1678"/>
      <c r="CF26" s="1679"/>
      <c r="CG26" s="760"/>
      <c r="CH26" s="760"/>
      <c r="CI26" s="760"/>
      <c r="CJ26" s="760"/>
      <c r="CK26" s="760"/>
      <c r="CL26" s="760"/>
      <c r="CM26" s="760"/>
      <c r="CN26" s="760"/>
      <c r="CO26" s="760"/>
      <c r="CP26" s="760"/>
      <c r="CQ26" s="760"/>
    </row>
    <row r="27" spans="1:99">
      <c r="F27" s="745"/>
      <c r="G27" s="745"/>
      <c r="H27" s="745"/>
      <c r="I27" s="745"/>
      <c r="J27" s="745"/>
      <c r="K27" s="745"/>
      <c r="L27" s="745"/>
      <c r="M27" s="745"/>
      <c r="N27" s="745"/>
      <c r="O27" s="745"/>
      <c r="P27" s="745"/>
      <c r="Q27" s="745"/>
      <c r="R27" s="128"/>
      <c r="S27" s="750"/>
      <c r="T27" s="750"/>
      <c r="U27" s="750"/>
      <c r="V27" s="750"/>
      <c r="W27" s="750"/>
      <c r="X27" s="750"/>
      <c r="Y27" s="750"/>
      <c r="Z27" s="750"/>
      <c r="AA27" s="750"/>
      <c r="AB27" s="750"/>
      <c r="AC27" s="750"/>
      <c r="AD27" s="750"/>
      <c r="AE27" s="128"/>
      <c r="AF27" s="2221"/>
      <c r="AG27" s="2222"/>
      <c r="AH27" s="1420"/>
      <c r="AI27" s="2223"/>
      <c r="AJ27" s="2224"/>
      <c r="AK27" s="423"/>
      <c r="AL27" s="423"/>
      <c r="AM27" s="423"/>
      <c r="AN27" s="423"/>
      <c r="AO27" s="423"/>
      <c r="AP27" s="423"/>
      <c r="AR27" s="128"/>
      <c r="AS27" s="645"/>
      <c r="AT27" s="703"/>
      <c r="AU27" s="489"/>
      <c r="AV27" s="696"/>
      <c r="AW27" s="702"/>
      <c r="BE27" s="746"/>
      <c r="BF27" s="1679"/>
      <c r="BG27" s="1673"/>
      <c r="BH27" s="1670"/>
      <c r="BI27" s="1670"/>
      <c r="BJ27" s="1670"/>
      <c r="BK27" s="1670"/>
      <c r="BL27" s="1670"/>
      <c r="BM27" s="1670"/>
      <c r="BN27" s="1670"/>
      <c r="BO27" s="1670"/>
      <c r="BP27" s="1670"/>
      <c r="BQ27" s="1670"/>
      <c r="BR27" s="746"/>
      <c r="BS27" s="760"/>
      <c r="BT27" s="760"/>
      <c r="BU27" s="1670"/>
      <c r="BV27" s="1670"/>
      <c r="BW27" s="1670"/>
      <c r="BX27" s="1670"/>
      <c r="BY27" s="1670"/>
      <c r="BZ27" s="1670"/>
      <c r="CA27" s="1670"/>
      <c r="CB27" s="1670"/>
      <c r="CC27" s="1670"/>
      <c r="CD27" s="1670"/>
      <c r="CE27" s="746"/>
      <c r="CF27" s="760"/>
      <c r="CG27" s="760"/>
      <c r="CH27" s="1670"/>
      <c r="CI27" s="1670"/>
      <c r="CJ27" s="1670"/>
      <c r="CK27" s="1670"/>
      <c r="CL27" s="1670"/>
      <c r="CM27" s="1670"/>
      <c r="CN27" s="1670"/>
      <c r="CO27" s="1670"/>
      <c r="CP27" s="1670"/>
      <c r="CQ27" s="1670"/>
    </row>
    <row r="28" spans="1:99" ht="21">
      <c r="B28" s="11" t="s">
        <v>200</v>
      </c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371"/>
      <c r="U28" s="371"/>
      <c r="V28" s="371"/>
      <c r="W28" s="371"/>
      <c r="X28" s="371"/>
      <c r="Y28" s="371"/>
      <c r="Z28" s="130"/>
      <c r="AA28" s="130"/>
      <c r="AB28" s="130"/>
      <c r="AC28" s="130"/>
      <c r="AD28" s="130"/>
      <c r="AE28" s="130"/>
      <c r="AF28" s="2225"/>
      <c r="AG28" s="2226"/>
      <c r="AH28" s="2226"/>
      <c r="AI28" s="2226"/>
      <c r="AJ28" s="2226"/>
      <c r="AK28" s="2226"/>
      <c r="AL28" s="2226"/>
      <c r="AM28" s="2225"/>
      <c r="AN28" s="2225"/>
      <c r="AO28" s="2225"/>
      <c r="AP28" s="2225"/>
      <c r="AQ28" s="2225"/>
      <c r="AR28" s="130"/>
      <c r="AS28" s="130"/>
      <c r="AT28" s="371"/>
      <c r="AU28" s="371"/>
      <c r="AV28" s="371"/>
      <c r="AW28" s="371"/>
      <c r="AX28" s="371"/>
      <c r="AY28" s="371"/>
      <c r="AZ28" s="130"/>
      <c r="BA28" s="130"/>
      <c r="BB28" s="130"/>
      <c r="BC28" s="130"/>
      <c r="BD28" s="514"/>
      <c r="BE28" s="514"/>
      <c r="BF28" s="1673"/>
      <c r="BG28" s="1670"/>
      <c r="BH28" s="1670"/>
      <c r="BI28" s="1670"/>
      <c r="BJ28" s="1670"/>
      <c r="BK28" s="1670"/>
      <c r="BL28" s="1670"/>
      <c r="BM28" s="1670"/>
      <c r="BN28" s="1670"/>
      <c r="BO28" s="1670"/>
      <c r="BP28" s="1670"/>
      <c r="BQ28" s="1670"/>
      <c r="BR28" s="514"/>
      <c r="BS28" s="2451"/>
      <c r="BT28" s="2466"/>
      <c r="BU28" s="2452"/>
      <c r="BV28" s="2452"/>
      <c r="BW28" s="2452"/>
      <c r="BX28" s="2452"/>
      <c r="BY28" s="2452"/>
      <c r="BZ28" s="2452"/>
      <c r="CA28" s="2452"/>
      <c r="CB28" s="2452"/>
      <c r="CC28" s="2452"/>
      <c r="CD28" s="2452"/>
      <c r="CE28" s="514"/>
      <c r="CF28" s="2451"/>
      <c r="CG28" s="2466"/>
      <c r="CH28" s="2452"/>
      <c r="CI28" s="2452"/>
      <c r="CJ28" s="2452"/>
      <c r="CK28" s="2452"/>
      <c r="CL28" s="2452"/>
      <c r="CM28" s="2452"/>
      <c r="CN28" s="2452"/>
      <c r="CO28" s="2452"/>
      <c r="CP28" s="2452"/>
      <c r="CQ28" s="2452"/>
    </row>
    <row r="29" spans="1:99" ht="17.5" hidden="1" customHeight="1">
      <c r="B29" s="3311" t="s">
        <v>192</v>
      </c>
      <c r="C29" s="3312"/>
      <c r="D29" s="210" t="s">
        <v>14</v>
      </c>
      <c r="E29" s="397">
        <f>AVERAGE(F29:Q29)</f>
        <v>2409465.5196059132</v>
      </c>
      <c r="F29" s="214">
        <f t="shared" ref="F29" si="32">SUM(F30:F39)</f>
        <v>2426845</v>
      </c>
      <c r="G29" s="214">
        <f t="shared" ref="G29:Q29" si="33">SUM(G30:G39)</f>
        <v>2456468</v>
      </c>
      <c r="H29" s="213">
        <f t="shared" si="33"/>
        <v>2449698</v>
      </c>
      <c r="I29" s="213">
        <f t="shared" si="33"/>
        <v>2441429</v>
      </c>
      <c r="J29" s="213">
        <f t="shared" si="33"/>
        <v>2441891</v>
      </c>
      <c r="K29" s="213">
        <f t="shared" si="33"/>
        <v>2445361</v>
      </c>
      <c r="L29" s="213">
        <v>2459657</v>
      </c>
      <c r="M29" s="213">
        <v>2461743</v>
      </c>
      <c r="N29" s="213">
        <f t="shared" si="33"/>
        <v>2414178.6225127419</v>
      </c>
      <c r="O29" s="213">
        <f t="shared" si="33"/>
        <v>2357927.5923538664</v>
      </c>
      <c r="P29" s="213">
        <f t="shared" si="33"/>
        <v>2302885.7377924738</v>
      </c>
      <c r="Q29" s="214">
        <f t="shared" si="33"/>
        <v>2255502.2826118758</v>
      </c>
      <c r="R29" s="397">
        <f>AVERAGE(S29:AD29)</f>
        <v>0</v>
      </c>
      <c r="S29" s="214">
        <f t="shared" ref="S29:AD29" si="34">SUM(S30:S39)</f>
        <v>0</v>
      </c>
      <c r="T29" s="214">
        <f t="shared" si="34"/>
        <v>0</v>
      </c>
      <c r="U29" s="213">
        <f t="shared" si="34"/>
        <v>0</v>
      </c>
      <c r="V29" s="213">
        <f t="shared" si="34"/>
        <v>0</v>
      </c>
      <c r="W29" s="213">
        <f t="shared" si="34"/>
        <v>0</v>
      </c>
      <c r="X29" s="213">
        <f t="shared" si="34"/>
        <v>0</v>
      </c>
      <c r="Y29" s="213">
        <f t="shared" si="34"/>
        <v>0</v>
      </c>
      <c r="Z29" s="213">
        <f t="shared" si="34"/>
        <v>0</v>
      </c>
      <c r="AA29" s="213">
        <f t="shared" si="34"/>
        <v>0</v>
      </c>
      <c r="AB29" s="213">
        <f t="shared" si="34"/>
        <v>0</v>
      </c>
      <c r="AC29" s="213">
        <f t="shared" si="34"/>
        <v>0</v>
      </c>
      <c r="AD29" s="214">
        <f t="shared" si="34"/>
        <v>0</v>
      </c>
      <c r="AE29" s="397">
        <f>AVERAGE(AF29:AQ29)</f>
        <v>0</v>
      </c>
      <c r="AF29" s="1190">
        <f t="shared" ref="AF29:AQ29" si="35">SUM(AF30:AF39)</f>
        <v>0</v>
      </c>
      <c r="AG29" s="1191">
        <f t="shared" si="35"/>
        <v>0</v>
      </c>
      <c r="AH29" s="1191">
        <f t="shared" si="35"/>
        <v>0</v>
      </c>
      <c r="AI29" s="1191">
        <f t="shared" si="35"/>
        <v>0</v>
      </c>
      <c r="AJ29" s="1191">
        <f t="shared" si="35"/>
        <v>0</v>
      </c>
      <c r="AK29" s="1191">
        <f t="shared" si="35"/>
        <v>0</v>
      </c>
      <c r="AL29" s="1191">
        <f t="shared" si="35"/>
        <v>0</v>
      </c>
      <c r="AM29" s="1191">
        <f t="shared" si="35"/>
        <v>0</v>
      </c>
      <c r="AN29" s="1191">
        <f t="shared" si="35"/>
        <v>0</v>
      </c>
      <c r="AO29" s="1191">
        <f t="shared" si="35"/>
        <v>0</v>
      </c>
      <c r="AP29" s="1191">
        <f t="shared" si="35"/>
        <v>0</v>
      </c>
      <c r="AQ29" s="1192">
        <f t="shared" si="35"/>
        <v>0</v>
      </c>
      <c r="AR29" s="397">
        <f>AVERAGE(AS29:BD29)</f>
        <v>0</v>
      </c>
      <c r="AS29" s="214">
        <f t="shared" ref="AS29:BD29" si="36">SUM(AS30:AS39)</f>
        <v>0</v>
      </c>
      <c r="AT29" s="214">
        <f t="shared" si="36"/>
        <v>0</v>
      </c>
      <c r="AU29" s="213">
        <f t="shared" si="36"/>
        <v>0</v>
      </c>
      <c r="AV29" s="213">
        <f t="shared" si="36"/>
        <v>0</v>
      </c>
      <c r="AW29" s="213">
        <f t="shared" si="36"/>
        <v>0</v>
      </c>
      <c r="AX29" s="213">
        <f t="shared" si="36"/>
        <v>0</v>
      </c>
      <c r="AY29" s="213">
        <f t="shared" si="36"/>
        <v>0</v>
      </c>
      <c r="AZ29" s="213">
        <f t="shared" si="36"/>
        <v>0</v>
      </c>
      <c r="BA29" s="213">
        <f t="shared" si="36"/>
        <v>0</v>
      </c>
      <c r="BB29" s="213">
        <f t="shared" si="36"/>
        <v>0</v>
      </c>
      <c r="BC29" s="213">
        <f t="shared" si="36"/>
        <v>0</v>
      </c>
      <c r="BD29" s="214">
        <f t="shared" si="36"/>
        <v>0</v>
      </c>
      <c r="BE29" s="397">
        <f>AVERAGE(BF29:BQ29)</f>
        <v>0</v>
      </c>
      <c r="BF29" s="214">
        <f t="shared" ref="BF29:BQ29" si="37">SUM(BF30:BF39)</f>
        <v>0</v>
      </c>
      <c r="BG29" s="214">
        <f t="shared" si="37"/>
        <v>0</v>
      </c>
      <c r="BH29" s="213">
        <f t="shared" si="37"/>
        <v>0</v>
      </c>
      <c r="BI29" s="213">
        <f t="shared" si="37"/>
        <v>0</v>
      </c>
      <c r="BJ29" s="213">
        <f t="shared" si="37"/>
        <v>0</v>
      </c>
      <c r="BK29" s="213">
        <f t="shared" si="37"/>
        <v>0</v>
      </c>
      <c r="BL29" s="213">
        <f t="shared" si="37"/>
        <v>0</v>
      </c>
      <c r="BM29" s="213">
        <f t="shared" si="37"/>
        <v>0</v>
      </c>
      <c r="BN29" s="213">
        <f t="shared" si="37"/>
        <v>0</v>
      </c>
      <c r="BO29" s="213">
        <f t="shared" si="37"/>
        <v>0</v>
      </c>
      <c r="BP29" s="213">
        <f t="shared" si="37"/>
        <v>0</v>
      </c>
      <c r="BQ29" s="214">
        <f t="shared" si="37"/>
        <v>0</v>
      </c>
      <c r="BR29" s="397">
        <f>AVERAGE(BS29:CD29)</f>
        <v>0</v>
      </c>
      <c r="BS29" s="214">
        <f t="shared" ref="BS29:CD29" si="38">SUM(BS30:BS39)</f>
        <v>0</v>
      </c>
      <c r="BT29" s="214">
        <f t="shared" si="38"/>
        <v>0</v>
      </c>
      <c r="BU29" s="213">
        <f t="shared" si="38"/>
        <v>0</v>
      </c>
      <c r="BV29" s="213">
        <f t="shared" si="38"/>
        <v>0</v>
      </c>
      <c r="BW29" s="213">
        <f t="shared" si="38"/>
        <v>0</v>
      </c>
      <c r="BX29" s="213">
        <f t="shared" si="38"/>
        <v>0</v>
      </c>
      <c r="BY29" s="213">
        <f t="shared" si="38"/>
        <v>0</v>
      </c>
      <c r="BZ29" s="213">
        <f t="shared" si="38"/>
        <v>0</v>
      </c>
      <c r="CA29" s="213">
        <f t="shared" si="38"/>
        <v>0</v>
      </c>
      <c r="CB29" s="213">
        <f t="shared" si="38"/>
        <v>0</v>
      </c>
      <c r="CC29" s="213">
        <f t="shared" si="38"/>
        <v>0</v>
      </c>
      <c r="CD29" s="214">
        <f t="shared" si="38"/>
        <v>0</v>
      </c>
      <c r="CE29" s="397">
        <f>AVERAGE(CF29:CQ29)</f>
        <v>0</v>
      </c>
      <c r="CF29" s="214">
        <f t="shared" ref="CF29:CQ29" si="39">SUM(CF30:CF39)</f>
        <v>0</v>
      </c>
      <c r="CG29" s="214">
        <f t="shared" si="39"/>
        <v>0</v>
      </c>
      <c r="CH29" s="213">
        <f t="shared" si="39"/>
        <v>0</v>
      </c>
      <c r="CI29" s="213">
        <f t="shared" si="39"/>
        <v>0</v>
      </c>
      <c r="CJ29" s="213">
        <f t="shared" si="39"/>
        <v>0</v>
      </c>
      <c r="CK29" s="213">
        <f t="shared" si="39"/>
        <v>0</v>
      </c>
      <c r="CL29" s="213">
        <f t="shared" si="39"/>
        <v>0</v>
      </c>
      <c r="CM29" s="213">
        <f t="shared" si="39"/>
        <v>0</v>
      </c>
      <c r="CN29" s="213">
        <f t="shared" si="39"/>
        <v>0</v>
      </c>
      <c r="CO29" s="213">
        <f t="shared" si="39"/>
        <v>0</v>
      </c>
      <c r="CP29" s="213">
        <f t="shared" si="39"/>
        <v>0</v>
      </c>
      <c r="CQ29" s="214">
        <f t="shared" si="39"/>
        <v>0</v>
      </c>
    </row>
    <row r="30" spans="1:99" ht="17.5" hidden="1" customHeight="1">
      <c r="B30" s="3313"/>
      <c r="C30" s="3314"/>
      <c r="D30" s="201" t="s">
        <v>15</v>
      </c>
      <c r="E30" s="398">
        <f t="shared" ref="E30:E36" si="40">AVERAGE(F30:Q30)</f>
        <v>801240.36268998391</v>
      </c>
      <c r="F30" s="455">
        <v>828588</v>
      </c>
      <c r="G30" s="455">
        <v>830149</v>
      </c>
      <c r="H30" s="339">
        <v>830050</v>
      </c>
      <c r="I30" s="341">
        <v>825930</v>
      </c>
      <c r="J30" s="341">
        <v>822814</v>
      </c>
      <c r="K30" s="341">
        <v>818211</v>
      </c>
      <c r="L30" s="4">
        <v>811321</v>
      </c>
      <c r="M30" s="4">
        <v>806715</v>
      </c>
      <c r="N30" s="4">
        <f t="shared" ref="N30:Q31" si="41">M30+N53</f>
        <v>789272.5491633066</v>
      </c>
      <c r="O30" s="4">
        <f t="shared" si="41"/>
        <v>769418.3238487168</v>
      </c>
      <c r="P30" s="4">
        <f t="shared" si="41"/>
        <v>749966.22164347686</v>
      </c>
      <c r="Q30" s="5">
        <f t="shared" si="41"/>
        <v>732449.25762430497</v>
      </c>
      <c r="R30" s="398" t="e">
        <f t="shared" ref="R30:R36" si="42">AVERAGE(S30:AD30)</f>
        <v>#DIV/0!</v>
      </c>
      <c r="S30" s="5"/>
      <c r="T30" s="5"/>
      <c r="U30" s="621"/>
      <c r="V30" s="4"/>
      <c r="W30" s="4"/>
      <c r="X30" s="4"/>
      <c r="Y30" s="4"/>
      <c r="Z30" s="4"/>
      <c r="AA30" s="4"/>
      <c r="AB30" s="4"/>
      <c r="AC30" s="4"/>
      <c r="AD30" s="5"/>
      <c r="AE30" s="398" t="e">
        <f t="shared" ref="AE30:AE36" si="43">AVERAGE(AF30:AQ30)</f>
        <v>#DIV/0!</v>
      </c>
      <c r="AF30" s="1193"/>
      <c r="AG30" s="1050"/>
      <c r="AH30" s="1194"/>
      <c r="AI30" s="1050"/>
      <c r="AJ30" s="1050"/>
      <c r="AK30" s="1050"/>
      <c r="AL30" s="1050"/>
      <c r="AM30" s="1050"/>
      <c r="AN30" s="1050"/>
      <c r="AO30" s="1050"/>
      <c r="AP30" s="1050"/>
      <c r="AQ30" s="1109"/>
      <c r="AR30" s="398" t="e">
        <f t="shared" ref="AR30:AR36" si="44">AVERAGE(AS30:BD30)</f>
        <v>#DIV/0!</v>
      </c>
      <c r="AS30" s="5"/>
      <c r="AT30" s="5"/>
      <c r="AU30" s="621"/>
      <c r="AV30" s="4"/>
      <c r="AW30" s="4"/>
      <c r="AX30" s="4"/>
      <c r="AY30" s="4"/>
      <c r="AZ30" s="4"/>
      <c r="BA30" s="4"/>
      <c r="BB30" s="4"/>
      <c r="BC30" s="4"/>
      <c r="BD30" s="5"/>
      <c r="BE30" s="398" t="e">
        <f t="shared" ref="BE30:BE36" si="45">AVERAGE(BF30:BQ30)</f>
        <v>#DIV/0!</v>
      </c>
      <c r="BF30" s="5"/>
      <c r="BG30" s="5"/>
      <c r="BH30" s="621"/>
      <c r="BI30" s="4"/>
      <c r="BJ30" s="4"/>
      <c r="BK30" s="4"/>
      <c r="BL30" s="4"/>
      <c r="BM30" s="4"/>
      <c r="BN30" s="4"/>
      <c r="BO30" s="4"/>
      <c r="BP30" s="4"/>
      <c r="BQ30" s="5"/>
      <c r="BR30" s="398" t="e">
        <f t="shared" ref="BR30:BR36" si="46">AVERAGE(BS30:CD30)</f>
        <v>#DIV/0!</v>
      </c>
      <c r="BS30" s="5"/>
      <c r="BT30" s="5"/>
      <c r="BU30" s="621"/>
      <c r="BV30" s="4"/>
      <c r="BW30" s="4"/>
      <c r="BX30" s="4"/>
      <c r="BY30" s="4"/>
      <c r="BZ30" s="4"/>
      <c r="CA30" s="4"/>
      <c r="CB30" s="4"/>
      <c r="CC30" s="4"/>
      <c r="CD30" s="5"/>
      <c r="CE30" s="398" t="e">
        <f t="shared" ref="CE30:CE36" si="47">AVERAGE(CF30:CQ30)</f>
        <v>#DIV/0!</v>
      </c>
      <c r="CF30" s="5"/>
      <c r="CG30" s="5"/>
      <c r="CH30" s="621"/>
      <c r="CI30" s="4"/>
      <c r="CJ30" s="4"/>
      <c r="CK30" s="4"/>
      <c r="CL30" s="4"/>
      <c r="CM30" s="4"/>
      <c r="CN30" s="4"/>
      <c r="CO30" s="4"/>
      <c r="CP30" s="4"/>
      <c r="CQ30" s="5"/>
    </row>
    <row r="31" spans="1:99" ht="17.5" hidden="1" customHeight="1">
      <c r="B31" s="3313"/>
      <c r="C31" s="3314"/>
      <c r="D31" s="201" t="s">
        <v>285</v>
      </c>
      <c r="E31" s="398">
        <f t="shared" si="40"/>
        <v>681169.10938915866</v>
      </c>
      <c r="F31" s="455">
        <v>644830</v>
      </c>
      <c r="G31" s="455">
        <v>661974</v>
      </c>
      <c r="H31" s="339">
        <v>662413</v>
      </c>
      <c r="I31" s="341">
        <v>673839</v>
      </c>
      <c r="J31" s="341">
        <v>675642</v>
      </c>
      <c r="K31" s="341">
        <v>686325</v>
      </c>
      <c r="L31" s="4">
        <v>708418</v>
      </c>
      <c r="M31" s="4">
        <v>719080</v>
      </c>
      <c r="N31" s="4">
        <f t="shared" si="41"/>
        <v>705907.70012147131</v>
      </c>
      <c r="O31" s="4">
        <f t="shared" si="41"/>
        <v>691921.80710511759</v>
      </c>
      <c r="P31" s="4">
        <f t="shared" si="41"/>
        <v>678137.98149245</v>
      </c>
      <c r="Q31" s="5">
        <f t="shared" si="41"/>
        <v>665540.82395086531</v>
      </c>
      <c r="R31" s="398" t="e">
        <f t="shared" si="42"/>
        <v>#DIV/0!</v>
      </c>
      <c r="S31" s="5"/>
      <c r="T31" s="5"/>
      <c r="U31" s="621"/>
      <c r="V31" s="4"/>
      <c r="W31" s="4"/>
      <c r="X31" s="4"/>
      <c r="Y31" s="4"/>
      <c r="Z31" s="4"/>
      <c r="AA31" s="4"/>
      <c r="AB31" s="4"/>
      <c r="AC31" s="4"/>
      <c r="AD31" s="5"/>
      <c r="AE31" s="398" t="e">
        <f t="shared" si="43"/>
        <v>#DIV/0!</v>
      </c>
      <c r="AF31" s="1193"/>
      <c r="AG31" s="1050"/>
      <c r="AH31" s="1194"/>
      <c r="AI31" s="1050"/>
      <c r="AJ31" s="1050"/>
      <c r="AK31" s="1050"/>
      <c r="AL31" s="1050"/>
      <c r="AM31" s="1050"/>
      <c r="AN31" s="1050"/>
      <c r="AO31" s="1050"/>
      <c r="AP31" s="1050"/>
      <c r="AQ31" s="1109"/>
      <c r="AR31" s="398" t="e">
        <f t="shared" si="44"/>
        <v>#DIV/0!</v>
      </c>
      <c r="AS31" s="5"/>
      <c r="AT31" s="5"/>
      <c r="AU31" s="621"/>
      <c r="AV31" s="4"/>
      <c r="AW31" s="4"/>
      <c r="AX31" s="4"/>
      <c r="AY31" s="4"/>
      <c r="AZ31" s="4"/>
      <c r="BA31" s="4"/>
      <c r="BB31" s="4"/>
      <c r="BC31" s="4"/>
      <c r="BD31" s="5"/>
      <c r="BE31" s="398" t="e">
        <f t="shared" si="45"/>
        <v>#DIV/0!</v>
      </c>
      <c r="BF31" s="5"/>
      <c r="BG31" s="5"/>
      <c r="BH31" s="621"/>
      <c r="BI31" s="4"/>
      <c r="BJ31" s="4"/>
      <c r="BK31" s="4"/>
      <c r="BL31" s="4"/>
      <c r="BM31" s="4"/>
      <c r="BN31" s="4"/>
      <c r="BO31" s="4"/>
      <c r="BP31" s="4"/>
      <c r="BQ31" s="5"/>
      <c r="BR31" s="398" t="e">
        <f t="shared" si="46"/>
        <v>#DIV/0!</v>
      </c>
      <c r="BS31" s="5"/>
      <c r="BT31" s="5"/>
      <c r="BU31" s="621"/>
      <c r="BV31" s="4"/>
      <c r="BW31" s="4"/>
      <c r="BX31" s="4"/>
      <c r="BY31" s="4"/>
      <c r="BZ31" s="4"/>
      <c r="CA31" s="4"/>
      <c r="CB31" s="4"/>
      <c r="CC31" s="4"/>
      <c r="CD31" s="5"/>
      <c r="CE31" s="398" t="e">
        <f t="shared" si="47"/>
        <v>#DIV/0!</v>
      </c>
      <c r="CF31" s="5"/>
      <c r="CG31" s="5"/>
      <c r="CH31" s="621"/>
      <c r="CI31" s="4"/>
      <c r="CJ31" s="4"/>
      <c r="CK31" s="4"/>
      <c r="CL31" s="4"/>
      <c r="CM31" s="4"/>
      <c r="CN31" s="4"/>
      <c r="CO31" s="4"/>
      <c r="CP31" s="4"/>
      <c r="CQ31" s="5"/>
    </row>
    <row r="32" spans="1:99" ht="17.5" hidden="1" customHeight="1">
      <c r="B32" s="3313"/>
      <c r="C32" s="3314"/>
      <c r="D32" s="201" t="s">
        <v>246</v>
      </c>
      <c r="E32" s="398">
        <f t="shared" si="40"/>
        <v>39600.0530748042</v>
      </c>
      <c r="F32" s="455">
        <v>46258</v>
      </c>
      <c r="G32" s="455">
        <v>46394</v>
      </c>
      <c r="H32" s="339">
        <v>45521</v>
      </c>
      <c r="I32" s="341">
        <v>44023</v>
      </c>
      <c r="J32" s="341">
        <v>42040</v>
      </c>
      <c r="K32" s="341">
        <v>40231</v>
      </c>
      <c r="L32" s="4">
        <v>38404</v>
      </c>
      <c r="M32" s="4">
        <v>36628</v>
      </c>
      <c r="N32" s="4">
        <f t="shared" ref="N32:Q36" si="48">M32+N56</f>
        <v>35550.136794967482</v>
      </c>
      <c r="O32" s="4">
        <f t="shared" si="48"/>
        <v>34479.219161925394</v>
      </c>
      <c r="P32" s="4">
        <f t="shared" si="48"/>
        <v>33393.144350248549</v>
      </c>
      <c r="Q32" s="5">
        <f t="shared" si="48"/>
        <v>32279.136590509028</v>
      </c>
      <c r="R32" s="398" t="e">
        <f t="shared" si="42"/>
        <v>#DIV/0!</v>
      </c>
      <c r="S32" s="5"/>
      <c r="T32" s="5"/>
      <c r="U32" s="621"/>
      <c r="V32" s="4"/>
      <c r="W32" s="4"/>
      <c r="X32" s="4"/>
      <c r="Y32" s="4"/>
      <c r="Z32" s="4"/>
      <c r="AA32" s="4"/>
      <c r="AB32" s="4"/>
      <c r="AC32" s="4"/>
      <c r="AD32" s="5"/>
      <c r="AE32" s="398" t="e">
        <f t="shared" si="43"/>
        <v>#DIV/0!</v>
      </c>
      <c r="AF32" s="1193"/>
      <c r="AG32" s="1050"/>
      <c r="AH32" s="1194"/>
      <c r="AI32" s="1050"/>
      <c r="AJ32" s="1050"/>
      <c r="AK32" s="1050"/>
      <c r="AL32" s="1050"/>
      <c r="AM32" s="1050"/>
      <c r="AN32" s="1050"/>
      <c r="AO32" s="1050"/>
      <c r="AP32" s="1050"/>
      <c r="AQ32" s="1109"/>
      <c r="AR32" s="398" t="e">
        <f t="shared" si="44"/>
        <v>#DIV/0!</v>
      </c>
      <c r="AS32" s="5"/>
      <c r="AT32" s="5"/>
      <c r="AU32" s="621"/>
      <c r="AV32" s="4"/>
      <c r="AW32" s="4"/>
      <c r="AX32" s="4"/>
      <c r="AY32" s="4"/>
      <c r="AZ32" s="4"/>
      <c r="BA32" s="4"/>
      <c r="BB32" s="4"/>
      <c r="BC32" s="4"/>
      <c r="BD32" s="5"/>
      <c r="BE32" s="398" t="e">
        <f t="shared" si="45"/>
        <v>#DIV/0!</v>
      </c>
      <c r="BF32" s="5"/>
      <c r="BG32" s="5"/>
      <c r="BH32" s="621"/>
      <c r="BI32" s="4"/>
      <c r="BJ32" s="4"/>
      <c r="BK32" s="4"/>
      <c r="BL32" s="4"/>
      <c r="BM32" s="4"/>
      <c r="BN32" s="4"/>
      <c r="BO32" s="4"/>
      <c r="BP32" s="4"/>
      <c r="BQ32" s="5"/>
      <c r="BR32" s="398" t="e">
        <f t="shared" si="46"/>
        <v>#DIV/0!</v>
      </c>
      <c r="BS32" s="5"/>
      <c r="BT32" s="5"/>
      <c r="BU32" s="621"/>
      <c r="BV32" s="4"/>
      <c r="BW32" s="4"/>
      <c r="BX32" s="4"/>
      <c r="BY32" s="4"/>
      <c r="BZ32" s="4"/>
      <c r="CA32" s="4"/>
      <c r="CB32" s="4"/>
      <c r="CC32" s="4"/>
      <c r="CD32" s="5"/>
      <c r="CE32" s="398" t="e">
        <f t="shared" si="47"/>
        <v>#DIV/0!</v>
      </c>
      <c r="CF32" s="5"/>
      <c r="CG32" s="5"/>
      <c r="CH32" s="621"/>
      <c r="CI32" s="4"/>
      <c r="CJ32" s="4"/>
      <c r="CK32" s="4"/>
      <c r="CL32" s="4"/>
      <c r="CM32" s="4"/>
      <c r="CN32" s="4"/>
      <c r="CO32" s="4"/>
      <c r="CP32" s="4"/>
      <c r="CQ32" s="5"/>
    </row>
    <row r="33" spans="2:95" ht="17.5" hidden="1" customHeight="1">
      <c r="B33" s="3313"/>
      <c r="C33" s="3314"/>
      <c r="D33" s="201" t="s">
        <v>681</v>
      </c>
      <c r="E33" s="398">
        <f t="shared" si="40"/>
        <v>161519.55289647286</v>
      </c>
      <c r="F33" s="455">
        <v>166698</v>
      </c>
      <c r="G33" s="455">
        <v>169828</v>
      </c>
      <c r="H33" s="339">
        <v>169159</v>
      </c>
      <c r="I33" s="341">
        <v>165721</v>
      </c>
      <c r="J33" s="341">
        <v>167705</v>
      </c>
      <c r="K33" s="341">
        <v>166331</v>
      </c>
      <c r="L33" s="4">
        <v>166068</v>
      </c>
      <c r="M33" s="4">
        <v>165653</v>
      </c>
      <c r="N33" s="4">
        <f t="shared" si="48"/>
        <v>159625.41163809347</v>
      </c>
      <c r="O33" s="4">
        <f t="shared" si="48"/>
        <v>153297.07250583937</v>
      </c>
      <c r="P33" s="4">
        <f t="shared" si="48"/>
        <v>147135.27563984398</v>
      </c>
      <c r="Q33" s="5">
        <f t="shared" si="48"/>
        <v>141013.87497389759</v>
      </c>
      <c r="R33" s="398" t="e">
        <f t="shared" si="42"/>
        <v>#DIV/0!</v>
      </c>
      <c r="S33" s="5"/>
      <c r="T33" s="5"/>
      <c r="U33" s="621"/>
      <c r="V33" s="4"/>
      <c r="W33" s="4"/>
      <c r="X33" s="4"/>
      <c r="Y33" s="4"/>
      <c r="Z33" s="4"/>
      <c r="AA33" s="4"/>
      <c r="AB33" s="4"/>
      <c r="AC33" s="4"/>
      <c r="AD33" s="5"/>
      <c r="AE33" s="398" t="e">
        <f t="shared" si="43"/>
        <v>#DIV/0!</v>
      </c>
      <c r="AF33" s="1193"/>
      <c r="AG33" s="1050"/>
      <c r="AH33" s="1194"/>
      <c r="AI33" s="1050"/>
      <c r="AJ33" s="1050"/>
      <c r="AK33" s="1050"/>
      <c r="AL33" s="1050"/>
      <c r="AM33" s="1050"/>
      <c r="AN33" s="1050"/>
      <c r="AO33" s="1050"/>
      <c r="AP33" s="1050"/>
      <c r="AQ33" s="1109"/>
      <c r="AR33" s="398" t="e">
        <f t="shared" si="44"/>
        <v>#DIV/0!</v>
      </c>
      <c r="AS33" s="5"/>
      <c r="AT33" s="5"/>
      <c r="AU33" s="621"/>
      <c r="AV33" s="4"/>
      <c r="AW33" s="4"/>
      <c r="AX33" s="4"/>
      <c r="AY33" s="4"/>
      <c r="AZ33" s="4"/>
      <c r="BA33" s="4"/>
      <c r="BB33" s="4"/>
      <c r="BC33" s="4"/>
      <c r="BD33" s="5"/>
      <c r="BE33" s="398" t="e">
        <f t="shared" si="45"/>
        <v>#DIV/0!</v>
      </c>
      <c r="BF33" s="5"/>
      <c r="BG33" s="5"/>
      <c r="BH33" s="621"/>
      <c r="BI33" s="4"/>
      <c r="BJ33" s="4"/>
      <c r="BK33" s="4"/>
      <c r="BL33" s="4"/>
      <c r="BM33" s="4"/>
      <c r="BN33" s="4"/>
      <c r="BO33" s="4"/>
      <c r="BP33" s="4"/>
      <c r="BQ33" s="5"/>
      <c r="BR33" s="398" t="e">
        <f t="shared" si="46"/>
        <v>#DIV/0!</v>
      </c>
      <c r="BS33" s="5"/>
      <c r="BT33" s="5"/>
      <c r="BU33" s="621"/>
      <c r="BV33" s="4"/>
      <c r="BW33" s="4"/>
      <c r="BX33" s="4"/>
      <c r="BY33" s="4"/>
      <c r="BZ33" s="4"/>
      <c r="CA33" s="4"/>
      <c r="CB33" s="4"/>
      <c r="CC33" s="4"/>
      <c r="CD33" s="5"/>
      <c r="CE33" s="398" t="e">
        <f t="shared" si="47"/>
        <v>#DIV/0!</v>
      </c>
      <c r="CF33" s="5"/>
      <c r="CG33" s="5"/>
      <c r="CH33" s="621"/>
      <c r="CI33" s="4"/>
      <c r="CJ33" s="4"/>
      <c r="CK33" s="4"/>
      <c r="CL33" s="4"/>
      <c r="CM33" s="4"/>
      <c r="CN33" s="4"/>
      <c r="CO33" s="4"/>
      <c r="CP33" s="4"/>
      <c r="CQ33" s="5"/>
    </row>
    <row r="34" spans="2:95" ht="17.5" hidden="1" customHeight="1">
      <c r="B34" s="3313"/>
      <c r="C34" s="3314"/>
      <c r="D34" s="203" t="s">
        <v>333</v>
      </c>
      <c r="E34" s="399">
        <f t="shared" si="40"/>
        <v>24640.060951148302</v>
      </c>
      <c r="F34" s="456">
        <v>32530</v>
      </c>
      <c r="G34" s="456">
        <v>32073</v>
      </c>
      <c r="H34" s="343">
        <v>30313</v>
      </c>
      <c r="I34" s="340">
        <v>28772</v>
      </c>
      <c r="J34" s="340">
        <v>27121</v>
      </c>
      <c r="K34" s="340">
        <v>25460</v>
      </c>
      <c r="L34" s="7">
        <v>23679</v>
      </c>
      <c r="M34" s="7">
        <v>21837</v>
      </c>
      <c r="N34" s="7">
        <f t="shared" si="48"/>
        <v>20422.833509095704</v>
      </c>
      <c r="O34" s="7">
        <f t="shared" si="48"/>
        <v>19033.365585258918</v>
      </c>
      <c r="P34" s="7">
        <f t="shared" si="48"/>
        <v>17806.501191396266</v>
      </c>
      <c r="Q34" s="8">
        <f t="shared" si="48"/>
        <v>16633.03112802871</v>
      </c>
      <c r="R34" s="399" t="e">
        <f t="shared" si="42"/>
        <v>#DIV/0!</v>
      </c>
      <c r="S34" s="8"/>
      <c r="T34" s="8"/>
      <c r="U34" s="622"/>
      <c r="V34" s="7"/>
      <c r="W34" s="7"/>
      <c r="X34" s="7"/>
      <c r="Y34" s="7"/>
      <c r="Z34" s="7"/>
      <c r="AA34" s="7"/>
      <c r="AB34" s="7"/>
      <c r="AC34" s="7"/>
      <c r="AD34" s="8"/>
      <c r="AE34" s="399" t="e">
        <f t="shared" si="43"/>
        <v>#DIV/0!</v>
      </c>
      <c r="AF34" s="1195"/>
      <c r="AG34" s="1196"/>
      <c r="AH34" s="1197"/>
      <c r="AI34" s="1196"/>
      <c r="AJ34" s="1196"/>
      <c r="AK34" s="1196"/>
      <c r="AL34" s="1196"/>
      <c r="AM34" s="1196"/>
      <c r="AN34" s="1196"/>
      <c r="AO34" s="1196"/>
      <c r="AP34" s="1196"/>
      <c r="AQ34" s="1198"/>
      <c r="AR34" s="399" t="e">
        <f t="shared" si="44"/>
        <v>#DIV/0!</v>
      </c>
      <c r="AS34" s="8"/>
      <c r="AT34" s="8"/>
      <c r="AU34" s="622"/>
      <c r="AV34" s="7"/>
      <c r="AW34" s="7"/>
      <c r="AX34" s="7"/>
      <c r="AY34" s="7"/>
      <c r="AZ34" s="7"/>
      <c r="BA34" s="7"/>
      <c r="BB34" s="7"/>
      <c r="BC34" s="7"/>
      <c r="BD34" s="8"/>
      <c r="BE34" s="399" t="e">
        <f t="shared" si="45"/>
        <v>#DIV/0!</v>
      </c>
      <c r="BF34" s="8"/>
      <c r="BG34" s="8"/>
      <c r="BH34" s="622"/>
      <c r="BI34" s="7"/>
      <c r="BJ34" s="7"/>
      <c r="BK34" s="7"/>
      <c r="BL34" s="7"/>
      <c r="BM34" s="7"/>
      <c r="BN34" s="7"/>
      <c r="BO34" s="7"/>
      <c r="BP34" s="7"/>
      <c r="BQ34" s="8"/>
      <c r="BR34" s="399" t="e">
        <f t="shared" si="46"/>
        <v>#DIV/0!</v>
      </c>
      <c r="BS34" s="8"/>
      <c r="BT34" s="8"/>
      <c r="BU34" s="622"/>
      <c r="BV34" s="7"/>
      <c r="BW34" s="7"/>
      <c r="BX34" s="7"/>
      <c r="BY34" s="7"/>
      <c r="BZ34" s="7"/>
      <c r="CA34" s="7"/>
      <c r="CB34" s="7"/>
      <c r="CC34" s="7"/>
      <c r="CD34" s="8"/>
      <c r="CE34" s="399" t="e">
        <f t="shared" si="47"/>
        <v>#DIV/0!</v>
      </c>
      <c r="CF34" s="8"/>
      <c r="CG34" s="8"/>
      <c r="CH34" s="622"/>
      <c r="CI34" s="7"/>
      <c r="CJ34" s="7"/>
      <c r="CK34" s="7"/>
      <c r="CL34" s="7"/>
      <c r="CM34" s="7"/>
      <c r="CN34" s="7"/>
      <c r="CO34" s="7"/>
      <c r="CP34" s="7"/>
      <c r="CQ34" s="8"/>
    </row>
    <row r="35" spans="2:95" ht="17.5" hidden="1" customHeight="1">
      <c r="B35" s="3313"/>
      <c r="C35" s="3314"/>
      <c r="D35" s="202" t="s">
        <v>249</v>
      </c>
      <c r="E35" s="398">
        <f t="shared" si="40"/>
        <v>480181.42579391302</v>
      </c>
      <c r="F35" s="455">
        <v>477402</v>
      </c>
      <c r="G35" s="455">
        <v>482025</v>
      </c>
      <c r="H35" s="339">
        <v>480525</v>
      </c>
      <c r="I35" s="341">
        <v>476920</v>
      </c>
      <c r="J35" s="341">
        <v>479805</v>
      </c>
      <c r="K35" s="341">
        <v>483492</v>
      </c>
      <c r="L35" s="4">
        <v>487890</v>
      </c>
      <c r="M35" s="4">
        <v>490373</v>
      </c>
      <c r="N35" s="4">
        <f t="shared" si="48"/>
        <v>487389.89577547141</v>
      </c>
      <c r="O35" s="4">
        <f t="shared" si="48"/>
        <v>478814.65327428526</v>
      </c>
      <c r="P35" s="4">
        <f t="shared" si="48"/>
        <v>470666.75931970554</v>
      </c>
      <c r="Q35" s="5">
        <f t="shared" si="48"/>
        <v>466873.80115749361</v>
      </c>
      <c r="R35" s="398" t="e">
        <f t="shared" si="42"/>
        <v>#DIV/0!</v>
      </c>
      <c r="S35" s="5"/>
      <c r="T35" s="5"/>
      <c r="U35" s="621"/>
      <c r="V35" s="4"/>
      <c r="W35" s="4"/>
      <c r="X35" s="4"/>
      <c r="Y35" s="4"/>
      <c r="Z35" s="4"/>
      <c r="AA35" s="4"/>
      <c r="AB35" s="4"/>
      <c r="AC35" s="4"/>
      <c r="AD35" s="5"/>
      <c r="AE35" s="398" t="e">
        <f t="shared" si="43"/>
        <v>#DIV/0!</v>
      </c>
      <c r="AF35" s="1193"/>
      <c r="AG35" s="1050"/>
      <c r="AH35" s="1194"/>
      <c r="AI35" s="1050"/>
      <c r="AJ35" s="1050"/>
      <c r="AK35" s="1050"/>
      <c r="AL35" s="1050"/>
      <c r="AM35" s="1050"/>
      <c r="AN35" s="1050"/>
      <c r="AO35" s="1050"/>
      <c r="AP35" s="1050"/>
      <c r="AQ35" s="1109"/>
      <c r="AR35" s="398" t="e">
        <f t="shared" si="44"/>
        <v>#DIV/0!</v>
      </c>
      <c r="AS35" s="5"/>
      <c r="AT35" s="5"/>
      <c r="AU35" s="621"/>
      <c r="AV35" s="4"/>
      <c r="AW35" s="4"/>
      <c r="AX35" s="4"/>
      <c r="AY35" s="4"/>
      <c r="AZ35" s="4"/>
      <c r="BA35" s="4"/>
      <c r="BB35" s="4"/>
      <c r="BC35" s="4"/>
      <c r="BD35" s="5"/>
      <c r="BE35" s="398" t="e">
        <f t="shared" si="45"/>
        <v>#DIV/0!</v>
      </c>
      <c r="BF35" s="5"/>
      <c r="BG35" s="5"/>
      <c r="BH35" s="621"/>
      <c r="BI35" s="4"/>
      <c r="BJ35" s="4"/>
      <c r="BK35" s="4"/>
      <c r="BL35" s="4"/>
      <c r="BM35" s="4"/>
      <c r="BN35" s="4"/>
      <c r="BO35" s="4"/>
      <c r="BP35" s="4"/>
      <c r="BQ35" s="5"/>
      <c r="BR35" s="398" t="e">
        <f t="shared" si="46"/>
        <v>#DIV/0!</v>
      </c>
      <c r="BS35" s="5"/>
      <c r="BT35" s="5"/>
      <c r="BU35" s="621"/>
      <c r="BV35" s="4"/>
      <c r="BW35" s="4"/>
      <c r="BX35" s="4"/>
      <c r="BY35" s="4"/>
      <c r="BZ35" s="4"/>
      <c r="CA35" s="4"/>
      <c r="CB35" s="4"/>
      <c r="CC35" s="4"/>
      <c r="CD35" s="5"/>
      <c r="CE35" s="398" t="e">
        <f t="shared" si="47"/>
        <v>#DIV/0!</v>
      </c>
      <c r="CF35" s="5"/>
      <c r="CG35" s="5"/>
      <c r="CH35" s="621"/>
      <c r="CI35" s="4"/>
      <c r="CJ35" s="4"/>
      <c r="CK35" s="4"/>
      <c r="CL35" s="4"/>
      <c r="CM35" s="4"/>
      <c r="CN35" s="4"/>
      <c r="CO35" s="4"/>
      <c r="CP35" s="4"/>
      <c r="CQ35" s="5"/>
    </row>
    <row r="36" spans="2:95" ht="17.5" hidden="1" customHeight="1">
      <c r="B36" s="3313"/>
      <c r="C36" s="3314"/>
      <c r="D36" s="203" t="s">
        <v>57</v>
      </c>
      <c r="E36" s="399">
        <f t="shared" si="40"/>
        <v>221114.95481043239</v>
      </c>
      <c r="F36" s="456">
        <v>230539</v>
      </c>
      <c r="G36" s="456">
        <v>234025</v>
      </c>
      <c r="H36" s="343">
        <v>231717</v>
      </c>
      <c r="I36" s="340">
        <v>226224</v>
      </c>
      <c r="J36" s="340">
        <v>226764</v>
      </c>
      <c r="K36" s="340">
        <v>225311</v>
      </c>
      <c r="L36" s="7">
        <v>223877</v>
      </c>
      <c r="M36" s="7">
        <v>221457</v>
      </c>
      <c r="N36" s="7">
        <f t="shared" si="48"/>
        <v>216010.09551033608</v>
      </c>
      <c r="O36" s="7">
        <f t="shared" si="48"/>
        <v>210963.15087272332</v>
      </c>
      <c r="P36" s="7">
        <f t="shared" si="48"/>
        <v>205779.85415535275</v>
      </c>
      <c r="Q36" s="8">
        <f t="shared" si="48"/>
        <v>200712.35718677676</v>
      </c>
      <c r="R36" s="399" t="e">
        <f t="shared" si="42"/>
        <v>#DIV/0!</v>
      </c>
      <c r="S36" s="8"/>
      <c r="T36" s="8"/>
      <c r="U36" s="622"/>
      <c r="V36" s="7"/>
      <c r="W36" s="7"/>
      <c r="X36" s="7"/>
      <c r="Y36" s="7"/>
      <c r="Z36" s="7"/>
      <c r="AA36" s="7"/>
      <c r="AB36" s="7"/>
      <c r="AC36" s="7"/>
      <c r="AD36" s="8"/>
      <c r="AE36" s="399" t="e">
        <f t="shared" si="43"/>
        <v>#DIV/0!</v>
      </c>
      <c r="AF36" s="1195"/>
      <c r="AG36" s="1196"/>
      <c r="AH36" s="1197"/>
      <c r="AI36" s="1196"/>
      <c r="AJ36" s="1196"/>
      <c r="AK36" s="1196"/>
      <c r="AL36" s="1196"/>
      <c r="AM36" s="1196"/>
      <c r="AN36" s="1196"/>
      <c r="AO36" s="1196"/>
      <c r="AP36" s="1196"/>
      <c r="AQ36" s="1198"/>
      <c r="AR36" s="399" t="e">
        <f t="shared" si="44"/>
        <v>#DIV/0!</v>
      </c>
      <c r="AS36" s="8"/>
      <c r="AT36" s="8"/>
      <c r="AU36" s="622"/>
      <c r="AV36" s="7"/>
      <c r="AW36" s="7"/>
      <c r="AX36" s="7"/>
      <c r="AY36" s="7"/>
      <c r="AZ36" s="7"/>
      <c r="BA36" s="7"/>
      <c r="BB36" s="7"/>
      <c r="BC36" s="7"/>
      <c r="BD36" s="8"/>
      <c r="BE36" s="399" t="e">
        <f t="shared" si="45"/>
        <v>#DIV/0!</v>
      </c>
      <c r="BF36" s="8"/>
      <c r="BG36" s="8"/>
      <c r="BH36" s="622"/>
      <c r="BI36" s="7"/>
      <c r="BJ36" s="7"/>
      <c r="BK36" s="7"/>
      <c r="BL36" s="7"/>
      <c r="BM36" s="7"/>
      <c r="BN36" s="7"/>
      <c r="BO36" s="7"/>
      <c r="BP36" s="7"/>
      <c r="BQ36" s="8"/>
      <c r="BR36" s="399" t="e">
        <f t="shared" si="46"/>
        <v>#DIV/0!</v>
      </c>
      <c r="BS36" s="8"/>
      <c r="BT36" s="8"/>
      <c r="BU36" s="622"/>
      <c r="BV36" s="7"/>
      <c r="BW36" s="7"/>
      <c r="BX36" s="7"/>
      <c r="BY36" s="7"/>
      <c r="BZ36" s="7"/>
      <c r="CA36" s="7"/>
      <c r="CB36" s="7"/>
      <c r="CC36" s="7"/>
      <c r="CD36" s="8"/>
      <c r="CE36" s="399" t="e">
        <f t="shared" si="47"/>
        <v>#DIV/0!</v>
      </c>
      <c r="CF36" s="8"/>
      <c r="CG36" s="8"/>
      <c r="CH36" s="622"/>
      <c r="CI36" s="7"/>
      <c r="CJ36" s="7"/>
      <c r="CK36" s="7"/>
      <c r="CL36" s="7"/>
      <c r="CM36" s="7"/>
      <c r="CN36" s="7"/>
      <c r="CO36" s="7"/>
      <c r="CP36" s="7"/>
      <c r="CQ36" s="8"/>
    </row>
    <row r="37" spans="2:95" ht="17.5" hidden="1" customHeight="1">
      <c r="B37" s="3313"/>
      <c r="C37" s="3314"/>
      <c r="D37" s="201" t="s">
        <v>195</v>
      </c>
      <c r="E37" s="398"/>
      <c r="F37" s="455"/>
      <c r="G37" s="341"/>
      <c r="H37" s="339"/>
      <c r="I37" s="341"/>
      <c r="J37" s="341"/>
      <c r="K37" s="341"/>
      <c r="L37" s="4"/>
      <c r="M37" s="4"/>
      <c r="N37" s="4"/>
      <c r="O37" s="4"/>
      <c r="P37" s="4"/>
      <c r="Q37" s="5"/>
      <c r="R37" s="398"/>
      <c r="S37" s="5"/>
      <c r="T37" s="4"/>
      <c r="U37" s="621"/>
      <c r="V37" s="4"/>
      <c r="W37" s="4"/>
      <c r="X37" s="4"/>
      <c r="Y37" s="4"/>
      <c r="Z37" s="4"/>
      <c r="AA37" s="4"/>
      <c r="AB37" s="4"/>
      <c r="AC37" s="4"/>
      <c r="AD37" s="5"/>
      <c r="AE37" s="398"/>
      <c r="AF37" s="1193"/>
      <c r="AG37" s="1050"/>
      <c r="AH37" s="1194"/>
      <c r="AI37" s="1050"/>
      <c r="AJ37" s="1050"/>
      <c r="AK37" s="1050"/>
      <c r="AL37" s="1050"/>
      <c r="AM37" s="1050"/>
      <c r="AN37" s="1050"/>
      <c r="AO37" s="1050"/>
      <c r="AP37" s="1050"/>
      <c r="AQ37" s="1109"/>
      <c r="AR37" s="398"/>
      <c r="AS37" s="5"/>
      <c r="AT37" s="4"/>
      <c r="AU37" s="621"/>
      <c r="AV37" s="4"/>
      <c r="AW37" s="4"/>
      <c r="AX37" s="4"/>
      <c r="AY37" s="4"/>
      <c r="AZ37" s="4"/>
      <c r="BA37" s="4"/>
      <c r="BB37" s="4"/>
      <c r="BC37" s="4"/>
      <c r="BD37" s="5"/>
      <c r="BE37" s="398"/>
      <c r="BF37" s="5"/>
      <c r="BG37" s="4"/>
      <c r="BH37" s="621"/>
      <c r="BI37" s="4"/>
      <c r="BJ37" s="4"/>
      <c r="BK37" s="4"/>
      <c r="BL37" s="4"/>
      <c r="BM37" s="4"/>
      <c r="BN37" s="4"/>
      <c r="BO37" s="4"/>
      <c r="BP37" s="4"/>
      <c r="BQ37" s="5"/>
      <c r="BR37" s="398"/>
      <c r="BS37" s="5"/>
      <c r="BT37" s="4"/>
      <c r="BU37" s="621"/>
      <c r="BV37" s="4"/>
      <c r="BW37" s="4"/>
      <c r="BX37" s="4"/>
      <c r="BY37" s="4"/>
      <c r="BZ37" s="4"/>
      <c r="CA37" s="4"/>
      <c r="CB37" s="4"/>
      <c r="CC37" s="4"/>
      <c r="CD37" s="5"/>
      <c r="CE37" s="398"/>
      <c r="CF37" s="5"/>
      <c r="CG37" s="4"/>
      <c r="CH37" s="621"/>
      <c r="CI37" s="4"/>
      <c r="CJ37" s="4"/>
      <c r="CK37" s="4"/>
      <c r="CL37" s="4"/>
      <c r="CM37" s="4"/>
      <c r="CN37" s="4"/>
      <c r="CO37" s="4"/>
      <c r="CP37" s="4"/>
      <c r="CQ37" s="5"/>
    </row>
    <row r="38" spans="2:95" ht="17.5" hidden="1" customHeight="1">
      <c r="B38" s="3313"/>
      <c r="C38" s="3314"/>
      <c r="D38" s="201" t="s">
        <v>193</v>
      </c>
      <c r="E38" s="398"/>
      <c r="F38" s="455"/>
      <c r="G38" s="341"/>
      <c r="H38" s="341"/>
      <c r="I38" s="341"/>
      <c r="J38" s="341"/>
      <c r="K38" s="341"/>
      <c r="L38" s="4"/>
      <c r="M38" s="4"/>
      <c r="N38" s="4"/>
      <c r="O38" s="4"/>
      <c r="P38" s="4"/>
      <c r="Q38" s="5"/>
      <c r="R38" s="398"/>
      <c r="S38" s="5"/>
      <c r="T38" s="4"/>
      <c r="U38" s="4"/>
      <c r="V38" s="4"/>
      <c r="W38" s="4"/>
      <c r="X38" s="4"/>
      <c r="Y38" s="4"/>
      <c r="Z38" s="4"/>
      <c r="AA38" s="4"/>
      <c r="AB38" s="4"/>
      <c r="AC38" s="4"/>
      <c r="AD38" s="5"/>
      <c r="AE38" s="398"/>
      <c r="AF38" s="1193"/>
      <c r="AG38" s="1050"/>
      <c r="AH38" s="1050"/>
      <c r="AI38" s="1050"/>
      <c r="AJ38" s="1050"/>
      <c r="AK38" s="1050"/>
      <c r="AL38" s="1050"/>
      <c r="AM38" s="1050"/>
      <c r="AN38" s="1050"/>
      <c r="AO38" s="1050"/>
      <c r="AP38" s="1050"/>
      <c r="AQ38" s="1109"/>
      <c r="AR38" s="398"/>
      <c r="AS38" s="5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5"/>
      <c r="BE38" s="398"/>
      <c r="BF38" s="5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5"/>
      <c r="BR38" s="398"/>
      <c r="BS38" s="5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5"/>
      <c r="CE38" s="398"/>
      <c r="CF38" s="5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5"/>
    </row>
    <row r="39" spans="2:95" ht="17.5" hidden="1" customHeight="1">
      <c r="B39" s="3315"/>
      <c r="C39" s="3316"/>
      <c r="D39" s="215" t="s">
        <v>194</v>
      </c>
      <c r="E39" s="400"/>
      <c r="F39" s="457"/>
      <c r="G39" s="345"/>
      <c r="H39" s="369"/>
      <c r="I39" s="345"/>
      <c r="J39" s="345"/>
      <c r="K39" s="345"/>
      <c r="L39" s="217"/>
      <c r="M39" s="217"/>
      <c r="N39" s="217"/>
      <c r="O39" s="217"/>
      <c r="P39" s="217"/>
      <c r="Q39" s="218"/>
      <c r="R39" s="400"/>
      <c r="S39" s="218"/>
      <c r="T39" s="217"/>
      <c r="U39" s="623"/>
      <c r="V39" s="217"/>
      <c r="W39" s="217"/>
      <c r="X39" s="217"/>
      <c r="Y39" s="217"/>
      <c r="Z39" s="217"/>
      <c r="AA39" s="217"/>
      <c r="AB39" s="217"/>
      <c r="AC39" s="217"/>
      <c r="AD39" s="218"/>
      <c r="AE39" s="400"/>
      <c r="AF39" s="1199"/>
      <c r="AG39" s="1200"/>
      <c r="AH39" s="1201"/>
      <c r="AI39" s="1200"/>
      <c r="AJ39" s="1200"/>
      <c r="AK39" s="1200"/>
      <c r="AL39" s="1200"/>
      <c r="AM39" s="1200"/>
      <c r="AN39" s="1200"/>
      <c r="AO39" s="1200"/>
      <c r="AP39" s="1200"/>
      <c r="AQ39" s="1202"/>
      <c r="AR39" s="400"/>
      <c r="AS39" s="218"/>
      <c r="AT39" s="217"/>
      <c r="AU39" s="623"/>
      <c r="AV39" s="217"/>
      <c r="AW39" s="217"/>
      <c r="AX39" s="217"/>
      <c r="AY39" s="217"/>
      <c r="AZ39" s="217"/>
      <c r="BA39" s="217"/>
      <c r="BB39" s="217"/>
      <c r="BC39" s="217"/>
      <c r="BD39" s="218"/>
      <c r="BE39" s="400"/>
      <c r="BF39" s="218"/>
      <c r="BG39" s="217"/>
      <c r="BH39" s="623"/>
      <c r="BI39" s="217"/>
      <c r="BJ39" s="217"/>
      <c r="BK39" s="217"/>
      <c r="BL39" s="217"/>
      <c r="BM39" s="217"/>
      <c r="BN39" s="217"/>
      <c r="BO39" s="217"/>
      <c r="BP39" s="217"/>
      <c r="BQ39" s="218"/>
      <c r="BR39" s="400"/>
      <c r="BS39" s="218"/>
      <c r="BT39" s="217"/>
      <c r="BU39" s="623"/>
      <c r="BV39" s="217"/>
      <c r="BW39" s="217"/>
      <c r="BX39" s="217"/>
      <c r="BY39" s="217"/>
      <c r="BZ39" s="217"/>
      <c r="CA39" s="217"/>
      <c r="CB39" s="217"/>
      <c r="CC39" s="217"/>
      <c r="CD39" s="218"/>
      <c r="CE39" s="400"/>
      <c r="CF39" s="218"/>
      <c r="CG39" s="217"/>
      <c r="CH39" s="623"/>
      <c r="CI39" s="217"/>
      <c r="CJ39" s="217"/>
      <c r="CK39" s="217"/>
      <c r="CL39" s="217"/>
      <c r="CM39" s="217"/>
      <c r="CN39" s="217"/>
      <c r="CO39" s="217"/>
      <c r="CP39" s="217"/>
      <c r="CQ39" s="218"/>
    </row>
    <row r="40" spans="2:95" ht="17" customHeight="1">
      <c r="B40" s="3311" t="s">
        <v>675</v>
      </c>
      <c r="C40" s="3312"/>
      <c r="D40" s="210" t="s">
        <v>14</v>
      </c>
      <c r="E40" s="397">
        <f>Q40</f>
        <v>1520321</v>
      </c>
      <c r="F40" s="214">
        <v>1701773</v>
      </c>
      <c r="G40" s="214">
        <v>1721311</v>
      </c>
      <c r="H40" s="213">
        <v>1702673</v>
      </c>
      <c r="I40" s="213">
        <v>1683197</v>
      </c>
      <c r="J40" s="213">
        <v>1659725</v>
      </c>
      <c r="K40" s="213">
        <v>1644778</v>
      </c>
      <c r="L40" s="213">
        <v>1642923</v>
      </c>
      <c r="M40" s="213">
        <v>1650770</v>
      </c>
      <c r="N40" s="213">
        <v>1614223</v>
      </c>
      <c r="O40" s="213">
        <v>1584547</v>
      </c>
      <c r="P40" s="213">
        <v>1559364</v>
      </c>
      <c r="Q40" s="214">
        <v>1520321</v>
      </c>
      <c r="R40" s="397">
        <f>AVERAGE(S40:AD40)</f>
        <v>1480329.4166666667</v>
      </c>
      <c r="S40" s="214">
        <f t="shared" ref="S40:V40" si="49">SUM(S41:S48)</f>
        <v>1506630</v>
      </c>
      <c r="T40" s="214">
        <f t="shared" si="49"/>
        <v>1481955</v>
      </c>
      <c r="U40" s="213">
        <f t="shared" si="49"/>
        <v>1497539</v>
      </c>
      <c r="V40" s="213">
        <f t="shared" si="49"/>
        <v>1493010</v>
      </c>
      <c r="W40" s="213">
        <f>SUM(W41:W48)</f>
        <v>1485873</v>
      </c>
      <c r="X40" s="213">
        <f t="shared" ref="X40:AQ40" si="50">SUM(X41:X48)</f>
        <v>1475692</v>
      </c>
      <c r="Y40" s="213">
        <f t="shared" si="50"/>
        <v>1469970</v>
      </c>
      <c r="Z40" s="213">
        <f t="shared" si="50"/>
        <v>1466313</v>
      </c>
      <c r="AA40" s="213">
        <f t="shared" si="50"/>
        <v>1466794</v>
      </c>
      <c r="AB40" s="213">
        <f t="shared" si="50"/>
        <v>1456628</v>
      </c>
      <c r="AC40" s="213">
        <f t="shared" si="50"/>
        <v>1445313</v>
      </c>
      <c r="AD40" s="213">
        <f t="shared" si="50"/>
        <v>1518236</v>
      </c>
      <c r="AE40" s="397">
        <f>AVERAGE(AF40:AQ40)</f>
        <v>1290048.0833333333</v>
      </c>
      <c r="AF40" s="1190">
        <f t="shared" si="50"/>
        <v>1487505</v>
      </c>
      <c r="AG40" s="1191">
        <f t="shared" si="50"/>
        <v>1493082</v>
      </c>
      <c r="AH40" s="1191">
        <f t="shared" si="50"/>
        <v>1485194</v>
      </c>
      <c r="AI40" s="1191">
        <f t="shared" si="50"/>
        <v>1165000</v>
      </c>
      <c r="AJ40" s="1191">
        <f t="shared" si="50"/>
        <v>1167000</v>
      </c>
      <c r="AK40" s="1191">
        <f t="shared" si="50"/>
        <v>1204331</v>
      </c>
      <c r="AL40" s="1191">
        <f t="shared" si="50"/>
        <v>1206912</v>
      </c>
      <c r="AM40" s="1191">
        <f t="shared" si="50"/>
        <v>1210375</v>
      </c>
      <c r="AN40" s="1191">
        <f t="shared" si="50"/>
        <v>1248720</v>
      </c>
      <c r="AO40" s="1191">
        <f t="shared" si="50"/>
        <v>1261122</v>
      </c>
      <c r="AP40" s="1191">
        <f t="shared" si="50"/>
        <v>1259000</v>
      </c>
      <c r="AQ40" s="1192">
        <f t="shared" si="50"/>
        <v>1292336</v>
      </c>
      <c r="AR40" s="397">
        <f>AVERAGE(AS40:BD40)</f>
        <v>1354029.1290369616</v>
      </c>
      <c r="AS40" s="415">
        <f t="shared" ref="AS40:BD40" si="51">SUM(AS41:AS48)</f>
        <v>1329629.9338136297</v>
      </c>
      <c r="AT40" s="415">
        <f t="shared" si="51"/>
        <v>1335409.9129660637</v>
      </c>
      <c r="AU40" s="415">
        <f t="shared" si="51"/>
        <v>1329629.9338136297</v>
      </c>
      <c r="AV40" s="415">
        <f t="shared" si="51"/>
        <v>1368139.5560810792</v>
      </c>
      <c r="AW40" s="415">
        <f t="shared" si="51"/>
        <v>1378802.7897614203</v>
      </c>
      <c r="AX40" s="415">
        <f t="shared" si="51"/>
        <v>1373550.4945544021</v>
      </c>
      <c r="AY40" s="415">
        <f t="shared" si="51"/>
        <v>1373063.3225026582</v>
      </c>
      <c r="AZ40" s="415">
        <f t="shared" si="51"/>
        <v>1365911.9178275785</v>
      </c>
      <c r="BA40" s="415">
        <f t="shared" si="51"/>
        <v>1358866.3676677509</v>
      </c>
      <c r="BB40" s="415">
        <f t="shared" si="51"/>
        <v>1351924.0398258436</v>
      </c>
      <c r="BC40" s="415">
        <f t="shared" si="51"/>
        <v>1345082.3783532525</v>
      </c>
      <c r="BD40" s="877">
        <f t="shared" si="51"/>
        <v>1338338.9012762285</v>
      </c>
      <c r="BE40" s="936">
        <f>AVERAGE(BF40:BQ40)</f>
        <v>1111846</v>
      </c>
      <c r="BF40" s="397">
        <f t="shared" ref="BF40:BQ40" si="52">SUM(BF41:BF48)</f>
        <v>1134578</v>
      </c>
      <c r="BG40" s="415">
        <f t="shared" si="52"/>
        <v>1128116</v>
      </c>
      <c r="BH40" s="415">
        <f t="shared" si="52"/>
        <v>1121950</v>
      </c>
      <c r="BI40" s="415">
        <f t="shared" si="52"/>
        <v>1115930</v>
      </c>
      <c r="BJ40" s="415">
        <f t="shared" si="52"/>
        <v>1111051</v>
      </c>
      <c r="BK40" s="415">
        <f t="shared" si="52"/>
        <v>1110211</v>
      </c>
      <c r="BL40" s="415">
        <f t="shared" si="52"/>
        <v>1110031</v>
      </c>
      <c r="BM40" s="415">
        <f t="shared" si="52"/>
        <v>1115525</v>
      </c>
      <c r="BN40" s="1723">
        <f t="shared" si="52"/>
        <v>1110720</v>
      </c>
      <c r="BO40" s="415">
        <f t="shared" si="52"/>
        <v>1099002</v>
      </c>
      <c r="BP40" s="415">
        <f t="shared" si="52"/>
        <v>1095047</v>
      </c>
      <c r="BQ40" s="1738">
        <f t="shared" si="52"/>
        <v>1089991</v>
      </c>
      <c r="BR40" s="936">
        <f>CD40</f>
        <v>1005305.6711857897</v>
      </c>
      <c r="BS40" s="397">
        <f t="shared" ref="BS40:CD40" si="53">SUM(BS41:BS48)</f>
        <v>1081462</v>
      </c>
      <c r="BT40" s="415">
        <f t="shared" si="53"/>
        <v>1074041</v>
      </c>
      <c r="BU40" s="415">
        <f t="shared" si="53"/>
        <v>1069017</v>
      </c>
      <c r="BV40" s="415">
        <f t="shared" si="53"/>
        <v>1065195</v>
      </c>
      <c r="BW40" s="415">
        <f t="shared" si="53"/>
        <v>1073219</v>
      </c>
      <c r="BX40" s="415">
        <f t="shared" si="53"/>
        <v>1065938</v>
      </c>
      <c r="BY40" s="415">
        <f t="shared" si="53"/>
        <v>1059309</v>
      </c>
      <c r="BZ40" s="415">
        <f t="shared" si="53"/>
        <v>1047155</v>
      </c>
      <c r="CA40" s="3153">
        <f t="shared" si="53"/>
        <v>1034025</v>
      </c>
      <c r="CB40" s="1574">
        <f t="shared" si="53"/>
        <v>1019918</v>
      </c>
      <c r="CC40" s="1574">
        <f t="shared" si="53"/>
        <v>1009458</v>
      </c>
      <c r="CD40" s="1762">
        <f t="shared" si="53"/>
        <v>1005305.6711857897</v>
      </c>
      <c r="CE40" s="822">
        <f>CQ40</f>
        <v>984122.53770740889</v>
      </c>
      <c r="CF40" s="397">
        <f t="shared" ref="CF40:CQ40" si="54">SUM(CF41:CF48)</f>
        <v>1003942.7879889418</v>
      </c>
      <c r="CG40" s="415">
        <f t="shared" si="54"/>
        <v>999084.6919505985</v>
      </c>
      <c r="CH40" s="415">
        <f t="shared" si="54"/>
        <v>1001652.3511351902</v>
      </c>
      <c r="CI40" s="415">
        <f t="shared" si="54"/>
        <v>998152.97962803696</v>
      </c>
      <c r="CJ40" s="415">
        <f t="shared" si="54"/>
        <v>995152.92099112552</v>
      </c>
      <c r="CK40" s="415">
        <f t="shared" si="54"/>
        <v>990710.03202804155</v>
      </c>
      <c r="CL40" s="415">
        <f t="shared" si="54"/>
        <v>994468.49483303702</v>
      </c>
      <c r="CM40" s="415">
        <f t="shared" si="54"/>
        <v>991669.42118250229</v>
      </c>
      <c r="CN40" s="1723">
        <f t="shared" si="54"/>
        <v>994841.42682457494</v>
      </c>
      <c r="CO40" s="415">
        <f t="shared" si="54"/>
        <v>992758.86952683283</v>
      </c>
      <c r="CP40" s="415">
        <f t="shared" si="54"/>
        <v>988848.92150414363</v>
      </c>
      <c r="CQ40" s="1738">
        <f t="shared" si="54"/>
        <v>984122.53770740889</v>
      </c>
    </row>
    <row r="41" spans="2:95">
      <c r="B41" s="3313"/>
      <c r="C41" s="3314"/>
      <c r="D41" s="201" t="s">
        <v>15</v>
      </c>
      <c r="E41" s="398">
        <f>Q41</f>
        <v>174246</v>
      </c>
      <c r="F41" s="455">
        <v>352056</v>
      </c>
      <c r="G41" s="455">
        <v>346311</v>
      </c>
      <c r="H41" s="355">
        <v>332388</v>
      </c>
      <c r="I41" s="355">
        <v>314915</v>
      </c>
      <c r="J41" s="341">
        <v>296265</v>
      </c>
      <c r="K41" s="341">
        <v>278429</v>
      </c>
      <c r="L41" s="341">
        <v>260158</v>
      </c>
      <c r="M41" s="341">
        <v>247713</v>
      </c>
      <c r="N41" s="341">
        <v>226376</v>
      </c>
      <c r="O41" s="341">
        <v>208412</v>
      </c>
      <c r="P41" s="341">
        <v>189830</v>
      </c>
      <c r="Q41" s="455">
        <v>174246</v>
      </c>
      <c r="R41" s="398">
        <f>AD41</f>
        <v>36997</v>
      </c>
      <c r="S41" s="341">
        <v>158028</v>
      </c>
      <c r="T41" s="341">
        <v>134856</v>
      </c>
      <c r="U41" s="341">
        <v>122234</v>
      </c>
      <c r="V41" s="341">
        <v>111823</v>
      </c>
      <c r="W41" s="341">
        <v>100024</v>
      </c>
      <c r="X41" s="341">
        <v>90501</v>
      </c>
      <c r="Y41" s="341">
        <v>79614</v>
      </c>
      <c r="Z41" s="341">
        <v>69951</v>
      </c>
      <c r="AA41" s="355">
        <v>61658</v>
      </c>
      <c r="AB41" s="341">
        <v>52397</v>
      </c>
      <c r="AC41" s="341">
        <v>43380</v>
      </c>
      <c r="AD41" s="341">
        <v>36997</v>
      </c>
      <c r="AE41" s="398">
        <f>AQ41</f>
        <v>51879</v>
      </c>
      <c r="AF41" s="1203">
        <v>31748</v>
      </c>
      <c r="AG41" s="1044">
        <v>58818</v>
      </c>
      <c r="AH41" s="1044">
        <v>52830</v>
      </c>
      <c r="AI41" s="1044">
        <v>48000</v>
      </c>
      <c r="AJ41" s="1044">
        <v>43000</v>
      </c>
      <c r="AK41" s="1044">
        <v>58461</v>
      </c>
      <c r="AL41" s="1044">
        <v>53531.000000000007</v>
      </c>
      <c r="AM41" s="1044">
        <v>42114</v>
      </c>
      <c r="AN41" s="1176">
        <v>50024</v>
      </c>
      <c r="AO41" s="1044">
        <v>44819.000000000007</v>
      </c>
      <c r="AP41" s="1044">
        <v>40000</v>
      </c>
      <c r="AQ41" s="1107">
        <v>51879</v>
      </c>
      <c r="AR41" s="398">
        <f>BD41</f>
        <v>80260.13518800505</v>
      </c>
      <c r="AS41" s="1126">
        <v>90658.933813629628</v>
      </c>
      <c r="AT41" s="1126">
        <v>84135.912966063595</v>
      </c>
      <c r="AU41" s="1126">
        <v>90658.933813629628</v>
      </c>
      <c r="AV41" s="1126">
        <v>92506.556081079078</v>
      </c>
      <c r="AW41" s="1126">
        <v>97802.789761420339</v>
      </c>
      <c r="AX41" s="1126">
        <v>93550.494554402059</v>
      </c>
      <c r="AY41" s="1126">
        <v>93463.322502658193</v>
      </c>
      <c r="AZ41" s="1126">
        <v>90659.422827578441</v>
      </c>
      <c r="BA41" s="1506">
        <v>87939.640142751086</v>
      </c>
      <c r="BB41" s="1126">
        <v>85301.450938468552</v>
      </c>
      <c r="BC41" s="1126">
        <v>82742.407410314481</v>
      </c>
      <c r="BD41" s="1127">
        <v>80260.13518800505</v>
      </c>
      <c r="BE41" s="937">
        <f>BQ41</f>
        <v>67590</v>
      </c>
      <c r="BF41" s="1125">
        <v>73167</v>
      </c>
      <c r="BG41" s="1126">
        <v>71769</v>
      </c>
      <c r="BH41" s="1126">
        <v>70348</v>
      </c>
      <c r="BI41" s="1126">
        <v>68999</v>
      </c>
      <c r="BJ41" s="1126">
        <v>67723</v>
      </c>
      <c r="BK41" s="2227">
        <v>66586</v>
      </c>
      <c r="BL41" s="2227">
        <v>67323</v>
      </c>
      <c r="BM41" s="2227">
        <v>71398</v>
      </c>
      <c r="BN41" s="2228">
        <v>70622</v>
      </c>
      <c r="BO41" s="2227">
        <v>69381</v>
      </c>
      <c r="BP41" s="2227">
        <v>68650</v>
      </c>
      <c r="BQ41" s="2229">
        <v>67590</v>
      </c>
      <c r="BR41" s="937">
        <f>CD41</f>
        <v>51914.022936149297</v>
      </c>
      <c r="BS41" s="1802">
        <v>66322</v>
      </c>
      <c r="BT41" s="1803">
        <v>64615</v>
      </c>
      <c r="BU41" s="1803">
        <v>63539</v>
      </c>
      <c r="BV41" s="1803">
        <v>62009</v>
      </c>
      <c r="BW41" s="1803">
        <v>61102</v>
      </c>
      <c r="BX41" s="1803">
        <v>59733</v>
      </c>
      <c r="BY41" s="3122">
        <v>57967</v>
      </c>
      <c r="BZ41" s="3122">
        <v>56554</v>
      </c>
      <c r="CA41" s="3123">
        <v>54874</v>
      </c>
      <c r="CB41" s="3180">
        <v>53548</v>
      </c>
      <c r="CC41" s="3180">
        <v>52451</v>
      </c>
      <c r="CD41" s="3181">
        <v>51914.022936149297</v>
      </c>
      <c r="CE41" s="206">
        <f>CQ41</f>
        <v>28052.265984697769</v>
      </c>
      <c r="CF41" s="2495">
        <f>CD41-CF66</f>
        <v>49318.321789341833</v>
      </c>
      <c r="CG41" s="1724">
        <f t="shared" ref="CG41" si="55">CF41-CG66</f>
        <v>46852.40569987474</v>
      </c>
      <c r="CH41" s="1724">
        <f t="shared" ref="CH41" si="56">CG41-CH66</f>
        <v>44509.785414881</v>
      </c>
      <c r="CI41" s="1724">
        <f t="shared" ref="CI41" si="57">CH41-CI66</f>
        <v>42284.296144136948</v>
      </c>
      <c r="CJ41" s="1724">
        <f t="shared" ref="CJ41" si="58">CI41-CJ66</f>
        <v>40170.081336930103</v>
      </c>
      <c r="CK41" s="1724">
        <f t="shared" ref="CK41" si="59">CJ41-CK66</f>
        <v>38161.577270083595</v>
      </c>
      <c r="CL41" s="1724">
        <f t="shared" ref="CL41" si="60">CK41-CL66</f>
        <v>36253.498406579412</v>
      </c>
      <c r="CM41" s="1724">
        <f t="shared" ref="CM41" si="61">CL41-CM66</f>
        <v>34440.82348625044</v>
      </c>
      <c r="CN41" s="2478">
        <f t="shared" ref="CN41" si="62">CM41-CN66</f>
        <v>32718.782311937917</v>
      </c>
      <c r="CO41" s="1724">
        <f t="shared" ref="CO41" si="63">CN41-CO66</f>
        <v>31082.843196341022</v>
      </c>
      <c r="CP41" s="1724">
        <f t="shared" ref="CP41" si="64">CO41-CP66</f>
        <v>29528.701036523969</v>
      </c>
      <c r="CQ41" s="2470">
        <f t="shared" ref="CQ41" si="65">CP41-CQ66</f>
        <v>28052.265984697769</v>
      </c>
    </row>
    <row r="42" spans="2:95">
      <c r="B42" s="3313"/>
      <c r="C42" s="3314"/>
      <c r="D42" s="201" t="s">
        <v>285</v>
      </c>
      <c r="E42" s="398">
        <f>Q42</f>
        <v>602111</v>
      </c>
      <c r="F42" s="455">
        <v>512034</v>
      </c>
      <c r="G42" s="455">
        <v>529442</v>
      </c>
      <c r="H42" s="355">
        <v>530500</v>
      </c>
      <c r="I42" s="355">
        <v>540904</v>
      </c>
      <c r="J42" s="341">
        <v>541187</v>
      </c>
      <c r="K42" s="341">
        <v>551245</v>
      </c>
      <c r="L42" s="341">
        <v>571539</v>
      </c>
      <c r="M42" s="341">
        <v>585846</v>
      </c>
      <c r="N42" s="341">
        <v>593061</v>
      </c>
      <c r="O42" s="341">
        <v>595996</v>
      </c>
      <c r="P42" s="341">
        <v>597203</v>
      </c>
      <c r="Q42" s="455">
        <v>602111</v>
      </c>
      <c r="R42" s="398">
        <f>AD42</f>
        <v>810458</v>
      </c>
      <c r="S42" s="341">
        <v>613421</v>
      </c>
      <c r="T42" s="341">
        <v>625989</v>
      </c>
      <c r="U42" s="341">
        <v>666326</v>
      </c>
      <c r="V42" s="341">
        <v>684843</v>
      </c>
      <c r="W42" s="341">
        <v>697322</v>
      </c>
      <c r="X42" s="341">
        <v>710823</v>
      </c>
      <c r="Y42" s="341">
        <v>727451</v>
      </c>
      <c r="Z42" s="341">
        <v>738583</v>
      </c>
      <c r="AA42" s="355">
        <v>755302</v>
      </c>
      <c r="AB42" s="341">
        <v>762663</v>
      </c>
      <c r="AC42" s="341">
        <v>776589</v>
      </c>
      <c r="AD42" s="341">
        <v>810458</v>
      </c>
      <c r="AE42" s="398">
        <f>AQ42</f>
        <v>843328.00000000012</v>
      </c>
      <c r="AF42" s="1203">
        <v>796816</v>
      </c>
      <c r="AG42" s="1044">
        <v>772221</v>
      </c>
      <c r="AH42" s="1044">
        <v>771762</v>
      </c>
      <c r="AI42" s="1044">
        <v>773000</v>
      </c>
      <c r="AJ42" s="1044">
        <v>774000</v>
      </c>
      <c r="AK42" s="1044">
        <v>794954</v>
      </c>
      <c r="AL42" s="1044">
        <v>798129</v>
      </c>
      <c r="AM42" s="1044">
        <v>804000</v>
      </c>
      <c r="AN42" s="1176">
        <v>826337.99999999988</v>
      </c>
      <c r="AO42" s="1044">
        <v>831108</v>
      </c>
      <c r="AP42" s="1044">
        <v>831000</v>
      </c>
      <c r="AQ42" s="1107">
        <v>843328.00000000012</v>
      </c>
      <c r="AR42" s="398">
        <f>BD42</f>
        <v>847979.76608822343</v>
      </c>
      <c r="AS42" s="1126">
        <v>843512</v>
      </c>
      <c r="AT42" s="1126">
        <v>849896</v>
      </c>
      <c r="AU42" s="1126">
        <v>843512</v>
      </c>
      <c r="AV42" s="1126">
        <v>866316.00000000012</v>
      </c>
      <c r="AW42" s="1126">
        <v>871000</v>
      </c>
      <c r="AX42" s="1126">
        <v>870000</v>
      </c>
      <c r="AY42" s="1126">
        <v>869501</v>
      </c>
      <c r="AZ42" s="1126">
        <v>865153.495</v>
      </c>
      <c r="BA42" s="1506">
        <v>860827.72752499999</v>
      </c>
      <c r="BB42" s="1126">
        <v>856523.58888737496</v>
      </c>
      <c r="BC42" s="1126">
        <v>852240.97094293812</v>
      </c>
      <c r="BD42" s="1127">
        <v>847979.76608822343</v>
      </c>
      <c r="BE42" s="937">
        <f>BQ42</f>
        <v>783249</v>
      </c>
      <c r="BF42" s="1125">
        <v>782865</v>
      </c>
      <c r="BG42" s="1126">
        <v>781712</v>
      </c>
      <c r="BH42" s="1126">
        <v>781311</v>
      </c>
      <c r="BI42" s="1126">
        <v>778979</v>
      </c>
      <c r="BJ42" s="1126">
        <v>778793</v>
      </c>
      <c r="BK42" s="2227">
        <v>780897</v>
      </c>
      <c r="BL42" s="2227">
        <v>782590</v>
      </c>
      <c r="BM42" s="2227">
        <v>785825</v>
      </c>
      <c r="BN42" s="2228">
        <v>785525</v>
      </c>
      <c r="BO42" s="2227">
        <v>780295</v>
      </c>
      <c r="BP42" s="2227">
        <v>784129</v>
      </c>
      <c r="BQ42" s="2229">
        <v>783249</v>
      </c>
      <c r="BR42" s="937">
        <f>CD42</f>
        <v>740022</v>
      </c>
      <c r="BS42" s="1802">
        <v>751971</v>
      </c>
      <c r="BT42" s="1803">
        <v>752950</v>
      </c>
      <c r="BU42" s="1803">
        <v>752266</v>
      </c>
      <c r="BV42" s="1803">
        <v>754111</v>
      </c>
      <c r="BW42" s="1803">
        <v>766608</v>
      </c>
      <c r="BX42" s="1803">
        <v>764910</v>
      </c>
      <c r="BY42" s="3122">
        <v>762687</v>
      </c>
      <c r="BZ42" s="3122">
        <v>758312</v>
      </c>
      <c r="CA42" s="3124">
        <v>753607</v>
      </c>
      <c r="CB42" s="3182">
        <v>748268</v>
      </c>
      <c r="CC42" s="3182">
        <v>742935</v>
      </c>
      <c r="CD42" s="3183">
        <v>740022</v>
      </c>
      <c r="CE42" s="206">
        <f>CQ42</f>
        <v>751165.45544752944</v>
      </c>
      <c r="CF42" s="2495">
        <f>CD42+CF54</f>
        <v>742065.29146923125</v>
      </c>
      <c r="CG42" s="1724">
        <f t="shared" ref="CG42:CG43" si="66">CF42+CG54</f>
        <v>740556.43566728884</v>
      </c>
      <c r="CH42" s="1724">
        <f t="shared" ref="CH42:CH43" si="67">CG42+CH54</f>
        <v>746370.22789930901</v>
      </c>
      <c r="CI42" s="1724">
        <f t="shared" ref="CI42:CI43" si="68">CH42+CI54</f>
        <v>746172.97135235777</v>
      </c>
      <c r="CJ42" s="1724">
        <f t="shared" ref="CJ42:CJ43" si="69">CI42+CJ54</f>
        <v>746314.83395911136</v>
      </c>
      <c r="CK42" s="1724">
        <f t="shared" ref="CK42:CK43" si="70">CJ42+CK54</f>
        <v>744887.89332028921</v>
      </c>
      <c r="CL42" s="1724">
        <f t="shared" ref="CL42:CL43" si="71">CK42+CL54</f>
        <v>751130.94068993907</v>
      </c>
      <c r="CM42" s="1724">
        <f t="shared" ref="CM42:CM43" si="72">CL42+CM54</f>
        <v>751115.05880939483</v>
      </c>
      <c r="CN42" s="1724">
        <f t="shared" ref="CN42:CN43" si="73">CM42+CN54</f>
        <v>755898.15196729207</v>
      </c>
      <c r="CO42" s="1724">
        <f t="shared" ref="CO42:CO43" si="74">CN42+CO54</f>
        <v>754829.47985955689</v>
      </c>
      <c r="CP42" s="1724">
        <f t="shared" ref="CP42:CP43" si="75">CO42+CP54</f>
        <v>753453.23572168732</v>
      </c>
      <c r="CQ42" s="2470">
        <f t="shared" ref="CQ42:CQ43" si="76">CP42+CQ54</f>
        <v>751165.45544752944</v>
      </c>
    </row>
    <row r="43" spans="2:95">
      <c r="B43" s="3313"/>
      <c r="C43" s="3314"/>
      <c r="D43" s="201" t="s">
        <v>575</v>
      </c>
      <c r="E43" s="398"/>
      <c r="F43" s="455"/>
      <c r="G43" s="455"/>
      <c r="H43" s="355"/>
      <c r="I43" s="355"/>
      <c r="J43" s="341"/>
      <c r="K43" s="341"/>
      <c r="L43" s="341"/>
      <c r="M43" s="341"/>
      <c r="N43" s="341"/>
      <c r="O43" s="341"/>
      <c r="P43" s="341"/>
      <c r="Q43" s="455"/>
      <c r="R43" s="398"/>
      <c r="S43" s="341"/>
      <c r="T43" s="341"/>
      <c r="U43" s="341"/>
      <c r="V43" s="341"/>
      <c r="W43" s="341"/>
      <c r="X43" s="341"/>
      <c r="Y43" s="341"/>
      <c r="Z43" s="341"/>
      <c r="AA43" s="355"/>
      <c r="AB43" s="341"/>
      <c r="AC43" s="341"/>
      <c r="AD43" s="341"/>
      <c r="AE43" s="398"/>
      <c r="AF43" s="1203"/>
      <c r="AG43" s="1044"/>
      <c r="AH43" s="1044"/>
      <c r="AI43" s="1044"/>
      <c r="AJ43" s="1044"/>
      <c r="AK43" s="1044"/>
      <c r="AL43" s="1044"/>
      <c r="AM43" s="1044"/>
      <c r="AN43" s="1176"/>
      <c r="AO43" s="1044"/>
      <c r="AP43" s="1044"/>
      <c r="AQ43" s="1107"/>
      <c r="AR43" s="398"/>
      <c r="AS43" s="1126"/>
      <c r="AT43" s="1126"/>
      <c r="AU43" s="1126"/>
      <c r="AV43" s="1126"/>
      <c r="AW43" s="1126"/>
      <c r="AX43" s="1126"/>
      <c r="AY43" s="1126"/>
      <c r="AZ43" s="1126"/>
      <c r="BA43" s="1506"/>
      <c r="BB43" s="1126"/>
      <c r="BC43" s="1126"/>
      <c r="BD43" s="1127"/>
      <c r="BE43" s="937"/>
      <c r="BF43" s="1125"/>
      <c r="BG43" s="1126"/>
      <c r="BH43" s="1126"/>
      <c r="BI43" s="1126"/>
      <c r="BJ43" s="1126"/>
      <c r="BK43" s="2227"/>
      <c r="BL43" s="2227"/>
      <c r="BM43" s="2227"/>
      <c r="BN43" s="2228"/>
      <c r="BO43" s="2227"/>
      <c r="BP43" s="2227"/>
      <c r="BQ43" s="2229"/>
      <c r="BR43" s="937">
        <f>CD43</f>
        <v>21012</v>
      </c>
      <c r="BS43" s="1802">
        <v>26924</v>
      </c>
      <c r="BT43" s="1803">
        <v>26456</v>
      </c>
      <c r="BU43" s="1803">
        <v>25615</v>
      </c>
      <c r="BV43" s="1803">
        <v>25136</v>
      </c>
      <c r="BW43" s="1803">
        <v>24622</v>
      </c>
      <c r="BX43" s="1803">
        <v>24074</v>
      </c>
      <c r="BY43" s="3122">
        <v>23853</v>
      </c>
      <c r="BZ43" s="3122">
        <v>23189</v>
      </c>
      <c r="CA43" s="3124">
        <v>22536</v>
      </c>
      <c r="CB43" s="3182">
        <v>21871</v>
      </c>
      <c r="CC43" s="3182">
        <v>21183</v>
      </c>
      <c r="CD43" s="3183">
        <v>21012</v>
      </c>
      <c r="CE43" s="206">
        <f>CQ43</f>
        <v>19235.628034706217</v>
      </c>
      <c r="CF43" s="2495">
        <f>CD43+CF55</f>
        <v>20881.227801832101</v>
      </c>
      <c r="CG43" s="1724">
        <f t="shared" si="66"/>
        <v>20692.755906421105</v>
      </c>
      <c r="CH43" s="1724">
        <f t="shared" si="67"/>
        <v>20706.444785135474</v>
      </c>
      <c r="CI43" s="1724">
        <f t="shared" si="68"/>
        <v>20516.945185961999</v>
      </c>
      <c r="CJ43" s="1724">
        <f t="shared" si="69"/>
        <v>20349.950171724504</v>
      </c>
      <c r="CK43" s="1724">
        <f t="shared" si="70"/>
        <v>20177.457915623876</v>
      </c>
      <c r="CL43" s="1724">
        <f t="shared" si="71"/>
        <v>20163.692949338187</v>
      </c>
      <c r="CM43" s="1724">
        <f t="shared" si="72"/>
        <v>19985.037010582124</v>
      </c>
      <c r="CN43" s="1724">
        <f t="shared" si="73"/>
        <v>19842.403299474248</v>
      </c>
      <c r="CO43" s="1724">
        <f t="shared" si="74"/>
        <v>19670.499030868727</v>
      </c>
      <c r="CP43" s="1724">
        <f t="shared" si="75"/>
        <v>19464.914665564702</v>
      </c>
      <c r="CQ43" s="2470">
        <f t="shared" si="76"/>
        <v>19235.628034706217</v>
      </c>
    </row>
    <row r="44" spans="2:95" hidden="1">
      <c r="B44" s="3313"/>
      <c r="C44" s="3314"/>
      <c r="D44" s="201" t="s">
        <v>246</v>
      </c>
      <c r="E44" s="398">
        <f t="shared" ref="E44:E49" si="77">AVERAGE(F44:Q44)</f>
        <v>18256.666666666668</v>
      </c>
      <c r="F44" s="455">
        <v>24169</v>
      </c>
      <c r="G44" s="455">
        <v>22697</v>
      </c>
      <c r="H44" s="355">
        <v>21720</v>
      </c>
      <c r="I44" s="355">
        <v>20638</v>
      </c>
      <c r="J44" s="341">
        <v>19222</v>
      </c>
      <c r="K44" s="341">
        <v>17798</v>
      </c>
      <c r="L44" s="341">
        <v>16484</v>
      </c>
      <c r="M44" s="341">
        <v>15541</v>
      </c>
      <c r="N44" s="341">
        <v>14120</v>
      </c>
      <c r="O44" s="341">
        <v>12939</v>
      </c>
      <c r="P44" s="341">
        <v>23282</v>
      </c>
      <c r="Q44" s="455">
        <v>10470</v>
      </c>
      <c r="R44" s="398">
        <f t="shared" ref="R44:R49" si="78">AVERAGE(S44:AD44)</f>
        <v>5031.416666666667</v>
      </c>
      <c r="S44" s="341">
        <v>9295</v>
      </c>
      <c r="T44" s="341">
        <v>8279</v>
      </c>
      <c r="U44" s="341">
        <v>7224</v>
      </c>
      <c r="V44" s="341">
        <v>6517</v>
      </c>
      <c r="W44" s="341">
        <v>5855</v>
      </c>
      <c r="X44" s="341">
        <v>5300</v>
      </c>
      <c r="Y44" s="341">
        <v>4622</v>
      </c>
      <c r="Z44" s="341">
        <v>4066</v>
      </c>
      <c r="AA44" s="355">
        <v>3378</v>
      </c>
      <c r="AB44" s="341">
        <v>2536</v>
      </c>
      <c r="AC44" s="341">
        <v>1917</v>
      </c>
      <c r="AD44" s="341">
        <v>1388</v>
      </c>
      <c r="AE44" s="398">
        <f t="shared" ref="AE44:AE49" si="79">AVERAGE(AF44:AQ44)</f>
        <v>329</v>
      </c>
      <c r="AF44" s="1203">
        <v>772</v>
      </c>
      <c r="AG44" s="1044">
        <v>436</v>
      </c>
      <c r="AH44" s="1044">
        <v>109</v>
      </c>
      <c r="AI44" s="1044">
        <v>0</v>
      </c>
      <c r="AJ44" s="1044">
        <v>0</v>
      </c>
      <c r="AK44" s="1044">
        <v>0</v>
      </c>
      <c r="AL44" s="1044">
        <v>0</v>
      </c>
      <c r="AM44" s="1044">
        <v>0</v>
      </c>
      <c r="AN44" s="1176">
        <v>0</v>
      </c>
      <c r="AO44" s="1204">
        <v>0</v>
      </c>
      <c r="AP44" s="1044">
        <v>0</v>
      </c>
      <c r="AQ44" s="1107">
        <v>2631</v>
      </c>
      <c r="AR44" s="398">
        <f t="shared" ref="AR44:AR49" si="80">AVERAGE(AS44:BD44)</f>
        <v>0</v>
      </c>
      <c r="AS44" s="1126">
        <v>0</v>
      </c>
      <c r="AT44" s="1126">
        <v>0</v>
      </c>
      <c r="AU44" s="1126">
        <v>0</v>
      </c>
      <c r="AV44" s="1126">
        <v>0</v>
      </c>
      <c r="AW44" s="1126">
        <v>0</v>
      </c>
      <c r="AX44" s="1126">
        <v>0</v>
      </c>
      <c r="AY44" s="1126">
        <v>0</v>
      </c>
      <c r="AZ44" s="1126"/>
      <c r="BA44" s="1506"/>
      <c r="BB44" s="1507"/>
      <c r="BC44" s="1126"/>
      <c r="BD44" s="1127"/>
      <c r="BE44" s="937">
        <f>IFERROR(AVERAGE(BF44:BQ44),0)</f>
        <v>0</v>
      </c>
      <c r="BF44" s="1125"/>
      <c r="BG44" s="1126"/>
      <c r="BH44" s="1126"/>
      <c r="BI44" s="1126"/>
      <c r="BJ44" s="1126"/>
      <c r="BK44" s="2227"/>
      <c r="BL44" s="2227"/>
      <c r="BM44" s="2227"/>
      <c r="BN44" s="2228"/>
      <c r="BO44" s="2230"/>
      <c r="BP44" s="2227"/>
      <c r="BQ44" s="2229"/>
      <c r="BR44" s="937">
        <f>IFERROR(AVERAGE(BS44:CD44),0)</f>
        <v>0</v>
      </c>
      <c r="BS44" s="1802"/>
      <c r="BT44" s="1803"/>
      <c r="BU44" s="1803"/>
      <c r="BV44" s="1803"/>
      <c r="BW44" s="1803"/>
      <c r="BX44" s="1803"/>
      <c r="BY44" s="3122"/>
      <c r="BZ44" s="3122"/>
      <c r="CA44" s="3123"/>
      <c r="CB44" s="3184"/>
      <c r="CC44" s="3182"/>
      <c r="CD44" s="3183"/>
      <c r="CE44" s="206">
        <f>IFERROR(AVERAGE(CF44:CQ44),0)</f>
        <v>0</v>
      </c>
      <c r="CF44" s="2495"/>
      <c r="CG44" s="1724"/>
      <c r="CH44" s="1724"/>
      <c r="CI44" s="1724"/>
      <c r="CJ44" s="1724"/>
      <c r="CK44" s="1724"/>
      <c r="CL44" s="1724"/>
      <c r="CM44" s="1724"/>
      <c r="CN44" s="2478"/>
      <c r="CO44" s="3157"/>
      <c r="CP44" s="1724"/>
      <c r="CQ44" s="2470"/>
    </row>
    <row r="45" spans="2:95">
      <c r="B45" s="3313"/>
      <c r="C45" s="3314"/>
      <c r="D45" s="201" t="s">
        <v>681</v>
      </c>
      <c r="E45" s="398">
        <f>Q45</f>
        <v>135567</v>
      </c>
      <c r="F45" s="455">
        <v>133873</v>
      </c>
      <c r="G45" s="455">
        <v>137405</v>
      </c>
      <c r="H45" s="355">
        <v>136958</v>
      </c>
      <c r="I45" s="355">
        <v>133614</v>
      </c>
      <c r="J45" s="341">
        <v>136111</v>
      </c>
      <c r="K45" s="341">
        <v>135308</v>
      </c>
      <c r="L45" s="341">
        <v>135629</v>
      </c>
      <c r="M45" s="341">
        <v>137452</v>
      </c>
      <c r="N45" s="341">
        <v>135432</v>
      </c>
      <c r="O45" s="341">
        <v>134154</v>
      </c>
      <c r="P45" s="341">
        <v>135960</v>
      </c>
      <c r="Q45" s="455">
        <v>135567</v>
      </c>
      <c r="R45" s="398">
        <f>AD45</f>
        <v>182504</v>
      </c>
      <c r="S45" s="341">
        <v>136131</v>
      </c>
      <c r="T45" s="341">
        <v>136476</v>
      </c>
      <c r="U45" s="341">
        <v>141925</v>
      </c>
      <c r="V45" s="341">
        <v>143189</v>
      </c>
      <c r="W45" s="341">
        <v>141726</v>
      </c>
      <c r="X45" s="341">
        <v>141755</v>
      </c>
      <c r="Y45" s="341">
        <v>140752</v>
      </c>
      <c r="Z45" s="341">
        <v>141822</v>
      </c>
      <c r="AA45" s="355">
        <v>142491</v>
      </c>
      <c r="AB45" s="341">
        <v>148135</v>
      </c>
      <c r="AC45" s="341">
        <v>148076</v>
      </c>
      <c r="AD45" s="519">
        <v>182504</v>
      </c>
      <c r="AE45" s="398">
        <f>AQ45</f>
        <v>211737</v>
      </c>
      <c r="AF45" s="1203">
        <v>182772</v>
      </c>
      <c r="AG45" s="1044">
        <v>185847</v>
      </c>
      <c r="AH45" s="1044">
        <v>188584</v>
      </c>
      <c r="AI45" s="1044">
        <v>193000</v>
      </c>
      <c r="AJ45" s="1044">
        <v>196000</v>
      </c>
      <c r="AK45" s="1044">
        <v>194797</v>
      </c>
      <c r="AL45" s="1044">
        <v>196225.99999999997</v>
      </c>
      <c r="AM45" s="1044">
        <v>201018</v>
      </c>
      <c r="AN45" s="1176">
        <v>202590</v>
      </c>
      <c r="AO45" s="1044">
        <v>210820</v>
      </c>
      <c r="AP45" s="1044">
        <v>212000</v>
      </c>
      <c r="AQ45" s="1107">
        <v>211737</v>
      </c>
      <c r="AR45" s="398">
        <f>BD45</f>
        <v>217315</v>
      </c>
      <c r="AS45" s="1126">
        <v>211631</v>
      </c>
      <c r="AT45" s="1126">
        <v>214358</v>
      </c>
      <c r="AU45" s="1126">
        <v>211631</v>
      </c>
      <c r="AV45" s="1126">
        <v>216570</v>
      </c>
      <c r="AW45" s="1126">
        <v>217000</v>
      </c>
      <c r="AX45" s="1126">
        <v>217000</v>
      </c>
      <c r="AY45" s="1126">
        <v>217315</v>
      </c>
      <c r="AZ45" s="1126">
        <v>217315</v>
      </c>
      <c r="BA45" s="1506">
        <v>217315</v>
      </c>
      <c r="BB45" s="1126">
        <v>217315</v>
      </c>
      <c r="BC45" s="1126">
        <v>217315</v>
      </c>
      <c r="BD45" s="1127">
        <v>217315</v>
      </c>
      <c r="BE45" s="937">
        <f>BQ45</f>
        <v>109489</v>
      </c>
      <c r="BF45" s="1125">
        <v>137736</v>
      </c>
      <c r="BG45" s="1126">
        <v>134679</v>
      </c>
      <c r="BH45" s="1126">
        <v>131171</v>
      </c>
      <c r="BI45" s="1126">
        <v>129503</v>
      </c>
      <c r="BJ45" s="1126">
        <v>127815</v>
      </c>
      <c r="BK45" s="2227">
        <v>126326</v>
      </c>
      <c r="BL45" s="2227">
        <v>123885</v>
      </c>
      <c r="BM45" s="2227">
        <v>121768</v>
      </c>
      <c r="BN45" s="2228">
        <v>117729</v>
      </c>
      <c r="BO45" s="2227">
        <v>114308</v>
      </c>
      <c r="BP45" s="2227">
        <v>111904</v>
      </c>
      <c r="BQ45" s="2229">
        <v>109489</v>
      </c>
      <c r="BR45" s="937">
        <f>CD45</f>
        <v>70951</v>
      </c>
      <c r="BS45" s="1802">
        <v>107127</v>
      </c>
      <c r="BT45" s="1803">
        <v>102207</v>
      </c>
      <c r="BU45" s="1803">
        <v>99447</v>
      </c>
      <c r="BV45" s="1803">
        <v>96649</v>
      </c>
      <c r="BW45" s="1803">
        <v>93912</v>
      </c>
      <c r="BX45" s="1803">
        <v>91452</v>
      </c>
      <c r="BY45" s="3122">
        <v>87993</v>
      </c>
      <c r="BZ45" s="3122">
        <v>84372</v>
      </c>
      <c r="CA45" s="3124">
        <v>79564</v>
      </c>
      <c r="CB45" s="3182">
        <v>75358</v>
      </c>
      <c r="CC45" s="3182">
        <v>71471</v>
      </c>
      <c r="CD45" s="3183">
        <v>70951</v>
      </c>
      <c r="CE45" s="206">
        <f>CQ45</f>
        <v>53665.265896441961</v>
      </c>
      <c r="CF45" s="2495">
        <f>CD45-CF70-CF90</f>
        <v>69319.126999999993</v>
      </c>
      <c r="CG45" s="1724">
        <f t="shared" ref="CG45" si="81">CF45-CG70-CG90</f>
        <v>67724.787078999987</v>
      </c>
      <c r="CH45" s="1724">
        <f t="shared" ref="CH45" si="82">CG45-CH70-CH90</f>
        <v>66167.116976182981</v>
      </c>
      <c r="CI45" s="1724">
        <f t="shared" ref="CI45" si="83">CH45-CI70-CI90</f>
        <v>64645.273285730771</v>
      </c>
      <c r="CJ45" s="1724">
        <f t="shared" ref="CJ45" si="84">CI45-CJ70-CJ90</f>
        <v>63158.432000158959</v>
      </c>
      <c r="CK45" s="1724">
        <f t="shared" ref="CK45" si="85">CJ45-CK70-CK90</f>
        <v>61705.788064155306</v>
      </c>
      <c r="CL45" s="1724">
        <f t="shared" ref="CL45" si="86">CK45-CL70-CL90</f>
        <v>60286.554938679728</v>
      </c>
      <c r="CM45" s="1724">
        <f t="shared" ref="CM45" si="87">CL45-CM70-CM90</f>
        <v>58899.964175090099</v>
      </c>
      <c r="CN45" s="1724">
        <f t="shared" ref="CN45" si="88">CM45-CN70-CN90</f>
        <v>57545.264999063031</v>
      </c>
      <c r="CO45" s="1724">
        <f t="shared" ref="CO45" si="89">CN45-CO70-CO90</f>
        <v>56221.723904084582</v>
      </c>
      <c r="CP45" s="1724">
        <f t="shared" ref="CP45" si="90">CO45-CP70-CP90</f>
        <v>54928.62425429064</v>
      </c>
      <c r="CQ45" s="2470">
        <f t="shared" ref="CQ45" si="91">CP45-CQ70-CQ90</f>
        <v>53665.265896441961</v>
      </c>
    </row>
    <row r="46" spans="2:95" hidden="1">
      <c r="B46" s="3313"/>
      <c r="C46" s="3314"/>
      <c r="D46" s="201" t="s">
        <v>333</v>
      </c>
      <c r="E46" s="398">
        <f t="shared" si="77"/>
        <v>18459.75</v>
      </c>
      <c r="F46" s="455">
        <v>24341</v>
      </c>
      <c r="G46" s="455">
        <v>24314</v>
      </c>
      <c r="H46" s="355">
        <v>22964</v>
      </c>
      <c r="I46" s="355">
        <v>21779</v>
      </c>
      <c r="J46" s="341">
        <v>20624</v>
      </c>
      <c r="K46" s="341">
        <v>19378</v>
      </c>
      <c r="L46" s="341">
        <v>17939</v>
      </c>
      <c r="M46" s="341">
        <v>16763</v>
      </c>
      <c r="N46" s="341">
        <v>15132</v>
      </c>
      <c r="O46" s="341">
        <v>13888</v>
      </c>
      <c r="P46" s="341">
        <v>12757</v>
      </c>
      <c r="Q46" s="455">
        <v>11638</v>
      </c>
      <c r="R46" s="398">
        <f t="shared" si="78"/>
        <v>7124.666666666667</v>
      </c>
      <c r="S46" s="455">
        <v>10702</v>
      </c>
      <c r="T46" s="455">
        <v>9811</v>
      </c>
      <c r="U46" s="455">
        <v>9136</v>
      </c>
      <c r="V46" s="455">
        <v>8350</v>
      </c>
      <c r="W46" s="455">
        <v>7674</v>
      </c>
      <c r="X46" s="455">
        <v>7030</v>
      </c>
      <c r="Y46" s="455">
        <v>6535</v>
      </c>
      <c r="Z46" s="455">
        <v>6228</v>
      </c>
      <c r="AA46" s="459">
        <v>5834</v>
      </c>
      <c r="AB46" s="455">
        <v>5164</v>
      </c>
      <c r="AC46" s="455">
        <v>4676</v>
      </c>
      <c r="AD46" s="455">
        <v>4356</v>
      </c>
      <c r="AE46" s="398">
        <f t="shared" si="79"/>
        <v>3462</v>
      </c>
      <c r="AF46" s="1203">
        <v>3719</v>
      </c>
      <c r="AG46" s="1044">
        <v>3478</v>
      </c>
      <c r="AH46" s="1044">
        <v>3189</v>
      </c>
      <c r="AI46" s="1044"/>
      <c r="AJ46" s="1044"/>
      <c r="AK46" s="1044"/>
      <c r="AL46" s="1044"/>
      <c r="AM46" s="1044"/>
      <c r="AN46" s="1176"/>
      <c r="AO46" s="1044"/>
      <c r="AP46" s="1044"/>
      <c r="AQ46" s="1107"/>
      <c r="AR46" s="398" t="e">
        <f t="shared" si="80"/>
        <v>#DIV/0!</v>
      </c>
      <c r="AS46" s="1126"/>
      <c r="AT46" s="1126"/>
      <c r="AU46" s="1126"/>
      <c r="AV46" s="1126"/>
      <c r="AW46" s="1126"/>
      <c r="AX46" s="1126"/>
      <c r="AY46" s="1126"/>
      <c r="AZ46" s="1126"/>
      <c r="BA46" s="1506"/>
      <c r="BB46" s="1126"/>
      <c r="BC46" s="1126"/>
      <c r="BD46" s="1127"/>
      <c r="BE46" s="937">
        <f>IFERROR(AVERAGE(BF46:BQ46),0)</f>
        <v>0</v>
      </c>
      <c r="BF46" s="1125"/>
      <c r="BG46" s="1126"/>
      <c r="BH46" s="1126"/>
      <c r="BI46" s="1126"/>
      <c r="BJ46" s="1126"/>
      <c r="BK46" s="2227"/>
      <c r="BL46" s="2227"/>
      <c r="BM46" s="2227"/>
      <c r="BN46" s="2228"/>
      <c r="BO46" s="2227"/>
      <c r="BP46" s="2227"/>
      <c r="BQ46" s="2229"/>
      <c r="BR46" s="937">
        <f>IFERROR(AVERAGE(BS46:CD46),0)</f>
        <v>0</v>
      </c>
      <c r="BS46" s="1802"/>
      <c r="BT46" s="1803"/>
      <c r="BU46" s="1803"/>
      <c r="BV46" s="1803"/>
      <c r="BW46" s="1803"/>
      <c r="BX46" s="1803"/>
      <c r="BY46" s="3122"/>
      <c r="BZ46" s="3122"/>
      <c r="CA46" s="3123"/>
      <c r="CB46" s="3182"/>
      <c r="CC46" s="3182"/>
      <c r="CD46" s="3183"/>
      <c r="CE46" s="206">
        <f>IFERROR(AVERAGE(CF46:CQ46),0)</f>
        <v>0</v>
      </c>
      <c r="CF46" s="2495"/>
      <c r="CG46" s="1724"/>
      <c r="CH46" s="1724"/>
      <c r="CI46" s="1724"/>
      <c r="CJ46" s="1724"/>
      <c r="CK46" s="1724"/>
      <c r="CL46" s="1724"/>
      <c r="CM46" s="1724"/>
      <c r="CN46" s="2478"/>
      <c r="CO46" s="1724"/>
      <c r="CP46" s="1724"/>
      <c r="CQ46" s="2470"/>
    </row>
    <row r="47" spans="2:95">
      <c r="B47" s="3313"/>
      <c r="C47" s="3314"/>
      <c r="D47" s="201" t="s">
        <v>351</v>
      </c>
      <c r="E47" s="398">
        <f>Q47</f>
        <v>405089</v>
      </c>
      <c r="F47" s="455">
        <v>432002</v>
      </c>
      <c r="G47" s="455">
        <v>438145</v>
      </c>
      <c r="H47" s="355">
        <v>438421</v>
      </c>
      <c r="I47" s="355">
        <v>435101</v>
      </c>
      <c r="J47" s="341">
        <v>433303</v>
      </c>
      <c r="K47" s="341">
        <v>432258</v>
      </c>
      <c r="L47" s="341">
        <v>434423</v>
      </c>
      <c r="M47" s="341">
        <v>442118</v>
      </c>
      <c r="N47" s="341">
        <v>430027</v>
      </c>
      <c r="O47" s="341">
        <v>424535</v>
      </c>
      <c r="P47" s="341">
        <v>416108</v>
      </c>
      <c r="Q47" s="455">
        <v>405089</v>
      </c>
      <c r="R47" s="398">
        <f>AD47</f>
        <v>321432</v>
      </c>
      <c r="S47" s="341">
        <v>400774</v>
      </c>
      <c r="T47" s="341">
        <v>390474</v>
      </c>
      <c r="U47" s="341">
        <v>376762</v>
      </c>
      <c r="V47" s="341">
        <v>366321</v>
      </c>
      <c r="W47" s="341">
        <v>363813</v>
      </c>
      <c r="X47" s="341">
        <v>354385</v>
      </c>
      <c r="Y47" s="341">
        <v>346040</v>
      </c>
      <c r="Z47" s="341">
        <v>343456</v>
      </c>
      <c r="AA47" s="355">
        <v>340022</v>
      </c>
      <c r="AB47" s="341">
        <v>327179</v>
      </c>
      <c r="AC47" s="341">
        <v>312671</v>
      </c>
      <c r="AD47" s="341">
        <v>321432</v>
      </c>
      <c r="AE47" s="398">
        <f>AQ47</f>
        <v>61531</v>
      </c>
      <c r="AF47" s="1203">
        <v>308426</v>
      </c>
      <c r="AG47" s="1044">
        <v>305845</v>
      </c>
      <c r="AH47" s="1044">
        <v>298162</v>
      </c>
      <c r="AI47" s="1044">
        <v>46000</v>
      </c>
      <c r="AJ47" s="1044">
        <v>46000</v>
      </c>
      <c r="AK47" s="1044">
        <v>46125</v>
      </c>
      <c r="AL47" s="1044">
        <v>47605.000000000007</v>
      </c>
      <c r="AM47" s="1044">
        <v>48244</v>
      </c>
      <c r="AN47" s="1176">
        <v>51609</v>
      </c>
      <c r="AO47" s="1044">
        <v>54728</v>
      </c>
      <c r="AP47" s="1044">
        <v>55000</v>
      </c>
      <c r="AQ47" s="1107">
        <v>61531</v>
      </c>
      <c r="AR47" s="398">
        <f>BD47</f>
        <v>64583</v>
      </c>
      <c r="AS47" s="1126">
        <v>62205</v>
      </c>
      <c r="AT47" s="1126">
        <v>63496</v>
      </c>
      <c r="AU47" s="1126">
        <v>62205</v>
      </c>
      <c r="AV47" s="1126">
        <v>65237.999999999993</v>
      </c>
      <c r="AW47" s="1126">
        <v>65000</v>
      </c>
      <c r="AX47" s="1126">
        <v>65000</v>
      </c>
      <c r="AY47" s="1126">
        <v>64583</v>
      </c>
      <c r="AZ47" s="1126">
        <v>64583</v>
      </c>
      <c r="BA47" s="1506">
        <v>64583</v>
      </c>
      <c r="BB47" s="1126">
        <v>64583</v>
      </c>
      <c r="BC47" s="1126">
        <v>64583</v>
      </c>
      <c r="BD47" s="1127">
        <v>64583</v>
      </c>
      <c r="BE47" s="937">
        <f>BQ47</f>
        <v>46125.535523492639</v>
      </c>
      <c r="BF47" s="1125">
        <v>42837</v>
      </c>
      <c r="BG47" s="1126">
        <v>43490</v>
      </c>
      <c r="BH47" s="1126">
        <v>43523</v>
      </c>
      <c r="BI47" s="1126">
        <v>44036</v>
      </c>
      <c r="BJ47" s="1126">
        <v>44045</v>
      </c>
      <c r="BK47" s="2227">
        <v>44318</v>
      </c>
      <c r="BL47" s="2227">
        <v>44729</v>
      </c>
      <c r="BM47" s="2227">
        <v>45564.53584955127</v>
      </c>
      <c r="BN47" s="2228">
        <v>46412.379300484383</v>
      </c>
      <c r="BO47" s="2227">
        <v>46533.303745690348</v>
      </c>
      <c r="BP47" s="2227">
        <v>45649.476389287542</v>
      </c>
      <c r="BQ47" s="2229">
        <v>46125.535523492639</v>
      </c>
      <c r="BR47" s="937">
        <f>CD47</f>
        <v>42986.648249640479</v>
      </c>
      <c r="BS47" s="1802">
        <v>45853.535523492639</v>
      </c>
      <c r="BT47" s="1803">
        <v>45201.535523492603</v>
      </c>
      <c r="BU47" s="1803">
        <v>45370.035523492603</v>
      </c>
      <c r="BV47" s="1803">
        <v>45065.562401758689</v>
      </c>
      <c r="BW47" s="1803">
        <v>44954.040269960795</v>
      </c>
      <c r="BX47" s="1803">
        <v>44527.069822505997</v>
      </c>
      <c r="BY47" s="3122">
        <v>44895.269876695871</v>
      </c>
      <c r="BZ47" s="3122">
        <v>44158.515729802479</v>
      </c>
      <c r="CA47" s="3124">
        <v>43703.930278283442</v>
      </c>
      <c r="CB47" s="3182">
        <v>42793.697259704437</v>
      </c>
      <c r="CC47" s="3182">
        <v>42986.648249640479</v>
      </c>
      <c r="CD47" s="3183">
        <v>42986.648249640479</v>
      </c>
      <c r="CE47" s="206">
        <f>CQ47</f>
        <v>47091.693902348256</v>
      </c>
      <c r="CF47" s="2495">
        <f>CD47+CF59</f>
        <v>43337.247304402306</v>
      </c>
      <c r="CG47" s="1724">
        <f t="shared" ref="CG47" si="92">CF47+CG59</f>
        <v>43664.700016858711</v>
      </c>
      <c r="CH47" s="1724">
        <f t="shared" ref="CH47:CH48" si="93">CG47+CH59</f>
        <v>43740.545847921014</v>
      </c>
      <c r="CI47" s="1724">
        <f t="shared" ref="CI47:CI48" si="94">CH47+CI59</f>
        <v>43818.185393568943</v>
      </c>
      <c r="CJ47" s="1724">
        <f t="shared" ref="CJ47:CJ48" si="95">CI47+CJ59</f>
        <v>43894.678538087239</v>
      </c>
      <c r="CK47" s="1724">
        <f t="shared" ref="CK47:CK48" si="96">CJ47+CK59</f>
        <v>43970.07571562301</v>
      </c>
      <c r="CL47" s="1724">
        <f t="shared" ref="CL47:CL48" si="97">CK47+CL59</f>
        <v>44291.517237704815</v>
      </c>
      <c r="CM47" s="1724">
        <f t="shared" ref="CM47:CM48" si="98">CL47+CM59</f>
        <v>44358.343347754155</v>
      </c>
      <c r="CN47" s="1724">
        <f t="shared" ref="CN47:CN48" si="99">CM47+CN59</f>
        <v>45445.777806446153</v>
      </c>
      <c r="CO47" s="1724">
        <f t="shared" ref="CO47:CO48" si="100">CN47+CO59</f>
        <v>47049.382469477729</v>
      </c>
      <c r="CP47" s="1724">
        <f t="shared" ref="CP47:CP48" si="101">CO47+CP59</f>
        <v>47061.474657545441</v>
      </c>
      <c r="CQ47" s="2470">
        <f t="shared" ref="CQ47:CQ48" si="102">CP47+CQ59</f>
        <v>47091.693902348256</v>
      </c>
    </row>
    <row r="48" spans="2:95">
      <c r="B48" s="3313"/>
      <c r="C48" s="3314"/>
      <c r="D48" s="203" t="s">
        <v>678</v>
      </c>
      <c r="E48" s="399">
        <f>Q48</f>
        <v>181200</v>
      </c>
      <c r="F48" s="456">
        <v>223298</v>
      </c>
      <c r="G48" s="456">
        <v>222997</v>
      </c>
      <c r="H48" s="356">
        <v>219722</v>
      </c>
      <c r="I48" s="356">
        <v>216246</v>
      </c>
      <c r="J48" s="340">
        <v>213013</v>
      </c>
      <c r="K48" s="340">
        <v>210362</v>
      </c>
      <c r="L48" s="340">
        <v>206751</v>
      </c>
      <c r="M48" s="340">
        <v>205337</v>
      </c>
      <c r="N48" s="340">
        <v>200075</v>
      </c>
      <c r="O48" s="340">
        <v>194623</v>
      </c>
      <c r="P48" s="340">
        <v>184224</v>
      </c>
      <c r="Q48" s="456">
        <v>181200</v>
      </c>
      <c r="R48" s="399">
        <f>AD48</f>
        <v>161101</v>
      </c>
      <c r="S48" s="340">
        <v>178279</v>
      </c>
      <c r="T48" s="340">
        <v>176070</v>
      </c>
      <c r="U48" s="340">
        <v>173932</v>
      </c>
      <c r="V48" s="340">
        <v>171967</v>
      </c>
      <c r="W48" s="340">
        <v>169459</v>
      </c>
      <c r="X48" s="340">
        <v>165898</v>
      </c>
      <c r="Y48" s="340">
        <v>164956</v>
      </c>
      <c r="Z48" s="340">
        <v>162207</v>
      </c>
      <c r="AA48" s="356">
        <v>158109</v>
      </c>
      <c r="AB48" s="340">
        <v>158554</v>
      </c>
      <c r="AC48" s="340">
        <v>158004</v>
      </c>
      <c r="AD48" s="340">
        <v>161101</v>
      </c>
      <c r="AE48" s="399">
        <f>AQ48</f>
        <v>121230</v>
      </c>
      <c r="AF48" s="1205">
        <v>163252</v>
      </c>
      <c r="AG48" s="1206">
        <v>166437</v>
      </c>
      <c r="AH48" s="1206">
        <v>170558</v>
      </c>
      <c r="AI48" s="1206">
        <v>105000</v>
      </c>
      <c r="AJ48" s="1206">
        <v>108000</v>
      </c>
      <c r="AK48" s="1206">
        <v>109994</v>
      </c>
      <c r="AL48" s="1206">
        <v>111420.99999999999</v>
      </c>
      <c r="AM48" s="1206">
        <v>114999</v>
      </c>
      <c r="AN48" s="1182">
        <v>118158.99999999999</v>
      </c>
      <c r="AO48" s="1206">
        <v>119647</v>
      </c>
      <c r="AP48" s="1206">
        <v>121000</v>
      </c>
      <c r="AQ48" s="1207">
        <v>121230</v>
      </c>
      <c r="AR48" s="399">
        <f>BD48</f>
        <v>128201</v>
      </c>
      <c r="AS48" s="1132">
        <v>121623</v>
      </c>
      <c r="AT48" s="1132">
        <v>123524</v>
      </c>
      <c r="AU48" s="1132">
        <v>121623</v>
      </c>
      <c r="AV48" s="1132">
        <v>127509</v>
      </c>
      <c r="AW48" s="1132">
        <v>128000</v>
      </c>
      <c r="AX48" s="1132">
        <v>128000</v>
      </c>
      <c r="AY48" s="1132">
        <v>128201</v>
      </c>
      <c r="AZ48" s="1132">
        <v>128201</v>
      </c>
      <c r="BA48" s="1508">
        <v>128201</v>
      </c>
      <c r="BB48" s="1132">
        <v>128201</v>
      </c>
      <c r="BC48" s="1132">
        <v>128201</v>
      </c>
      <c r="BD48" s="1133">
        <v>128201</v>
      </c>
      <c r="BE48" s="940">
        <f>BQ48</f>
        <v>83537.464476507346</v>
      </c>
      <c r="BF48" s="1131">
        <v>97973</v>
      </c>
      <c r="BG48" s="1132">
        <v>96466</v>
      </c>
      <c r="BH48" s="1132">
        <v>95597</v>
      </c>
      <c r="BI48" s="1132">
        <v>94413</v>
      </c>
      <c r="BJ48" s="1132">
        <v>92675</v>
      </c>
      <c r="BK48" s="2231">
        <v>92084</v>
      </c>
      <c r="BL48" s="2231">
        <v>91504</v>
      </c>
      <c r="BM48" s="2231">
        <v>90969.464150448752</v>
      </c>
      <c r="BN48" s="2232">
        <v>90431.620699515595</v>
      </c>
      <c r="BO48" s="2231">
        <v>88484.696254309674</v>
      </c>
      <c r="BP48" s="2231">
        <v>84714.523610712466</v>
      </c>
      <c r="BQ48" s="2233">
        <v>83537.464476507346</v>
      </c>
      <c r="BR48" s="940">
        <f>CD48</f>
        <v>78420</v>
      </c>
      <c r="BS48" s="1804">
        <v>83264.464476507346</v>
      </c>
      <c r="BT48" s="1805">
        <v>82611.464476507346</v>
      </c>
      <c r="BU48" s="1805">
        <v>82779.964476507346</v>
      </c>
      <c r="BV48" s="1805">
        <v>82224.437598241318</v>
      </c>
      <c r="BW48" s="1805">
        <v>82020.959730039205</v>
      </c>
      <c r="BX48" s="1805">
        <v>81241.930177493996</v>
      </c>
      <c r="BY48" s="3125">
        <v>81913.730123304122</v>
      </c>
      <c r="BZ48" s="3125">
        <v>80569.484270197514</v>
      </c>
      <c r="CA48" s="3126">
        <v>79740.069721716558</v>
      </c>
      <c r="CB48" s="3185">
        <v>78079.302740295563</v>
      </c>
      <c r="CC48" s="3185">
        <v>78431.351750359521</v>
      </c>
      <c r="CD48" s="3186">
        <v>78420</v>
      </c>
      <c r="CE48" s="208">
        <f>CQ48</f>
        <v>84912.228441685147</v>
      </c>
      <c r="CF48" s="2496">
        <f>CD48+CF60</f>
        <v>79021.572624134264</v>
      </c>
      <c r="CG48" s="1725">
        <f t="shared" ref="CG48" si="103">CF48+CG60</f>
        <v>79593.60758115504</v>
      </c>
      <c r="CH48" s="1725">
        <f t="shared" si="93"/>
        <v>80158.230211760732</v>
      </c>
      <c r="CI48" s="1725">
        <f t="shared" si="94"/>
        <v>80715.308266280597</v>
      </c>
      <c r="CJ48" s="1725">
        <f t="shared" si="95"/>
        <v>81264.944985113354</v>
      </c>
      <c r="CK48" s="1725">
        <f t="shared" si="96"/>
        <v>81807.239742266582</v>
      </c>
      <c r="CL48" s="1725">
        <f t="shared" si="97"/>
        <v>82342.29061079587</v>
      </c>
      <c r="CM48" s="1725">
        <f t="shared" si="98"/>
        <v>82870.194353430561</v>
      </c>
      <c r="CN48" s="1725">
        <f t="shared" si="99"/>
        <v>83391.046440361577</v>
      </c>
      <c r="CO48" s="1725">
        <f t="shared" si="100"/>
        <v>83904.941066503918</v>
      </c>
      <c r="CP48" s="1725">
        <f t="shared" si="101"/>
        <v>84411.971168531614</v>
      </c>
      <c r="CQ48" s="2471">
        <f t="shared" si="102"/>
        <v>84912.228441685147</v>
      </c>
    </row>
    <row r="49" spans="2:95" hidden="1">
      <c r="B49" s="3313"/>
      <c r="C49" s="3314"/>
      <c r="D49" s="202" t="s">
        <v>350</v>
      </c>
      <c r="E49" s="401">
        <f t="shared" si="77"/>
        <v>489998.72727272729</v>
      </c>
      <c r="F49" s="458">
        <v>493247</v>
      </c>
      <c r="G49" s="458">
        <v>499470</v>
      </c>
      <c r="H49" s="419">
        <v>500049</v>
      </c>
      <c r="I49" s="419">
        <v>497101</v>
      </c>
      <c r="J49" s="344">
        <v>495617</v>
      </c>
      <c r="K49" s="344">
        <v>494429</v>
      </c>
      <c r="L49" s="344">
        <v>495015</v>
      </c>
      <c r="M49" s="344">
        <v>499248</v>
      </c>
      <c r="N49" s="344">
        <v>484396</v>
      </c>
      <c r="O49" s="344">
        <v>473004</v>
      </c>
      <c r="P49" s="344">
        <v>458410</v>
      </c>
      <c r="Q49" s="458"/>
      <c r="R49" s="401">
        <f t="shared" si="78"/>
        <v>382736.33333333331</v>
      </c>
      <c r="S49" s="458">
        <v>441008</v>
      </c>
      <c r="T49" s="458">
        <v>429377</v>
      </c>
      <c r="U49" s="419">
        <v>412559</v>
      </c>
      <c r="V49" s="419">
        <v>400867</v>
      </c>
      <c r="W49" s="344">
        <v>398357</v>
      </c>
      <c r="X49" s="344">
        <v>382513</v>
      </c>
      <c r="Y49" s="344">
        <v>373695</v>
      </c>
      <c r="Z49" s="344">
        <v>367670</v>
      </c>
      <c r="AA49" s="344">
        <v>361406</v>
      </c>
      <c r="AB49" s="344">
        <v>348540</v>
      </c>
      <c r="AC49" s="344">
        <v>333934</v>
      </c>
      <c r="AD49" s="344">
        <v>342910</v>
      </c>
      <c r="AE49" s="401">
        <f t="shared" si="79"/>
        <v>333643.33333333331</v>
      </c>
      <c r="AF49" s="2453">
        <v>330304</v>
      </c>
      <c r="AG49" s="1260">
        <v>327776</v>
      </c>
      <c r="AH49" s="1260">
        <v>320502</v>
      </c>
      <c r="AI49" s="1180">
        <v>324000</v>
      </c>
      <c r="AJ49" s="1260">
        <v>328000</v>
      </c>
      <c r="AK49" s="1260">
        <v>332302.00000000006</v>
      </c>
      <c r="AL49" s="1260">
        <v>337281</v>
      </c>
      <c r="AM49" s="1260">
        <v>339041</v>
      </c>
      <c r="AN49" s="1260">
        <v>335764</v>
      </c>
      <c r="AO49" s="1260">
        <v>337408</v>
      </c>
      <c r="AP49" s="1260">
        <v>340000</v>
      </c>
      <c r="AQ49" s="1298">
        <v>351342</v>
      </c>
      <c r="AR49" s="401">
        <f t="shared" si="80"/>
        <v>339990.39291350136</v>
      </c>
      <c r="AS49" s="1129">
        <v>355785</v>
      </c>
      <c r="AT49" s="1129">
        <v>343264</v>
      </c>
      <c r="AU49" s="1129">
        <v>355785</v>
      </c>
      <c r="AV49" s="2454">
        <v>340084</v>
      </c>
      <c r="AW49" s="1129">
        <v>338000</v>
      </c>
      <c r="AX49" s="1129">
        <v>336000</v>
      </c>
      <c r="AY49" s="1129">
        <v>336000</v>
      </c>
      <c r="AZ49" s="1129">
        <v>335664.00000000006</v>
      </c>
      <c r="BA49" s="1129">
        <v>335328.33600000007</v>
      </c>
      <c r="BB49" s="1129">
        <v>334993.00766400009</v>
      </c>
      <c r="BC49" s="1129">
        <v>334658.0146563361</v>
      </c>
      <c r="BD49" s="1130">
        <v>334323.35664167983</v>
      </c>
      <c r="BE49" s="938">
        <f t="shared" ref="BE49" si="104">AVERAGE(BF49:BQ49)</f>
        <v>378403.91666666669</v>
      </c>
      <c r="BF49" s="1128">
        <v>423790</v>
      </c>
      <c r="BG49" s="1129">
        <v>407221</v>
      </c>
      <c r="BH49" s="1129">
        <v>407097</v>
      </c>
      <c r="BI49" s="2454">
        <v>387183</v>
      </c>
      <c r="BJ49" s="1129">
        <v>374888</v>
      </c>
      <c r="BK49" s="2455">
        <v>374994</v>
      </c>
      <c r="BL49" s="2455">
        <v>370613</v>
      </c>
      <c r="BM49" s="2455">
        <v>362922</v>
      </c>
      <c r="BN49" s="2455">
        <v>360865</v>
      </c>
      <c r="BO49" s="2455">
        <v>360050</v>
      </c>
      <c r="BP49" s="2455">
        <v>354868</v>
      </c>
      <c r="BQ49" s="2456">
        <v>356356</v>
      </c>
      <c r="BR49" s="938" t="e">
        <f t="shared" ref="BR49" si="105">AVERAGE(BS49:CD49)</f>
        <v>#DIV/0!</v>
      </c>
      <c r="BS49" s="1829"/>
      <c r="BT49" s="1824"/>
      <c r="BU49" s="1824"/>
      <c r="BV49" s="3127"/>
      <c r="BW49" s="1824"/>
      <c r="BX49" s="1824"/>
      <c r="BY49" s="3128"/>
      <c r="BZ49" s="3128"/>
      <c r="CA49" s="3129"/>
      <c r="CB49" s="3187"/>
      <c r="CC49" s="3187"/>
      <c r="CD49" s="3188"/>
      <c r="CE49" s="207" t="e">
        <f t="shared" ref="CE49" si="106">AVERAGE(CF49:CQ49)</f>
        <v>#DIV/0!</v>
      </c>
      <c r="CF49" s="3158"/>
      <c r="CG49" s="3159"/>
      <c r="CH49" s="3159"/>
      <c r="CI49" s="3159"/>
      <c r="CJ49" s="3159"/>
      <c r="CK49" s="3159"/>
      <c r="CL49" s="3159"/>
      <c r="CM49" s="3159"/>
      <c r="CN49" s="3159"/>
      <c r="CO49" s="3159"/>
      <c r="CP49" s="3159"/>
      <c r="CQ49" s="3160"/>
    </row>
    <row r="50" spans="2:95">
      <c r="B50" s="3311" t="s">
        <v>676</v>
      </c>
      <c r="C50" s="3312"/>
      <c r="D50" s="2457" t="s">
        <v>42</v>
      </c>
      <c r="E50" s="413"/>
      <c r="F50" s="463"/>
      <c r="G50" s="463"/>
      <c r="H50" s="2458"/>
      <c r="I50" s="2458"/>
      <c r="J50" s="1575"/>
      <c r="K50" s="463"/>
      <c r="L50" s="1575"/>
      <c r="M50" s="1575"/>
      <c r="N50" s="1575"/>
      <c r="O50" s="1575"/>
      <c r="P50" s="1575"/>
      <c r="Q50" s="463"/>
      <c r="R50" s="413"/>
      <c r="S50" s="463"/>
      <c r="T50" s="463"/>
      <c r="U50" s="2458"/>
      <c r="V50" s="2458"/>
      <c r="W50" s="1575"/>
      <c r="X50" s="463"/>
      <c r="Y50" s="1575"/>
      <c r="Z50" s="1575"/>
      <c r="AA50" s="1575"/>
      <c r="AB50" s="1575"/>
      <c r="AC50" s="1575"/>
      <c r="AD50" s="463"/>
      <c r="AE50" s="413"/>
      <c r="AF50" s="2459"/>
      <c r="AG50" s="1906"/>
      <c r="AH50" s="1906"/>
      <c r="AI50" s="2460"/>
      <c r="AJ50" s="1906"/>
      <c r="AK50" s="1906"/>
      <c r="AL50" s="1906"/>
      <c r="AM50" s="1906"/>
      <c r="AN50" s="1906"/>
      <c r="AO50" s="1906"/>
      <c r="AP50" s="1906"/>
      <c r="AQ50" s="2461"/>
      <c r="AR50" s="413"/>
      <c r="AS50" s="1908"/>
      <c r="AT50" s="1908"/>
      <c r="AU50" s="1908"/>
      <c r="AV50" s="2462"/>
      <c r="AW50" s="1908"/>
      <c r="AX50" s="1908"/>
      <c r="AY50" s="1908"/>
      <c r="AZ50" s="1908"/>
      <c r="BA50" s="1908"/>
      <c r="BB50" s="1908"/>
      <c r="BC50" s="1908"/>
      <c r="BD50" s="1909"/>
      <c r="BE50" s="951"/>
      <c r="BF50" s="2463"/>
      <c r="BG50" s="1908"/>
      <c r="BH50" s="1908"/>
      <c r="BI50" s="2462"/>
      <c r="BJ50" s="1908"/>
      <c r="BK50" s="2464"/>
      <c r="BL50" s="2464"/>
      <c r="BM50" s="2464"/>
      <c r="BN50" s="2464"/>
      <c r="BO50" s="2464"/>
      <c r="BP50" s="2464"/>
      <c r="BQ50" s="2465"/>
      <c r="BR50" s="951">
        <f>CD50</f>
        <v>382014</v>
      </c>
      <c r="BS50" s="3130">
        <v>582656</v>
      </c>
      <c r="BT50" s="3131">
        <v>559407</v>
      </c>
      <c r="BU50" s="3131">
        <v>541478</v>
      </c>
      <c r="BV50" s="3132">
        <v>523578</v>
      </c>
      <c r="BW50" s="3131">
        <v>505468</v>
      </c>
      <c r="BX50" s="3131">
        <v>486487</v>
      </c>
      <c r="BY50" s="3133">
        <v>461592</v>
      </c>
      <c r="BZ50" s="3133">
        <v>440697</v>
      </c>
      <c r="CA50" s="3134">
        <v>420214</v>
      </c>
      <c r="CB50" s="3189">
        <v>401593</v>
      </c>
      <c r="CC50" s="3189">
        <v>384875</v>
      </c>
      <c r="CD50" s="3190">
        <v>382014</v>
      </c>
      <c r="CE50" s="2897">
        <f>CQ50</f>
        <v>312842.79934213054</v>
      </c>
      <c r="CF50" s="2497">
        <f>CF312</f>
        <v>381004.56963229802</v>
      </c>
      <c r="CG50" s="2467">
        <f t="shared" ref="CG50:CQ50" si="107">CG312</f>
        <v>375133.15836539119</v>
      </c>
      <c r="CH50" s="2467">
        <f t="shared" si="107"/>
        <v>362215.34592437616</v>
      </c>
      <c r="CI50" s="2467">
        <f t="shared" si="107"/>
        <v>354903.52116552863</v>
      </c>
      <c r="CJ50" s="2467">
        <f t="shared" si="107"/>
        <v>346044.7921520347</v>
      </c>
      <c r="CK50" s="2467">
        <f t="shared" si="107"/>
        <v>337919.0264486192</v>
      </c>
      <c r="CL50" s="2467">
        <f t="shared" si="107"/>
        <v>330841.04538010032</v>
      </c>
      <c r="CM50" s="2467">
        <f t="shared" si="107"/>
        <v>328991.40846283711</v>
      </c>
      <c r="CN50" s="2467">
        <f t="shared" si="107"/>
        <v>321690.32908690773</v>
      </c>
      <c r="CO50" s="2467">
        <f t="shared" si="107"/>
        <v>319398.82519002125</v>
      </c>
      <c r="CP50" s="2467">
        <f t="shared" si="107"/>
        <v>315734.65593363042</v>
      </c>
      <c r="CQ50" s="2468">
        <f t="shared" si="107"/>
        <v>312842.79934213054</v>
      </c>
    </row>
    <row r="51" spans="2:95">
      <c r="B51" s="3315"/>
      <c r="C51" s="3316"/>
      <c r="D51" s="215" t="s">
        <v>682</v>
      </c>
      <c r="E51" s="400"/>
      <c r="F51" s="457"/>
      <c r="G51" s="457"/>
      <c r="H51" s="2302"/>
      <c r="I51" s="2302"/>
      <c r="J51" s="345"/>
      <c r="K51" s="457"/>
      <c r="L51" s="345"/>
      <c r="M51" s="345"/>
      <c r="N51" s="345"/>
      <c r="O51" s="345"/>
      <c r="P51" s="345"/>
      <c r="Q51" s="457"/>
      <c r="R51" s="400"/>
      <c r="S51" s="457"/>
      <c r="T51" s="457"/>
      <c r="U51" s="2302"/>
      <c r="V51" s="2302"/>
      <c r="W51" s="345"/>
      <c r="X51" s="457"/>
      <c r="Y51" s="345"/>
      <c r="Z51" s="345"/>
      <c r="AA51" s="345"/>
      <c r="AB51" s="345"/>
      <c r="AC51" s="345"/>
      <c r="AD51" s="457"/>
      <c r="AE51" s="400"/>
      <c r="AF51" s="2303"/>
      <c r="AG51" s="1263"/>
      <c r="AH51" s="1263"/>
      <c r="AI51" s="2304"/>
      <c r="AJ51" s="1263"/>
      <c r="AK51" s="1263"/>
      <c r="AL51" s="1263"/>
      <c r="AM51" s="1263"/>
      <c r="AN51" s="1263"/>
      <c r="AO51" s="1263"/>
      <c r="AP51" s="1263"/>
      <c r="AQ51" s="2305"/>
      <c r="AR51" s="400"/>
      <c r="AS51" s="1135"/>
      <c r="AT51" s="1135"/>
      <c r="AU51" s="1135"/>
      <c r="AV51" s="2306"/>
      <c r="AW51" s="1135"/>
      <c r="AX51" s="1135"/>
      <c r="AY51" s="1135"/>
      <c r="AZ51" s="1135"/>
      <c r="BA51" s="1135"/>
      <c r="BB51" s="1135"/>
      <c r="BC51" s="1135"/>
      <c r="BD51" s="1136"/>
      <c r="BE51" s="941"/>
      <c r="BF51" s="1134"/>
      <c r="BG51" s="1135"/>
      <c r="BH51" s="1135"/>
      <c r="BI51" s="2306"/>
      <c r="BJ51" s="1135"/>
      <c r="BK51" s="2307"/>
      <c r="BL51" s="2307"/>
      <c r="BM51" s="2307"/>
      <c r="BN51" s="2307"/>
      <c r="BO51" s="2307"/>
      <c r="BP51" s="2307"/>
      <c r="BQ51" s="2308"/>
      <c r="BR51" s="941">
        <f>CD51</f>
        <v>254919.30996127918</v>
      </c>
      <c r="BS51" s="2765">
        <v>139462</v>
      </c>
      <c r="BT51" s="3135">
        <v>156756</v>
      </c>
      <c r="BU51" s="3135">
        <v>164695</v>
      </c>
      <c r="BV51" s="3136">
        <v>176809</v>
      </c>
      <c r="BW51" s="3135">
        <v>204044</v>
      </c>
      <c r="BX51" s="3135">
        <v>216044</v>
      </c>
      <c r="BY51" s="3137">
        <v>239096</v>
      </c>
      <c r="BZ51" s="3137">
        <v>247338</v>
      </c>
      <c r="CA51" s="3138">
        <v>262998</v>
      </c>
      <c r="CB51" s="3191">
        <v>272105</v>
      </c>
      <c r="CC51" s="3191">
        <v>277956</v>
      </c>
      <c r="CD51" s="3192">
        <v>254919.30996127918</v>
      </c>
      <c r="CE51" s="1150">
        <f>CQ51</f>
        <v>322833.63208202389</v>
      </c>
      <c r="CF51" s="2498">
        <f>CF323</f>
        <v>257331.20075942879</v>
      </c>
      <c r="CG51" s="1727">
        <f t="shared" ref="CG51:CQ51" si="108">CG323</f>
        <v>261828.97479026255</v>
      </c>
      <c r="CH51" s="1727">
        <f t="shared" si="108"/>
        <v>266368.03031744139</v>
      </c>
      <c r="CI51" s="1727">
        <f t="shared" si="108"/>
        <v>274767.91108457866</v>
      </c>
      <c r="CJ51" s="1727">
        <f t="shared" si="108"/>
        <v>278692.77365784865</v>
      </c>
      <c r="CK51" s="1727">
        <f t="shared" si="108"/>
        <v>282300.7890181726</v>
      </c>
      <c r="CL51" s="1727">
        <f t="shared" si="108"/>
        <v>286506.31089765934</v>
      </c>
      <c r="CM51" s="1727">
        <f t="shared" si="108"/>
        <v>293920.69709517236</v>
      </c>
      <c r="CN51" s="1727">
        <f t="shared" si="108"/>
        <v>299450.35973115236</v>
      </c>
      <c r="CO51" s="1727">
        <f t="shared" si="108"/>
        <v>312455.86739858851</v>
      </c>
      <c r="CP51" s="1727">
        <f t="shared" si="108"/>
        <v>318886.26350732933</v>
      </c>
      <c r="CQ51" s="2469">
        <f t="shared" si="108"/>
        <v>322833.63208202389</v>
      </c>
    </row>
    <row r="52" spans="2:95" ht="16.5" customHeight="1">
      <c r="B52" s="3311" t="s">
        <v>348</v>
      </c>
      <c r="C52" s="3312"/>
      <c r="D52" s="210" t="s">
        <v>14</v>
      </c>
      <c r="E52" s="397">
        <f t="shared" ref="E52" si="109">SUM(E53:E64)</f>
        <v>-245447.71738812403</v>
      </c>
      <c r="F52" s="213">
        <v>11796</v>
      </c>
      <c r="G52" s="213">
        <v>19538</v>
      </c>
      <c r="H52" s="213">
        <v>-18638</v>
      </c>
      <c r="I52" s="213">
        <v>-19476</v>
      </c>
      <c r="J52" s="213">
        <v>-23472</v>
      </c>
      <c r="K52" s="214">
        <v>-14947</v>
      </c>
      <c r="L52" s="213">
        <v>-1855</v>
      </c>
      <c r="M52" s="213">
        <v>7847</v>
      </c>
      <c r="N52" s="213">
        <v>-47564.377487257974</v>
      </c>
      <c r="O52" s="213">
        <v>-56251.030158875401</v>
      </c>
      <c r="P52" s="213">
        <v>-55041.854561392669</v>
      </c>
      <c r="Q52" s="214">
        <v>-47383.455180597964</v>
      </c>
      <c r="R52" s="397">
        <f t="shared" ref="R52" si="110">SUM(R53:R64)</f>
        <v>0</v>
      </c>
      <c r="S52" s="213">
        <f t="shared" ref="S52:AD52" si="111">SUM(S53:S60)</f>
        <v>0</v>
      </c>
      <c r="T52" s="213">
        <f t="shared" si="111"/>
        <v>0</v>
      </c>
      <c r="U52" s="213">
        <f t="shared" si="111"/>
        <v>0</v>
      </c>
      <c r="V52" s="213">
        <f t="shared" si="111"/>
        <v>0</v>
      </c>
      <c r="W52" s="213">
        <f t="shared" si="111"/>
        <v>0</v>
      </c>
      <c r="X52" s="214">
        <f t="shared" si="111"/>
        <v>0</v>
      </c>
      <c r="Y52" s="213">
        <f t="shared" si="111"/>
        <v>0</v>
      </c>
      <c r="Z52" s="213">
        <f t="shared" si="111"/>
        <v>0</v>
      </c>
      <c r="AA52" s="213">
        <f t="shared" si="111"/>
        <v>0</v>
      </c>
      <c r="AB52" s="213">
        <f t="shared" si="111"/>
        <v>0</v>
      </c>
      <c r="AC52" s="213">
        <f t="shared" si="111"/>
        <v>0</v>
      </c>
      <c r="AD52" s="214">
        <f t="shared" si="111"/>
        <v>0</v>
      </c>
      <c r="AE52" s="397">
        <f t="shared" ref="AE52" si="112">SUM(AE53:AE64)</f>
        <v>0</v>
      </c>
      <c r="AF52" s="1190">
        <f t="shared" ref="AF52:AQ52" si="113">SUM(AF53:AF60)</f>
        <v>0</v>
      </c>
      <c r="AG52" s="1191">
        <f t="shared" si="113"/>
        <v>0</v>
      </c>
      <c r="AH52" s="1191">
        <f t="shared" si="113"/>
        <v>0</v>
      </c>
      <c r="AI52" s="1191">
        <f t="shared" si="113"/>
        <v>0</v>
      </c>
      <c r="AJ52" s="1191">
        <f t="shared" si="113"/>
        <v>0</v>
      </c>
      <c r="AK52" s="1191">
        <f t="shared" si="113"/>
        <v>0</v>
      </c>
      <c r="AL52" s="1191">
        <f t="shared" si="113"/>
        <v>0</v>
      </c>
      <c r="AM52" s="1191">
        <f t="shared" si="113"/>
        <v>0</v>
      </c>
      <c r="AN52" s="1191">
        <f t="shared" si="113"/>
        <v>0</v>
      </c>
      <c r="AO52" s="1191">
        <f t="shared" si="113"/>
        <v>0</v>
      </c>
      <c r="AP52" s="1191">
        <f t="shared" si="113"/>
        <v>0</v>
      </c>
      <c r="AQ52" s="1192">
        <f t="shared" si="113"/>
        <v>0</v>
      </c>
      <c r="AR52" s="397">
        <f t="shared" ref="AR52" si="114">SUM(AR53:AR64)</f>
        <v>0</v>
      </c>
      <c r="AS52" s="415">
        <f t="shared" ref="AS52:BD52" si="115">SUM(AS53:AS60)</f>
        <v>0</v>
      </c>
      <c r="AT52" s="415">
        <f t="shared" si="115"/>
        <v>0</v>
      </c>
      <c r="AU52" s="415">
        <f t="shared" si="115"/>
        <v>0</v>
      </c>
      <c r="AV52" s="415">
        <f t="shared" si="115"/>
        <v>0</v>
      </c>
      <c r="AW52" s="415">
        <f t="shared" si="115"/>
        <v>0</v>
      </c>
      <c r="AX52" s="415">
        <f t="shared" si="115"/>
        <v>0</v>
      </c>
      <c r="AY52" s="415">
        <f t="shared" si="115"/>
        <v>0</v>
      </c>
      <c r="AZ52" s="415">
        <f t="shared" si="115"/>
        <v>0</v>
      </c>
      <c r="BA52" s="415">
        <f t="shared" si="115"/>
        <v>0</v>
      </c>
      <c r="BB52" s="415">
        <f t="shared" si="115"/>
        <v>0</v>
      </c>
      <c r="BC52" s="415">
        <f t="shared" si="115"/>
        <v>0</v>
      </c>
      <c r="BD52" s="877">
        <f t="shared" si="115"/>
        <v>0</v>
      </c>
      <c r="BE52" s="936">
        <f t="shared" ref="BE52" si="116">SUM(BE53:BE64)</f>
        <v>0</v>
      </c>
      <c r="BF52" s="397">
        <f t="shared" ref="BF52:BQ52" si="117">SUM(BF53:BF60)</f>
        <v>0</v>
      </c>
      <c r="BG52" s="415">
        <f t="shared" si="117"/>
        <v>0</v>
      </c>
      <c r="BH52" s="415">
        <f t="shared" si="117"/>
        <v>0</v>
      </c>
      <c r="BI52" s="415">
        <f t="shared" si="117"/>
        <v>0</v>
      </c>
      <c r="BJ52" s="415">
        <f t="shared" si="117"/>
        <v>0</v>
      </c>
      <c r="BK52" s="415">
        <f t="shared" si="117"/>
        <v>0</v>
      </c>
      <c r="BL52" s="415">
        <f t="shared" si="117"/>
        <v>0</v>
      </c>
      <c r="BM52" s="415">
        <f t="shared" si="117"/>
        <v>0</v>
      </c>
      <c r="BN52" s="1723">
        <f t="shared" si="117"/>
        <v>0</v>
      </c>
      <c r="BO52" s="415">
        <f t="shared" si="117"/>
        <v>0</v>
      </c>
      <c r="BP52" s="415">
        <f t="shared" si="117"/>
        <v>0</v>
      </c>
      <c r="BQ52" s="1738">
        <f t="shared" si="117"/>
        <v>0</v>
      </c>
      <c r="BR52" s="936"/>
      <c r="BS52" s="397">
        <f t="shared" ref="BS52:CD52" si="118">SUM(BS53:BS60)</f>
        <v>0</v>
      </c>
      <c r="BT52" s="415">
        <f t="shared" si="118"/>
        <v>0</v>
      </c>
      <c r="BU52" s="415">
        <f t="shared" si="118"/>
        <v>0</v>
      </c>
      <c r="BV52" s="415">
        <f t="shared" si="118"/>
        <v>0</v>
      </c>
      <c r="BW52" s="415">
        <f t="shared" si="118"/>
        <v>0</v>
      </c>
      <c r="BX52" s="415">
        <f t="shared" si="118"/>
        <v>0</v>
      </c>
      <c r="BY52" s="415">
        <f t="shared" si="118"/>
        <v>0</v>
      </c>
      <c r="BZ52" s="415">
        <f t="shared" si="118"/>
        <v>0</v>
      </c>
      <c r="CA52" s="1723">
        <f t="shared" si="118"/>
        <v>0</v>
      </c>
      <c r="CB52" s="1558">
        <f t="shared" si="118"/>
        <v>0</v>
      </c>
      <c r="CC52" s="1558">
        <f t="shared" si="118"/>
        <v>0</v>
      </c>
      <c r="CD52" s="3175">
        <f t="shared" si="118"/>
        <v>-7784.1074191515736</v>
      </c>
      <c r="CE52" s="822">
        <f t="shared" ref="CE52" si="119">SUM(CE53:CE64)</f>
        <v>-21183.133478381027</v>
      </c>
      <c r="CF52" s="397">
        <f t="shared" ref="CF52:CQ52" si="120">SUM(CF53:CF60)</f>
        <v>-1362.8831968480199</v>
      </c>
      <c r="CG52" s="415">
        <f t="shared" si="120"/>
        <v>-4858.0960383432994</v>
      </c>
      <c r="CH52" s="415">
        <f t="shared" si="120"/>
        <v>2567.6591845917742</v>
      </c>
      <c r="CI52" s="415">
        <f t="shared" si="120"/>
        <v>-3499.3715071532069</v>
      </c>
      <c r="CJ52" s="415">
        <f t="shared" si="120"/>
        <v>-3000.0586369115258</v>
      </c>
      <c r="CK52" s="415">
        <f t="shared" si="120"/>
        <v>-4442.8889630839221</v>
      </c>
      <c r="CL52" s="415">
        <f t="shared" si="120"/>
        <v>3758.4628049954676</v>
      </c>
      <c r="CM52" s="415">
        <f t="shared" si="120"/>
        <v>-2799.0736505348136</v>
      </c>
      <c r="CN52" s="1723">
        <f t="shared" si="120"/>
        <v>3172.005642072756</v>
      </c>
      <c r="CO52" s="415">
        <f t="shared" si="120"/>
        <v>-2082.5572977421734</v>
      </c>
      <c r="CP52" s="415">
        <f t="shared" si="120"/>
        <v>-3909.9480226891783</v>
      </c>
      <c r="CQ52" s="1738">
        <f t="shared" si="120"/>
        <v>-4726.3837967348827</v>
      </c>
    </row>
    <row r="53" spans="2:95" ht="17.5" customHeight="1">
      <c r="B53" s="3313"/>
      <c r="C53" s="3314"/>
      <c r="D53" s="201" t="s">
        <v>15</v>
      </c>
      <c r="E53" s="398">
        <f>SUM(F53:Q53)</f>
        <v>-182596.742375695</v>
      </c>
      <c r="F53" s="353">
        <v>-3988</v>
      </c>
      <c r="G53" s="354">
        <v>-5745</v>
      </c>
      <c r="H53" s="354">
        <v>-13923</v>
      </c>
      <c r="I53" s="354">
        <v>-17473</v>
      </c>
      <c r="J53" s="354">
        <v>-18650</v>
      </c>
      <c r="K53" s="354">
        <v>-17836</v>
      </c>
      <c r="L53" s="4">
        <v>-18271</v>
      </c>
      <c r="M53" s="4">
        <v>-12445</v>
      </c>
      <c r="N53" s="4">
        <v>-17442.450836693373</v>
      </c>
      <c r="O53" s="4">
        <v>-19854.225314589788</v>
      </c>
      <c r="P53" s="4">
        <v>-19452.102205239909</v>
      </c>
      <c r="Q53" s="18">
        <v>-17516.964019171923</v>
      </c>
      <c r="R53" s="398">
        <f>SUM(S53:AD53)</f>
        <v>0</v>
      </c>
      <c r="S53" s="624"/>
      <c r="T53" s="271"/>
      <c r="U53" s="271"/>
      <c r="V53" s="271"/>
      <c r="W53" s="271"/>
      <c r="X53" s="271"/>
      <c r="Y53" s="4"/>
      <c r="Z53" s="4"/>
      <c r="AA53" s="4"/>
      <c r="AB53" s="4"/>
      <c r="AC53" s="4"/>
      <c r="AD53" s="18"/>
      <c r="AE53" s="398">
        <f>SUM(AF53:AQ53)</f>
        <v>0</v>
      </c>
      <c r="AF53" s="1208"/>
      <c r="AG53" s="1209"/>
      <c r="AH53" s="1209"/>
      <c r="AI53" s="1209"/>
      <c r="AJ53" s="1209"/>
      <c r="AK53" s="1209"/>
      <c r="AL53" s="1050"/>
      <c r="AM53" s="1050"/>
      <c r="AN53" s="1050"/>
      <c r="AO53" s="1050"/>
      <c r="AP53" s="1050"/>
      <c r="AQ53" s="1210"/>
      <c r="AR53" s="398">
        <f>SUM(AS53:BD53)</f>
        <v>0</v>
      </c>
      <c r="AS53" s="878"/>
      <c r="AT53" s="878"/>
      <c r="AU53" s="878"/>
      <c r="AV53" s="878"/>
      <c r="AW53" s="878"/>
      <c r="AX53" s="878"/>
      <c r="AY53" s="879"/>
      <c r="AZ53" s="879"/>
      <c r="BA53" s="879"/>
      <c r="BB53" s="879"/>
      <c r="BC53" s="879"/>
      <c r="BD53" s="880"/>
      <c r="BE53" s="937">
        <f>SUM(BF53:BQ53)</f>
        <v>0</v>
      </c>
      <c r="BF53" s="954"/>
      <c r="BG53" s="878"/>
      <c r="BH53" s="878"/>
      <c r="BI53" s="878"/>
      <c r="BJ53" s="878"/>
      <c r="BK53" s="878"/>
      <c r="BL53" s="879"/>
      <c r="BM53" s="879"/>
      <c r="BN53" s="1724"/>
      <c r="BO53" s="879"/>
      <c r="BP53" s="879"/>
      <c r="BQ53" s="1739"/>
      <c r="BR53" s="937"/>
      <c r="BS53" s="2797"/>
      <c r="BT53" s="2234"/>
      <c r="BU53" s="2234"/>
      <c r="BV53" s="2234"/>
      <c r="BW53" s="2234"/>
      <c r="BX53" s="2234"/>
      <c r="BY53" s="2798"/>
      <c r="BZ53" s="2798"/>
      <c r="CA53" s="2798"/>
      <c r="CB53" s="2798"/>
      <c r="CC53" s="2798"/>
      <c r="CD53" s="2803">
        <v>-1079.8780191050901</v>
      </c>
      <c r="CE53" s="937">
        <f>SUM(CF53:CQ53)</f>
        <v>-23861.756951451527</v>
      </c>
      <c r="CF53" s="3161">
        <f>CF41-CD41</f>
        <v>-2595.7011468074634</v>
      </c>
      <c r="CG53" s="2798">
        <f>CG41-CF41</f>
        <v>-2465.9160894670931</v>
      </c>
      <c r="CH53" s="2798">
        <f t="shared" ref="CH53:CQ53" si="121">CH41-CG41</f>
        <v>-2342.6202849937399</v>
      </c>
      <c r="CI53" s="2798">
        <f t="shared" si="121"/>
        <v>-2225.4892707440522</v>
      </c>
      <c r="CJ53" s="2798">
        <f t="shared" si="121"/>
        <v>-2114.2148072068449</v>
      </c>
      <c r="CK53" s="2798">
        <f t="shared" si="121"/>
        <v>-2008.5040668465081</v>
      </c>
      <c r="CL53" s="2798">
        <f t="shared" si="121"/>
        <v>-1908.0788635041827</v>
      </c>
      <c r="CM53" s="2798">
        <f t="shared" si="121"/>
        <v>-1812.6749203289728</v>
      </c>
      <c r="CN53" s="2798">
        <f t="shared" si="121"/>
        <v>-1722.0411743125223</v>
      </c>
      <c r="CO53" s="2798">
        <f t="shared" si="121"/>
        <v>-1635.9391155968951</v>
      </c>
      <c r="CP53" s="2798">
        <f t="shared" si="121"/>
        <v>-1554.1421598170527</v>
      </c>
      <c r="CQ53" s="3162">
        <f t="shared" si="121"/>
        <v>-1476.4350518261999</v>
      </c>
    </row>
    <row r="54" spans="2:95" ht="17.5" customHeight="1">
      <c r="B54" s="3313"/>
      <c r="C54" s="3314"/>
      <c r="D54" s="201" t="s">
        <v>16</v>
      </c>
      <c r="E54" s="398">
        <f t="shared" ref="E54" si="122">SUM(F54:Q54)</f>
        <v>36419.823950865291</v>
      </c>
      <c r="F54" s="353">
        <v>16147</v>
      </c>
      <c r="G54" s="354">
        <v>17408</v>
      </c>
      <c r="H54" s="354">
        <v>1058</v>
      </c>
      <c r="I54" s="354">
        <v>10404</v>
      </c>
      <c r="J54" s="354">
        <v>283</v>
      </c>
      <c r="K54" s="354">
        <v>10058</v>
      </c>
      <c r="L54" s="519">
        <v>20294</v>
      </c>
      <c r="M54" s="519">
        <v>14307</v>
      </c>
      <c r="N54" s="519">
        <v>-13172.299878528725</v>
      </c>
      <c r="O54" s="519">
        <v>-13985.893016353744</v>
      </c>
      <c r="P54" s="519">
        <v>-13783.825612667579</v>
      </c>
      <c r="Q54" s="520">
        <v>-12597.157541584666</v>
      </c>
      <c r="R54" s="398">
        <f t="shared" ref="R54" si="123">SUM(S54:AD54)</f>
        <v>0</v>
      </c>
      <c r="S54" s="624"/>
      <c r="T54" s="271"/>
      <c r="U54" s="271"/>
      <c r="V54" s="271"/>
      <c r="W54" s="271"/>
      <c r="X54" s="271"/>
      <c r="Y54" s="4"/>
      <c r="Z54" s="4"/>
      <c r="AA54" s="4"/>
      <c r="AB54" s="4"/>
      <c r="AC54" s="4"/>
      <c r="AD54" s="5"/>
      <c r="AE54" s="398">
        <f t="shared" ref="AE54" si="124">SUM(AF54:AQ54)</f>
        <v>0</v>
      </c>
      <c r="AF54" s="1208"/>
      <c r="AG54" s="1209"/>
      <c r="AH54" s="1209"/>
      <c r="AI54" s="1209"/>
      <c r="AJ54" s="1209"/>
      <c r="AK54" s="1209"/>
      <c r="AL54" s="1050"/>
      <c r="AM54" s="1050"/>
      <c r="AN54" s="1050"/>
      <c r="AO54" s="1050"/>
      <c r="AP54" s="1050"/>
      <c r="AQ54" s="1109"/>
      <c r="AR54" s="398">
        <f t="shared" ref="AR54" si="125">SUM(AS54:BD54)</f>
        <v>0</v>
      </c>
      <c r="AS54" s="878"/>
      <c r="AT54" s="878"/>
      <c r="AU54" s="878"/>
      <c r="AV54" s="878"/>
      <c r="AW54" s="878"/>
      <c r="AX54" s="878"/>
      <c r="AY54" s="879"/>
      <c r="AZ54" s="879"/>
      <c r="BA54" s="879"/>
      <c r="BB54" s="879"/>
      <c r="BC54" s="879"/>
      <c r="BD54" s="881"/>
      <c r="BE54" s="937">
        <f t="shared" ref="BE54" si="126">SUM(BF54:BQ54)</f>
        <v>0</v>
      </c>
      <c r="BF54" s="954"/>
      <c r="BG54" s="878"/>
      <c r="BH54" s="878"/>
      <c r="BI54" s="878"/>
      <c r="BJ54" s="878"/>
      <c r="BK54" s="878"/>
      <c r="BL54" s="879"/>
      <c r="BM54" s="879"/>
      <c r="BN54" s="879"/>
      <c r="BO54" s="879"/>
      <c r="BP54" s="879"/>
      <c r="BQ54" s="879"/>
      <c r="BR54" s="937"/>
      <c r="BS54" s="2797"/>
      <c r="BT54" s="2234"/>
      <c r="BU54" s="2234"/>
      <c r="BV54" s="2234"/>
      <c r="BW54" s="2234"/>
      <c r="BX54" s="2234"/>
      <c r="BY54" s="1724"/>
      <c r="BZ54" s="1724"/>
      <c r="CA54" s="1724"/>
      <c r="CB54" s="1724"/>
      <c r="CC54" s="1724"/>
      <c r="CD54" s="2804">
        <v>-3772.0511620636626</v>
      </c>
      <c r="CE54" s="937">
        <f t="shared" ref="CE54" si="127">SUM(CF54:CQ54)</f>
        <v>11143.45544752939</v>
      </c>
      <c r="CF54" s="2495">
        <f t="shared" ref="CF54:CG54" si="128">CF10-(CF67+CF87)</f>
        <v>2043.291469231257</v>
      </c>
      <c r="CG54" s="1724">
        <f t="shared" si="128"/>
        <v>-1508.8558019423854</v>
      </c>
      <c r="CH54" s="1724">
        <f t="shared" ref="CH54:CQ54" si="129">CH10-(CH67+CH87)</f>
        <v>5813.7922320201651</v>
      </c>
      <c r="CI54" s="1724">
        <f t="shared" si="129"/>
        <v>-197.25654695126832</v>
      </c>
      <c r="CJ54" s="1724">
        <f t="shared" si="129"/>
        <v>141.86260675357516</v>
      </c>
      <c r="CK54" s="1724">
        <f t="shared" si="129"/>
        <v>-1426.9406388221341</v>
      </c>
      <c r="CL54" s="1724">
        <f t="shared" si="129"/>
        <v>6243.0473696498193</v>
      </c>
      <c r="CM54" s="1724">
        <f t="shared" si="129"/>
        <v>-15.881880544187879</v>
      </c>
      <c r="CN54" s="1724">
        <f t="shared" si="129"/>
        <v>4783.0931578972013</v>
      </c>
      <c r="CO54" s="1724">
        <f t="shared" si="129"/>
        <v>-1068.6721077352213</v>
      </c>
      <c r="CP54" s="1724">
        <f t="shared" si="129"/>
        <v>-1376.2441378695712</v>
      </c>
      <c r="CQ54" s="2470">
        <f t="shared" si="129"/>
        <v>-2287.7802741578598</v>
      </c>
    </row>
    <row r="55" spans="2:95" ht="17.5" customHeight="1">
      <c r="B55" s="3313"/>
      <c r="C55" s="3314"/>
      <c r="D55" s="201" t="s">
        <v>575</v>
      </c>
      <c r="E55" s="398"/>
      <c r="F55" s="353"/>
      <c r="G55" s="354"/>
      <c r="H55" s="354"/>
      <c r="I55" s="354"/>
      <c r="J55" s="354"/>
      <c r="K55" s="354"/>
      <c r="L55" s="519"/>
      <c r="M55" s="519"/>
      <c r="N55" s="519"/>
      <c r="O55" s="519"/>
      <c r="P55" s="519"/>
      <c r="Q55" s="520"/>
      <c r="R55" s="398"/>
      <c r="S55" s="624"/>
      <c r="T55" s="271"/>
      <c r="U55" s="271"/>
      <c r="V55" s="271"/>
      <c r="W55" s="271"/>
      <c r="X55" s="271"/>
      <c r="Y55" s="4"/>
      <c r="Z55" s="4"/>
      <c r="AA55" s="4"/>
      <c r="AB55" s="4"/>
      <c r="AC55" s="4"/>
      <c r="AD55" s="5"/>
      <c r="AE55" s="398"/>
      <c r="AF55" s="1208"/>
      <c r="AG55" s="1209"/>
      <c r="AH55" s="1209"/>
      <c r="AI55" s="1209"/>
      <c r="AJ55" s="1209"/>
      <c r="AK55" s="1209"/>
      <c r="AL55" s="1050"/>
      <c r="AM55" s="1050"/>
      <c r="AN55" s="1050"/>
      <c r="AO55" s="1050"/>
      <c r="AP55" s="1050"/>
      <c r="AQ55" s="1109"/>
      <c r="AR55" s="398"/>
      <c r="AS55" s="878"/>
      <c r="AT55" s="878"/>
      <c r="AU55" s="878"/>
      <c r="AV55" s="878"/>
      <c r="AW55" s="878"/>
      <c r="AX55" s="878"/>
      <c r="AY55" s="879"/>
      <c r="AZ55" s="879"/>
      <c r="BA55" s="879"/>
      <c r="BB55" s="879"/>
      <c r="BC55" s="879"/>
      <c r="BD55" s="881"/>
      <c r="BE55" s="937"/>
      <c r="BF55" s="954"/>
      <c r="BG55" s="878"/>
      <c r="BH55" s="878"/>
      <c r="BI55" s="878"/>
      <c r="BJ55" s="878"/>
      <c r="BK55" s="878"/>
      <c r="BL55" s="879"/>
      <c r="BM55" s="879"/>
      <c r="BN55" s="879"/>
      <c r="BO55" s="879"/>
      <c r="BP55" s="879"/>
      <c r="BQ55" s="1668"/>
      <c r="BR55" s="937"/>
      <c r="BS55" s="2797"/>
      <c r="BT55" s="2234"/>
      <c r="BU55" s="2234"/>
      <c r="BV55" s="2234"/>
      <c r="BW55" s="2234"/>
      <c r="BX55" s="2234"/>
      <c r="BY55" s="1724"/>
      <c r="BZ55" s="1724"/>
      <c r="CA55" s="1724"/>
      <c r="CB55" s="1724"/>
      <c r="CC55" s="1724"/>
      <c r="CD55" s="2804">
        <v>-293.64629477708058</v>
      </c>
      <c r="CE55" s="937">
        <f>SUM(CF55:CQ55)</f>
        <v>-1776.3719652937843</v>
      </c>
      <c r="CF55" s="2495">
        <f t="shared" ref="CF55:CG55" si="130">CF11-(CF68+CF88)</f>
        <v>-130.7721981678979</v>
      </c>
      <c r="CG55" s="1724">
        <f t="shared" si="130"/>
        <v>-188.47189541099641</v>
      </c>
      <c r="CH55" s="1724">
        <f t="shared" ref="CH55:CQ55" si="131">CH11-(CH68+CH88)</f>
        <v>13.68887871436732</v>
      </c>
      <c r="CI55" s="1724">
        <f t="shared" si="131"/>
        <v>-189.49959917347579</v>
      </c>
      <c r="CJ55" s="1724">
        <f t="shared" si="131"/>
        <v>-166.99501423749564</v>
      </c>
      <c r="CK55" s="1724">
        <f t="shared" si="131"/>
        <v>-172.49225610062697</v>
      </c>
      <c r="CL55" s="1724">
        <f t="shared" si="131"/>
        <v>-13.764966285688615</v>
      </c>
      <c r="CM55" s="1724">
        <f t="shared" si="131"/>
        <v>-178.65593875606129</v>
      </c>
      <c r="CN55" s="1724">
        <f t="shared" si="131"/>
        <v>-142.6337111078748</v>
      </c>
      <c r="CO55" s="1724">
        <f t="shared" si="131"/>
        <v>-171.90426860552265</v>
      </c>
      <c r="CP55" s="1724">
        <f t="shared" si="131"/>
        <v>-205.58436530402497</v>
      </c>
      <c r="CQ55" s="2470">
        <f t="shared" si="131"/>
        <v>-229.2866308584866</v>
      </c>
    </row>
    <row r="56" spans="2:95" ht="17.5" hidden="1" customHeight="1">
      <c r="B56" s="3313"/>
      <c r="C56" s="3314"/>
      <c r="D56" s="201" t="s">
        <v>247</v>
      </c>
      <c r="E56" s="398">
        <f>SUM(F56:Q56)</f>
        <v>-13842.863409490976</v>
      </c>
      <c r="F56" s="353">
        <v>-866</v>
      </c>
      <c r="G56" s="354">
        <v>-1472</v>
      </c>
      <c r="H56" s="354">
        <v>-977</v>
      </c>
      <c r="I56" s="354">
        <v>-1082</v>
      </c>
      <c r="J56" s="354">
        <v>-1416</v>
      </c>
      <c r="K56" s="354">
        <v>-1424</v>
      </c>
      <c r="L56" s="4">
        <v>-1314</v>
      </c>
      <c r="M56" s="4">
        <v>-943</v>
      </c>
      <c r="N56" s="4">
        <v>-1077.8632050325195</v>
      </c>
      <c r="O56" s="4">
        <v>-1070.9176330420873</v>
      </c>
      <c r="P56" s="4">
        <v>-1086.074811676847</v>
      </c>
      <c r="Q56" s="5">
        <v>-1114.007759739523</v>
      </c>
      <c r="R56" s="398">
        <f>SUM(S56:AD56)</f>
        <v>0</v>
      </c>
      <c r="S56" s="624"/>
      <c r="T56" s="271"/>
      <c r="U56" s="271"/>
      <c r="V56" s="271"/>
      <c r="W56" s="271"/>
      <c r="X56" s="271"/>
      <c r="Y56" s="4"/>
      <c r="Z56" s="4"/>
      <c r="AA56" s="4"/>
      <c r="AB56" s="4"/>
      <c r="AC56" s="4"/>
      <c r="AD56" s="5"/>
      <c r="AE56" s="398">
        <f>SUM(AF56:AQ56)</f>
        <v>0</v>
      </c>
      <c r="AF56" s="1208"/>
      <c r="AG56" s="1209"/>
      <c r="AH56" s="1209"/>
      <c r="AI56" s="1209"/>
      <c r="AJ56" s="1209"/>
      <c r="AK56" s="1209"/>
      <c r="AL56" s="1050"/>
      <c r="AM56" s="1050"/>
      <c r="AN56" s="1050"/>
      <c r="AO56" s="1050"/>
      <c r="AP56" s="1050"/>
      <c r="AQ56" s="1109"/>
      <c r="AR56" s="398">
        <f>SUM(AS56:BD56)</f>
        <v>0</v>
      </c>
      <c r="AS56" s="878"/>
      <c r="AT56" s="878"/>
      <c r="AU56" s="878"/>
      <c r="AV56" s="878"/>
      <c r="AW56" s="878"/>
      <c r="AX56" s="878"/>
      <c r="AY56" s="879"/>
      <c r="AZ56" s="879"/>
      <c r="BA56" s="879"/>
      <c r="BB56" s="879"/>
      <c r="BC56" s="879"/>
      <c r="BD56" s="881"/>
      <c r="BE56" s="937">
        <f>SUM(BF56:BQ56)</f>
        <v>0</v>
      </c>
      <c r="BF56" s="954"/>
      <c r="BG56" s="878"/>
      <c r="BH56" s="878"/>
      <c r="BI56" s="878"/>
      <c r="BJ56" s="878"/>
      <c r="BK56" s="878"/>
      <c r="BL56" s="879"/>
      <c r="BM56" s="879"/>
      <c r="BN56" s="1724"/>
      <c r="BO56" s="879"/>
      <c r="BP56" s="879"/>
      <c r="BQ56" s="1668"/>
      <c r="BR56" s="937"/>
      <c r="BS56" s="2797"/>
      <c r="BT56" s="2234"/>
      <c r="BU56" s="2234"/>
      <c r="BV56" s="2234"/>
      <c r="BW56" s="2234"/>
      <c r="BX56" s="2234"/>
      <c r="BY56" s="1724"/>
      <c r="BZ56" s="879"/>
      <c r="CA56" s="879"/>
      <c r="CB56" s="879"/>
      <c r="CC56" s="879"/>
      <c r="CD56" s="2804"/>
      <c r="CE56" s="937">
        <f>SUM(CF56:CQ56)</f>
        <v>0</v>
      </c>
      <c r="CF56" s="2495"/>
      <c r="CG56" s="1724"/>
      <c r="CH56" s="1724"/>
      <c r="CI56" s="1724"/>
      <c r="CJ56" s="1724"/>
      <c r="CK56" s="1724"/>
      <c r="CL56" s="1724"/>
      <c r="CM56" s="879"/>
      <c r="CN56" s="879"/>
      <c r="CO56" s="879"/>
      <c r="CP56" s="879"/>
      <c r="CQ56" s="1668"/>
    </row>
    <row r="57" spans="2:95" ht="17.5" customHeight="1">
      <c r="B57" s="3313"/>
      <c r="C57" s="3314"/>
      <c r="D57" s="201" t="s">
        <v>681</v>
      </c>
      <c r="E57" s="398">
        <f t="shared" ref="E57:E59" si="132">SUM(F57:Q57)</f>
        <v>-20798.125026102396</v>
      </c>
      <c r="F57" s="353">
        <v>262</v>
      </c>
      <c r="G57" s="354">
        <v>3532</v>
      </c>
      <c r="H57" s="354">
        <v>-447</v>
      </c>
      <c r="I57" s="354">
        <v>-3344</v>
      </c>
      <c r="J57" s="354">
        <v>2497</v>
      </c>
      <c r="K57" s="354">
        <v>-803</v>
      </c>
      <c r="L57" s="519">
        <v>321</v>
      </c>
      <c r="M57" s="519">
        <v>1823</v>
      </c>
      <c r="N57" s="519">
        <v>-6027.5883619065426</v>
      </c>
      <c r="O57" s="519">
        <v>-6328.3391322540874</v>
      </c>
      <c r="P57" s="519">
        <v>-6161.7968659953804</v>
      </c>
      <c r="Q57" s="520">
        <v>-6121.4006659463848</v>
      </c>
      <c r="R57" s="398">
        <f t="shared" ref="R57:R59" si="133">SUM(S57:AD57)</f>
        <v>0</v>
      </c>
      <c r="S57" s="624"/>
      <c r="T57" s="271"/>
      <c r="U57" s="271"/>
      <c r="V57" s="271"/>
      <c r="W57" s="271"/>
      <c r="X57" s="271"/>
      <c r="Y57" s="4"/>
      <c r="Z57" s="4"/>
      <c r="AA57" s="4"/>
      <c r="AB57" s="4"/>
      <c r="AC57" s="4"/>
      <c r="AD57" s="5"/>
      <c r="AE57" s="398">
        <f t="shared" ref="AE57:AE59" si="134">SUM(AF57:AQ57)</f>
        <v>0</v>
      </c>
      <c r="AF57" s="1208"/>
      <c r="AG57" s="1209"/>
      <c r="AH57" s="1209"/>
      <c r="AI57" s="1209"/>
      <c r="AJ57" s="1209"/>
      <c r="AK57" s="1209"/>
      <c r="AL57" s="1050"/>
      <c r="AM57" s="1050"/>
      <c r="AN57" s="1050"/>
      <c r="AO57" s="1050"/>
      <c r="AP57" s="1050"/>
      <c r="AQ57" s="1109"/>
      <c r="AR57" s="398">
        <f t="shared" ref="AR57:AR59" si="135">SUM(AS57:BD57)</f>
        <v>0</v>
      </c>
      <c r="AS57" s="878"/>
      <c r="AT57" s="878"/>
      <c r="AU57" s="878"/>
      <c r="AV57" s="878"/>
      <c r="AW57" s="878"/>
      <c r="AX57" s="878"/>
      <c r="AY57" s="879"/>
      <c r="AZ57" s="879"/>
      <c r="BA57" s="879"/>
      <c r="BB57" s="879"/>
      <c r="BC57" s="879"/>
      <c r="BD57" s="881"/>
      <c r="BE57" s="937">
        <f t="shared" ref="BE57:BE59" si="136">SUM(BF57:BQ57)</f>
        <v>0</v>
      </c>
      <c r="BF57" s="954"/>
      <c r="BG57" s="878"/>
      <c r="BH57" s="878"/>
      <c r="BI57" s="878"/>
      <c r="BJ57" s="878"/>
      <c r="BK57" s="878"/>
      <c r="BL57" s="879"/>
      <c r="BM57" s="879"/>
      <c r="BN57" s="1724"/>
      <c r="BO57" s="1668"/>
      <c r="BP57" s="1668"/>
      <c r="BQ57" s="1668"/>
      <c r="BR57" s="937"/>
      <c r="BS57" s="2797"/>
      <c r="BT57" s="2234"/>
      <c r="BU57" s="2234"/>
      <c r="BV57" s="2234"/>
      <c r="BW57" s="2234"/>
      <c r="BX57" s="2234"/>
      <c r="BY57" s="1724"/>
      <c r="BZ57" s="879"/>
      <c r="CA57" s="879"/>
      <c r="CB57" s="879"/>
      <c r="CC57" s="879"/>
      <c r="CD57" s="2804">
        <v>-2221.6854133779125</v>
      </c>
      <c r="CE57" s="937">
        <f t="shared" ref="CE57:CE59" si="137">SUM(CF57:CQ57)</f>
        <v>-17285.734103558039</v>
      </c>
      <c r="CF57" s="2495">
        <f>CF45-CD45</f>
        <v>-1631.8730000000069</v>
      </c>
      <c r="CG57" s="1724">
        <f>CG45-CF45</f>
        <v>-1594.3399210000061</v>
      </c>
      <c r="CH57" s="1724">
        <f t="shared" ref="CH57:CQ57" si="138">CH45-CG45</f>
        <v>-1557.6701028170064</v>
      </c>
      <c r="CI57" s="1724">
        <f t="shared" si="138"/>
        <v>-1521.8436904522096</v>
      </c>
      <c r="CJ57" s="1724">
        <f t="shared" si="138"/>
        <v>-1486.8412855718125</v>
      </c>
      <c r="CK57" s="1724">
        <f t="shared" si="138"/>
        <v>-1452.6439360036529</v>
      </c>
      <c r="CL57" s="1724">
        <f t="shared" si="138"/>
        <v>-1419.2331254755773</v>
      </c>
      <c r="CM57" s="879">
        <f t="shared" si="138"/>
        <v>-1386.5907635896292</v>
      </c>
      <c r="CN57" s="879">
        <f t="shared" si="138"/>
        <v>-1354.6991760270685</v>
      </c>
      <c r="CO57" s="879">
        <f t="shared" si="138"/>
        <v>-1323.5410949784491</v>
      </c>
      <c r="CP57" s="879">
        <f t="shared" si="138"/>
        <v>-1293.0996497939414</v>
      </c>
      <c r="CQ57" s="1668">
        <f t="shared" si="138"/>
        <v>-1263.3583578486796</v>
      </c>
    </row>
    <row r="58" spans="2:95" ht="17.5" hidden="1" customHeight="1">
      <c r="B58" s="3313"/>
      <c r="C58" s="3314"/>
      <c r="D58" s="201" t="s">
        <v>333</v>
      </c>
      <c r="E58" s="399">
        <f t="shared" si="132"/>
        <v>-14249.96887197129</v>
      </c>
      <c r="F58" s="317">
        <v>-1468</v>
      </c>
      <c r="G58" s="342">
        <v>-27</v>
      </c>
      <c r="H58" s="342">
        <v>-1350</v>
      </c>
      <c r="I58" s="342">
        <v>-1185</v>
      </c>
      <c r="J58" s="342">
        <v>-1155</v>
      </c>
      <c r="K58" s="342">
        <v>-1246</v>
      </c>
      <c r="L58" s="7">
        <v>-1439</v>
      </c>
      <c r="M58" s="7">
        <v>-1176</v>
      </c>
      <c r="N58" s="7">
        <v>-1414.1664909042975</v>
      </c>
      <c r="O58" s="7">
        <v>-1389.4679238367858</v>
      </c>
      <c r="P58" s="7">
        <v>-1226.8643938626526</v>
      </c>
      <c r="Q58" s="8">
        <v>-1173.4700633675557</v>
      </c>
      <c r="R58" s="399">
        <f t="shared" si="133"/>
        <v>0</v>
      </c>
      <c r="S58" s="625"/>
      <c r="T58" s="626"/>
      <c r="U58" s="626"/>
      <c r="V58" s="626"/>
      <c r="W58" s="626"/>
      <c r="X58" s="626"/>
      <c r="Y58" s="7"/>
      <c r="Z58" s="7"/>
      <c r="AA58" s="7"/>
      <c r="AB58" s="7"/>
      <c r="AC58" s="7"/>
      <c r="AD58" s="8"/>
      <c r="AE58" s="399">
        <f t="shared" si="134"/>
        <v>0</v>
      </c>
      <c r="AF58" s="1211"/>
      <c r="AG58" s="1212"/>
      <c r="AH58" s="1212"/>
      <c r="AI58" s="1212"/>
      <c r="AJ58" s="1212"/>
      <c r="AK58" s="1212"/>
      <c r="AL58" s="1196"/>
      <c r="AM58" s="1196"/>
      <c r="AN58" s="1196"/>
      <c r="AO58" s="1196"/>
      <c r="AP58" s="1196"/>
      <c r="AQ58" s="1198"/>
      <c r="AR58" s="399">
        <f t="shared" si="135"/>
        <v>0</v>
      </c>
      <c r="AS58" s="882"/>
      <c r="AT58" s="882"/>
      <c r="AU58" s="882"/>
      <c r="AV58" s="882"/>
      <c r="AW58" s="882"/>
      <c r="AX58" s="882"/>
      <c r="AY58" s="883"/>
      <c r="AZ58" s="883"/>
      <c r="BA58" s="883"/>
      <c r="BB58" s="883"/>
      <c r="BC58" s="883"/>
      <c r="BD58" s="884"/>
      <c r="BE58" s="940">
        <f t="shared" si="136"/>
        <v>0</v>
      </c>
      <c r="BF58" s="955"/>
      <c r="BG58" s="882"/>
      <c r="BH58" s="882"/>
      <c r="BI58" s="882"/>
      <c r="BJ58" s="882"/>
      <c r="BK58" s="882"/>
      <c r="BL58" s="883"/>
      <c r="BM58" s="883"/>
      <c r="BN58" s="1725"/>
      <c r="BO58" s="883"/>
      <c r="BP58" s="883"/>
      <c r="BQ58" s="1740"/>
      <c r="BR58" s="940"/>
      <c r="BS58" s="955"/>
      <c r="BT58" s="882"/>
      <c r="BU58" s="882"/>
      <c r="BV58" s="882"/>
      <c r="BW58" s="882"/>
      <c r="BX58" s="882"/>
      <c r="BY58" s="883"/>
      <c r="BZ58" s="883"/>
      <c r="CA58" s="1725"/>
      <c r="CB58" s="883"/>
      <c r="CC58" s="883"/>
      <c r="CD58" s="2805"/>
      <c r="CE58" s="940">
        <f t="shared" si="137"/>
        <v>0</v>
      </c>
      <c r="CF58" s="959"/>
      <c r="CG58" s="883"/>
      <c r="CH58" s="883"/>
      <c r="CI58" s="883"/>
      <c r="CJ58" s="883"/>
      <c r="CK58" s="883"/>
      <c r="CL58" s="883"/>
      <c r="CM58" s="883"/>
      <c r="CN58" s="1725"/>
      <c r="CO58" s="883"/>
      <c r="CP58" s="883"/>
      <c r="CQ58" s="1740"/>
    </row>
    <row r="59" spans="2:95" ht="17.5" customHeight="1">
      <c r="B59" s="3313"/>
      <c r="C59" s="3314"/>
      <c r="D59" s="201" t="s">
        <v>351</v>
      </c>
      <c r="E59" s="398">
        <f t="shared" si="132"/>
        <v>-8632.1988425064046</v>
      </c>
      <c r="F59" s="353">
        <v>4751</v>
      </c>
      <c r="G59" s="354">
        <v>6143</v>
      </c>
      <c r="H59" s="354">
        <v>276</v>
      </c>
      <c r="I59" s="354">
        <v>-3320</v>
      </c>
      <c r="J59" s="354">
        <v>-1798</v>
      </c>
      <c r="K59" s="354">
        <v>-1045</v>
      </c>
      <c r="L59" s="4">
        <v>2165</v>
      </c>
      <c r="M59" s="4">
        <v>7695</v>
      </c>
      <c r="N59" s="4">
        <v>-2983.104224528578</v>
      </c>
      <c r="O59" s="4">
        <v>-8575.2425011861578</v>
      </c>
      <c r="P59" s="4">
        <v>-8147.8939545797384</v>
      </c>
      <c r="Q59" s="5">
        <v>-3792.9581622119285</v>
      </c>
      <c r="R59" s="398">
        <f t="shared" si="133"/>
        <v>0</v>
      </c>
      <c r="S59" s="624"/>
      <c r="T59" s="271"/>
      <c r="U59" s="271"/>
      <c r="V59" s="271"/>
      <c r="W59" s="271"/>
      <c r="X59" s="271"/>
      <c r="Y59" s="4"/>
      <c r="Z59" s="4"/>
      <c r="AA59" s="4"/>
      <c r="AB59" s="4"/>
      <c r="AC59" s="4"/>
      <c r="AD59" s="5"/>
      <c r="AE59" s="398">
        <f t="shared" si="134"/>
        <v>0</v>
      </c>
      <c r="AF59" s="1208"/>
      <c r="AG59" s="1209"/>
      <c r="AH59" s="1209"/>
      <c r="AI59" s="1209"/>
      <c r="AJ59" s="1209"/>
      <c r="AK59" s="1209"/>
      <c r="AL59" s="1050"/>
      <c r="AM59" s="1050"/>
      <c r="AN59" s="1050"/>
      <c r="AO59" s="1050"/>
      <c r="AP59" s="1050"/>
      <c r="AQ59" s="1109"/>
      <c r="AR59" s="398">
        <f t="shared" si="135"/>
        <v>0</v>
      </c>
      <c r="AS59" s="878"/>
      <c r="AT59" s="878"/>
      <c r="AU59" s="878"/>
      <c r="AV59" s="878"/>
      <c r="AW59" s="878"/>
      <c r="AX59" s="878"/>
      <c r="AY59" s="879"/>
      <c r="AZ59" s="879"/>
      <c r="BA59" s="879"/>
      <c r="BB59" s="879"/>
      <c r="BC59" s="879"/>
      <c r="BD59" s="881"/>
      <c r="BE59" s="937">
        <f t="shared" si="136"/>
        <v>0</v>
      </c>
      <c r="BF59" s="954"/>
      <c r="BG59" s="878"/>
      <c r="BH59" s="878"/>
      <c r="BI59" s="878"/>
      <c r="BJ59" s="878"/>
      <c r="BK59" s="878"/>
      <c r="BL59" s="879"/>
      <c r="BM59" s="879"/>
      <c r="BN59" s="1724"/>
      <c r="BO59" s="879"/>
      <c r="BP59" s="879"/>
      <c r="BQ59" s="1668"/>
      <c r="BR59" s="937"/>
      <c r="BS59" s="2797"/>
      <c r="BT59" s="2234"/>
      <c r="BU59" s="2234"/>
      <c r="BV59" s="2234"/>
      <c r="BW59" s="2234"/>
      <c r="BX59" s="2234"/>
      <c r="BY59" s="1724"/>
      <c r="BZ59" s="879"/>
      <c r="CA59" s="879"/>
      <c r="CB59" s="879"/>
      <c r="CC59" s="879"/>
      <c r="CD59" s="2804">
        <v>-472.47280275494256</v>
      </c>
      <c r="CE59" s="937">
        <f t="shared" si="137"/>
        <v>4105.0456527077658</v>
      </c>
      <c r="CF59" s="2495">
        <f t="shared" ref="CF59:CG59" si="139">CF16-(CF72+CF92)</f>
        <v>350.59905476182632</v>
      </c>
      <c r="CG59" s="1724">
        <f t="shared" si="139"/>
        <v>327.45271245640504</v>
      </c>
      <c r="CH59" s="1724">
        <f t="shared" ref="CH59:CQ59" si="140">CH16-(CH72+CH92)</f>
        <v>75.845831062299567</v>
      </c>
      <c r="CI59" s="1724">
        <f t="shared" si="140"/>
        <v>77.639545647928458</v>
      </c>
      <c r="CJ59" s="1724">
        <f t="shared" si="140"/>
        <v>76.493144518298664</v>
      </c>
      <c r="CK59" s="1724">
        <f t="shared" si="140"/>
        <v>75.397177535774176</v>
      </c>
      <c r="CL59" s="1724">
        <f t="shared" si="140"/>
        <v>321.44152208180446</v>
      </c>
      <c r="CM59" s="879">
        <f t="shared" si="140"/>
        <v>66.826110049339036</v>
      </c>
      <c r="CN59" s="879">
        <f t="shared" si="140"/>
        <v>1087.434458691997</v>
      </c>
      <c r="CO59" s="879">
        <f t="shared" si="140"/>
        <v>1603.6046630315723</v>
      </c>
      <c r="CP59" s="879">
        <f t="shared" si="140"/>
        <v>12.092188067709344</v>
      </c>
      <c r="CQ59" s="1668">
        <f t="shared" si="140"/>
        <v>30.219244802812</v>
      </c>
    </row>
    <row r="60" spans="2:95" ht="17.5" customHeight="1">
      <c r="B60" s="3313"/>
      <c r="C60" s="3314"/>
      <c r="D60" s="203" t="s">
        <v>241</v>
      </c>
      <c r="E60" s="399">
        <f>SUM(F60:Q60)</f>
        <v>-41747.642813223247</v>
      </c>
      <c r="F60" s="317">
        <v>-3042</v>
      </c>
      <c r="G60" s="342">
        <v>-301</v>
      </c>
      <c r="H60" s="342">
        <v>-3275</v>
      </c>
      <c r="I60" s="342">
        <v>-3476</v>
      </c>
      <c r="J60" s="342">
        <v>-3233</v>
      </c>
      <c r="K60" s="342">
        <v>-2651</v>
      </c>
      <c r="L60" s="7">
        <v>-3611</v>
      </c>
      <c r="M60" s="7">
        <v>-1414</v>
      </c>
      <c r="N60" s="7">
        <v>-5446.9044896639371</v>
      </c>
      <c r="O60" s="7">
        <v>-5046.9446376127626</v>
      </c>
      <c r="P60" s="7">
        <v>-5183.2967173705565</v>
      </c>
      <c r="Q60" s="8">
        <v>-5067.4969685759879</v>
      </c>
      <c r="R60" s="399">
        <f>SUM(S60:AD60)</f>
        <v>0</v>
      </c>
      <c r="S60" s="625"/>
      <c r="T60" s="626"/>
      <c r="U60" s="626"/>
      <c r="V60" s="626"/>
      <c r="W60" s="626"/>
      <c r="X60" s="626"/>
      <c r="Y60" s="7"/>
      <c r="Z60" s="7"/>
      <c r="AA60" s="7"/>
      <c r="AB60" s="7"/>
      <c r="AC60" s="7"/>
      <c r="AD60" s="8"/>
      <c r="AE60" s="399">
        <f>SUM(AF60:AQ60)</f>
        <v>0</v>
      </c>
      <c r="AF60" s="1211"/>
      <c r="AG60" s="1212"/>
      <c r="AH60" s="1212"/>
      <c r="AI60" s="1212"/>
      <c r="AJ60" s="1212"/>
      <c r="AK60" s="1212"/>
      <c r="AL60" s="1196"/>
      <c r="AM60" s="1196"/>
      <c r="AN60" s="1196"/>
      <c r="AO60" s="1196"/>
      <c r="AP60" s="1196"/>
      <c r="AQ60" s="1198"/>
      <c r="AR60" s="399">
        <f>SUM(AS60:BD60)</f>
        <v>0</v>
      </c>
      <c r="AS60" s="882"/>
      <c r="AT60" s="882"/>
      <c r="AU60" s="882"/>
      <c r="AV60" s="882"/>
      <c r="AW60" s="882"/>
      <c r="AX60" s="882"/>
      <c r="AY60" s="883"/>
      <c r="AZ60" s="883"/>
      <c r="BA60" s="883"/>
      <c r="BB60" s="883"/>
      <c r="BC60" s="883"/>
      <c r="BD60" s="884"/>
      <c r="BE60" s="940">
        <f>SUM(BF60:BQ60)</f>
        <v>0</v>
      </c>
      <c r="BF60" s="955"/>
      <c r="BG60" s="882"/>
      <c r="BH60" s="882"/>
      <c r="BI60" s="882"/>
      <c r="BJ60" s="882"/>
      <c r="BK60" s="882"/>
      <c r="BL60" s="883"/>
      <c r="BM60" s="883"/>
      <c r="BN60" s="1725"/>
      <c r="BO60" s="883"/>
      <c r="BP60" s="883"/>
      <c r="BQ60" s="1740"/>
      <c r="BR60" s="940"/>
      <c r="BS60" s="2799"/>
      <c r="BT60" s="2235"/>
      <c r="BU60" s="2235"/>
      <c r="BV60" s="2235"/>
      <c r="BW60" s="2235"/>
      <c r="BX60" s="2235"/>
      <c r="BY60" s="1725"/>
      <c r="BZ60" s="883"/>
      <c r="CA60" s="883"/>
      <c r="CB60" s="883"/>
      <c r="CC60" s="883"/>
      <c r="CD60" s="2805">
        <v>55.626272927114542</v>
      </c>
      <c r="CE60" s="940">
        <f>SUM(CF60:CQ60)</f>
        <v>6492.2284416851699</v>
      </c>
      <c r="CF60" s="2496">
        <f>CF17-(CF73+CF93)</f>
        <v>601.57262413426497</v>
      </c>
      <c r="CG60" s="1725">
        <f t="shared" ref="CG60" si="141">CG17-(CG73+CG93)</f>
        <v>572.03495702077748</v>
      </c>
      <c r="CH60" s="1725">
        <f t="shared" ref="CH60:CQ60" si="142">CH17-(CH73+CH93)</f>
        <v>564.62263060568876</v>
      </c>
      <c r="CI60" s="1725">
        <f t="shared" si="142"/>
        <v>557.07805451987019</v>
      </c>
      <c r="CJ60" s="1725">
        <f t="shared" si="142"/>
        <v>549.6367188327531</v>
      </c>
      <c r="CK60" s="1725">
        <f t="shared" si="142"/>
        <v>542.29475715322565</v>
      </c>
      <c r="CL60" s="1725">
        <f t="shared" si="142"/>
        <v>535.05086852929207</v>
      </c>
      <c r="CM60" s="883">
        <f t="shared" si="142"/>
        <v>527.90374263469812</v>
      </c>
      <c r="CN60" s="883">
        <f t="shared" si="142"/>
        <v>520.852086931023</v>
      </c>
      <c r="CO60" s="883">
        <f t="shared" si="142"/>
        <v>513.89462614234276</v>
      </c>
      <c r="CP60" s="883">
        <f t="shared" si="142"/>
        <v>507.03010202770224</v>
      </c>
      <c r="CQ60" s="1740">
        <f t="shared" si="142"/>
        <v>500.2572731535322</v>
      </c>
    </row>
    <row r="61" spans="2:95" ht="17.5" hidden="1" customHeight="1">
      <c r="B61" s="3313"/>
      <c r="C61" s="3314"/>
      <c r="D61" s="427" t="s">
        <v>354</v>
      </c>
      <c r="E61" s="428"/>
      <c r="F61" s="490">
        <v>3838</v>
      </c>
      <c r="G61" s="491">
        <v>6223</v>
      </c>
      <c r="H61" s="491">
        <v>579</v>
      </c>
      <c r="I61" s="491">
        <v>-2948</v>
      </c>
      <c r="J61" s="491">
        <v>-1484</v>
      </c>
      <c r="K61" s="491">
        <v>-1188</v>
      </c>
      <c r="L61" s="518">
        <v>586</v>
      </c>
      <c r="M61" s="518">
        <v>4233</v>
      </c>
      <c r="N61" s="518"/>
      <c r="O61" s="518"/>
      <c r="P61" s="518"/>
      <c r="Q61" s="517"/>
      <c r="R61" s="428"/>
      <c r="S61" s="627"/>
      <c r="T61" s="628"/>
      <c r="U61" s="628"/>
      <c r="V61" s="628"/>
      <c r="W61" s="628"/>
      <c r="X61" s="628"/>
      <c r="Y61" s="518"/>
      <c r="Z61" s="518"/>
      <c r="AA61" s="518"/>
      <c r="AB61" s="518"/>
      <c r="AC61" s="518"/>
      <c r="AD61" s="517"/>
      <c r="AE61" s="428"/>
      <c r="AF61" s="1213"/>
      <c r="AG61" s="1214"/>
      <c r="AH61" s="1214"/>
      <c r="AI61" s="1214"/>
      <c r="AJ61" s="1214"/>
      <c r="AK61" s="1214"/>
      <c r="AL61" s="1215"/>
      <c r="AM61" s="1215"/>
      <c r="AN61" s="1215"/>
      <c r="AO61" s="1215"/>
      <c r="AP61" s="1215"/>
      <c r="AQ61" s="1216"/>
      <c r="AR61" s="428"/>
      <c r="AS61" s="885"/>
      <c r="AT61" s="885"/>
      <c r="AU61" s="885"/>
      <c r="AV61" s="885"/>
      <c r="AW61" s="885"/>
      <c r="AX61" s="885"/>
      <c r="AY61" s="886"/>
      <c r="AZ61" s="886"/>
      <c r="BA61" s="886"/>
      <c r="BB61" s="886"/>
      <c r="BC61" s="886"/>
      <c r="BD61" s="887"/>
      <c r="BE61" s="939"/>
      <c r="BF61" s="956"/>
      <c r="BG61" s="885"/>
      <c r="BH61" s="885"/>
      <c r="BI61" s="885"/>
      <c r="BJ61" s="885"/>
      <c r="BK61" s="885"/>
      <c r="BL61" s="886"/>
      <c r="BM61" s="886"/>
      <c r="BN61" s="1726"/>
      <c r="BO61" s="886"/>
      <c r="BP61" s="886"/>
      <c r="BQ61" s="1741"/>
      <c r="BR61" s="939"/>
      <c r="BS61" s="956"/>
      <c r="BT61" s="885"/>
      <c r="BU61" s="885"/>
      <c r="BV61" s="885"/>
      <c r="BW61" s="885"/>
      <c r="BX61" s="885"/>
      <c r="BY61" s="886"/>
      <c r="BZ61" s="886"/>
      <c r="CA61" s="1726"/>
      <c r="CB61" s="886"/>
      <c r="CC61" s="886"/>
      <c r="CD61" s="1741"/>
      <c r="CE61" s="939"/>
      <c r="CF61" s="956"/>
      <c r="CG61" s="885"/>
      <c r="CH61" s="885"/>
      <c r="CI61" s="885"/>
      <c r="CJ61" s="885"/>
      <c r="CK61" s="885"/>
      <c r="CL61" s="886"/>
      <c r="CM61" s="886"/>
      <c r="CN61" s="1726"/>
      <c r="CO61" s="886"/>
      <c r="CP61" s="886"/>
      <c r="CQ61" s="1741"/>
    </row>
    <row r="62" spans="2:95" ht="17.5" hidden="1" customHeight="1">
      <c r="B62" s="3313"/>
      <c r="C62" s="3314"/>
      <c r="D62" s="201" t="s">
        <v>196</v>
      </c>
      <c r="E62" s="398">
        <f>SUM(F62:Q62)</f>
        <v>0</v>
      </c>
      <c r="F62" s="314"/>
      <c r="G62" s="354"/>
      <c r="H62" s="354"/>
      <c r="I62" s="354"/>
      <c r="J62" s="354"/>
      <c r="K62" s="354"/>
      <c r="L62" s="4"/>
      <c r="M62" s="4"/>
      <c r="N62" s="4"/>
      <c r="O62" s="4"/>
      <c r="P62" s="4"/>
      <c r="Q62" s="5"/>
      <c r="R62" s="398">
        <f>SUM(S62:AD62)</f>
        <v>0</v>
      </c>
      <c r="S62" s="3"/>
      <c r="T62" s="271"/>
      <c r="U62" s="271"/>
      <c r="V62" s="271"/>
      <c r="W62" s="271"/>
      <c r="X62" s="271"/>
      <c r="Y62" s="4"/>
      <c r="Z62" s="4"/>
      <c r="AA62" s="4"/>
      <c r="AB62" s="4"/>
      <c r="AC62" s="4"/>
      <c r="AD62" s="5"/>
      <c r="AE62" s="398">
        <f>SUM(AF62:AQ62)</f>
        <v>0</v>
      </c>
      <c r="AF62" s="1217"/>
      <c r="AG62" s="1209"/>
      <c r="AH62" s="1209"/>
      <c r="AI62" s="1209"/>
      <c r="AJ62" s="1209"/>
      <c r="AK62" s="1209"/>
      <c r="AL62" s="1050"/>
      <c r="AM62" s="1050"/>
      <c r="AN62" s="1050"/>
      <c r="AO62" s="1050"/>
      <c r="AP62" s="1050"/>
      <c r="AQ62" s="1109"/>
      <c r="AR62" s="398">
        <f>SUM(AS62:BD62)</f>
        <v>0</v>
      </c>
      <c r="AS62" s="879"/>
      <c r="AT62" s="878"/>
      <c r="AU62" s="878"/>
      <c r="AV62" s="878"/>
      <c r="AW62" s="878"/>
      <c r="AX62" s="878"/>
      <c r="AY62" s="879"/>
      <c r="AZ62" s="879"/>
      <c r="BA62" s="879"/>
      <c r="BB62" s="879"/>
      <c r="BC62" s="879"/>
      <c r="BD62" s="881"/>
      <c r="BE62" s="937">
        <f>SUM(BF62:BQ62)</f>
        <v>0</v>
      </c>
      <c r="BF62" s="957"/>
      <c r="BG62" s="878"/>
      <c r="BH62" s="878"/>
      <c r="BI62" s="878"/>
      <c r="BJ62" s="878"/>
      <c r="BK62" s="878"/>
      <c r="BL62" s="879"/>
      <c r="BM62" s="879"/>
      <c r="BN62" s="1724"/>
      <c r="BO62" s="879"/>
      <c r="BP62" s="879"/>
      <c r="BQ62" s="1668"/>
      <c r="BR62" s="937"/>
      <c r="BS62" s="957"/>
      <c r="BT62" s="878"/>
      <c r="BU62" s="878"/>
      <c r="BV62" s="878"/>
      <c r="BW62" s="878"/>
      <c r="BX62" s="878"/>
      <c r="BY62" s="879"/>
      <c r="BZ62" s="879"/>
      <c r="CA62" s="1724"/>
      <c r="CB62" s="879"/>
      <c r="CC62" s="879"/>
      <c r="CD62" s="1668"/>
      <c r="CE62" s="937">
        <f>SUM(CF62:CQ62)</f>
        <v>0</v>
      </c>
      <c r="CF62" s="957"/>
      <c r="CG62" s="878"/>
      <c r="CH62" s="878"/>
      <c r="CI62" s="878"/>
      <c r="CJ62" s="878"/>
      <c r="CK62" s="878"/>
      <c r="CL62" s="879"/>
      <c r="CM62" s="879"/>
      <c r="CN62" s="1724"/>
      <c r="CO62" s="879"/>
      <c r="CP62" s="879"/>
      <c r="CQ62" s="1668"/>
    </row>
    <row r="63" spans="2:95" ht="17.5" hidden="1" customHeight="1">
      <c r="B63" s="3313"/>
      <c r="C63" s="3314"/>
      <c r="D63" s="201" t="s">
        <v>193</v>
      </c>
      <c r="E63" s="398">
        <f>SUM(F63:Q63)</f>
        <v>0</v>
      </c>
      <c r="F63" s="314"/>
      <c r="G63" s="354"/>
      <c r="H63" s="354"/>
      <c r="I63" s="354"/>
      <c r="J63" s="354"/>
      <c r="K63" s="354"/>
      <c r="L63" s="4"/>
      <c r="M63" s="4"/>
      <c r="N63" s="4"/>
      <c r="O63" s="4"/>
      <c r="P63" s="4"/>
      <c r="Q63" s="5"/>
      <c r="R63" s="398">
        <f>SUM(S63:AD63)</f>
        <v>0</v>
      </c>
      <c r="S63" s="3"/>
      <c r="T63" s="271"/>
      <c r="U63" s="271"/>
      <c r="V63" s="271"/>
      <c r="W63" s="271"/>
      <c r="X63" s="271"/>
      <c r="Y63" s="4"/>
      <c r="Z63" s="4"/>
      <c r="AA63" s="4"/>
      <c r="AB63" s="4"/>
      <c r="AC63" s="4"/>
      <c r="AD63" s="5"/>
      <c r="AE63" s="398">
        <f>SUM(AF63:AQ63)</f>
        <v>0</v>
      </c>
      <c r="AF63" s="1217"/>
      <c r="AG63" s="1209"/>
      <c r="AH63" s="1209"/>
      <c r="AI63" s="1209"/>
      <c r="AJ63" s="1209"/>
      <c r="AK63" s="1209"/>
      <c r="AL63" s="1050"/>
      <c r="AM63" s="1050"/>
      <c r="AN63" s="1050"/>
      <c r="AO63" s="1050"/>
      <c r="AP63" s="1050"/>
      <c r="AQ63" s="1109"/>
      <c r="AR63" s="398">
        <f>SUM(AS63:BD63)</f>
        <v>0</v>
      </c>
      <c r="AS63" s="879"/>
      <c r="AT63" s="878"/>
      <c r="AU63" s="878"/>
      <c r="AV63" s="878"/>
      <c r="AW63" s="878"/>
      <c r="AX63" s="878"/>
      <c r="AY63" s="879"/>
      <c r="AZ63" s="879"/>
      <c r="BA63" s="879"/>
      <c r="BB63" s="879"/>
      <c r="BC63" s="879"/>
      <c r="BD63" s="881"/>
      <c r="BE63" s="937">
        <f>SUM(BF63:BQ63)</f>
        <v>0</v>
      </c>
      <c r="BF63" s="957"/>
      <c r="BG63" s="878"/>
      <c r="BH63" s="878"/>
      <c r="BI63" s="878"/>
      <c r="BJ63" s="878"/>
      <c r="BK63" s="878"/>
      <c r="BL63" s="879"/>
      <c r="BM63" s="879"/>
      <c r="BN63" s="1724"/>
      <c r="BO63" s="879"/>
      <c r="BP63" s="879"/>
      <c r="BQ63" s="1668"/>
      <c r="BR63" s="937"/>
      <c r="BS63" s="957"/>
      <c r="BT63" s="878"/>
      <c r="BU63" s="878"/>
      <c r="BV63" s="878"/>
      <c r="BW63" s="878"/>
      <c r="BX63" s="878"/>
      <c r="BY63" s="879"/>
      <c r="BZ63" s="879"/>
      <c r="CA63" s="1724"/>
      <c r="CB63" s="879"/>
      <c r="CC63" s="879"/>
      <c r="CD63" s="1668"/>
      <c r="CE63" s="937">
        <f>SUM(CF63:CQ63)</f>
        <v>0</v>
      </c>
      <c r="CF63" s="957"/>
      <c r="CG63" s="878"/>
      <c r="CH63" s="878"/>
      <c r="CI63" s="878"/>
      <c r="CJ63" s="878"/>
      <c r="CK63" s="878"/>
      <c r="CL63" s="879"/>
      <c r="CM63" s="879"/>
      <c r="CN63" s="1724"/>
      <c r="CO63" s="879"/>
      <c r="CP63" s="879"/>
      <c r="CQ63" s="1668"/>
    </row>
    <row r="64" spans="2:95" ht="17.5" hidden="1" customHeight="1">
      <c r="B64" s="3315"/>
      <c r="C64" s="3316"/>
      <c r="D64" s="215" t="s">
        <v>194</v>
      </c>
      <c r="E64" s="400">
        <f>SUM(F64:Q64)</f>
        <v>0</v>
      </c>
      <c r="F64" s="320"/>
      <c r="G64" s="375"/>
      <c r="H64" s="375"/>
      <c r="I64" s="375"/>
      <c r="J64" s="375"/>
      <c r="K64" s="375"/>
      <c r="L64" s="217"/>
      <c r="M64" s="217"/>
      <c r="N64" s="217"/>
      <c r="O64" s="217"/>
      <c r="P64" s="217"/>
      <c r="Q64" s="218"/>
      <c r="R64" s="400">
        <f>SUM(S64:AD64)</f>
        <v>0</v>
      </c>
      <c r="S64" s="216"/>
      <c r="T64" s="629"/>
      <c r="U64" s="629"/>
      <c r="V64" s="629"/>
      <c r="W64" s="629"/>
      <c r="X64" s="629"/>
      <c r="Y64" s="217"/>
      <c r="Z64" s="217"/>
      <c r="AA64" s="217"/>
      <c r="AB64" s="217"/>
      <c r="AC64" s="217"/>
      <c r="AD64" s="218"/>
      <c r="AE64" s="400">
        <f>SUM(AF64:AQ64)</f>
        <v>0</v>
      </c>
      <c r="AF64" s="1218"/>
      <c r="AG64" s="1219"/>
      <c r="AH64" s="1219"/>
      <c r="AI64" s="1219"/>
      <c r="AJ64" s="1219"/>
      <c r="AK64" s="1219"/>
      <c r="AL64" s="1200"/>
      <c r="AM64" s="1200"/>
      <c r="AN64" s="1200"/>
      <c r="AO64" s="1200"/>
      <c r="AP64" s="1200"/>
      <c r="AQ64" s="1202"/>
      <c r="AR64" s="400">
        <f>SUM(AS64:BD64)</f>
        <v>0</v>
      </c>
      <c r="AS64" s="889"/>
      <c r="AT64" s="888"/>
      <c r="AU64" s="888"/>
      <c r="AV64" s="888"/>
      <c r="AW64" s="888"/>
      <c r="AX64" s="888"/>
      <c r="AY64" s="889"/>
      <c r="AZ64" s="889"/>
      <c r="BA64" s="889"/>
      <c r="BB64" s="889"/>
      <c r="BC64" s="889"/>
      <c r="BD64" s="890"/>
      <c r="BE64" s="941">
        <f>SUM(BF64:BQ64)</f>
        <v>0</v>
      </c>
      <c r="BF64" s="958"/>
      <c r="BG64" s="888"/>
      <c r="BH64" s="888"/>
      <c r="BI64" s="888"/>
      <c r="BJ64" s="888"/>
      <c r="BK64" s="888"/>
      <c r="BL64" s="889"/>
      <c r="BM64" s="889"/>
      <c r="BN64" s="1727"/>
      <c r="BO64" s="889"/>
      <c r="BP64" s="889"/>
      <c r="BQ64" s="1742"/>
      <c r="BR64" s="941"/>
      <c r="BS64" s="958"/>
      <c r="BT64" s="888"/>
      <c r="BU64" s="888"/>
      <c r="BV64" s="888"/>
      <c r="BW64" s="888"/>
      <c r="BX64" s="888"/>
      <c r="BY64" s="889"/>
      <c r="BZ64" s="889"/>
      <c r="CA64" s="1727"/>
      <c r="CB64" s="889"/>
      <c r="CC64" s="889"/>
      <c r="CD64" s="1742"/>
      <c r="CE64" s="941">
        <f>SUM(CF64:CQ64)</f>
        <v>0</v>
      </c>
      <c r="CF64" s="958"/>
      <c r="CG64" s="888"/>
      <c r="CH64" s="888"/>
      <c r="CI64" s="888"/>
      <c r="CJ64" s="888"/>
      <c r="CK64" s="888"/>
      <c r="CL64" s="889"/>
      <c r="CM64" s="889"/>
      <c r="CN64" s="1727"/>
      <c r="CO64" s="889"/>
      <c r="CP64" s="889"/>
      <c r="CQ64" s="1742"/>
    </row>
    <row r="65" spans="2:95" ht="17.5" customHeight="1">
      <c r="B65" s="3311" t="s">
        <v>19</v>
      </c>
      <c r="C65" s="3312"/>
      <c r="D65" s="210" t="s">
        <v>14</v>
      </c>
      <c r="E65" s="397">
        <f>SUM(F65:Q65)</f>
        <v>357470.71738812403</v>
      </c>
      <c r="F65" s="214">
        <v>28664</v>
      </c>
      <c r="G65" s="214">
        <v>28603</v>
      </c>
      <c r="H65" s="213">
        <v>32719</v>
      </c>
      <c r="I65" s="213">
        <v>30159</v>
      </c>
      <c r="J65" s="213">
        <v>30263</v>
      </c>
      <c r="K65" s="213">
        <v>30755</v>
      </c>
      <c r="L65" s="213">
        <v>29411</v>
      </c>
      <c r="M65" s="213">
        <v>30324</v>
      </c>
      <c r="N65" s="213">
        <v>30283.377487257974</v>
      </c>
      <c r="O65" s="213">
        <v>29550.030158875419</v>
      </c>
      <c r="P65" s="213">
        <v>28756.854561392662</v>
      </c>
      <c r="Q65" s="214">
        <v>27982.455180597972</v>
      </c>
      <c r="R65" s="397">
        <f>SUM(S65:AD65)</f>
        <v>0</v>
      </c>
      <c r="S65" s="214"/>
      <c r="T65" s="214"/>
      <c r="U65" s="213"/>
      <c r="V65" s="213"/>
      <c r="W65" s="213"/>
      <c r="X65" s="213"/>
      <c r="Y65" s="213"/>
      <c r="Z65" s="213"/>
      <c r="AA65" s="213"/>
      <c r="AB65" s="213"/>
      <c r="AC65" s="213"/>
      <c r="AD65" s="214"/>
      <c r="AE65" s="397">
        <f>SUM(AF65:AQ65)</f>
        <v>0</v>
      </c>
      <c r="AF65" s="1190"/>
      <c r="AG65" s="1191"/>
      <c r="AH65" s="1191"/>
      <c r="AI65" s="1191"/>
      <c r="AJ65" s="1191"/>
      <c r="AK65" s="1191"/>
      <c r="AL65" s="1191"/>
      <c r="AM65" s="1191"/>
      <c r="AN65" s="1191"/>
      <c r="AO65" s="1191"/>
      <c r="AP65" s="1191"/>
      <c r="AQ65" s="1192"/>
      <c r="AR65" s="397">
        <f>SUM(AS65:BD65)</f>
        <v>0</v>
      </c>
      <c r="AS65" s="415"/>
      <c r="AT65" s="415"/>
      <c r="AU65" s="415"/>
      <c r="AV65" s="415"/>
      <c r="AW65" s="415"/>
      <c r="AX65" s="415"/>
      <c r="AY65" s="415"/>
      <c r="AZ65" s="415"/>
      <c r="BA65" s="415"/>
      <c r="BB65" s="415"/>
      <c r="BC65" s="415"/>
      <c r="BD65" s="877"/>
      <c r="BE65" s="936">
        <f>SUM(BF65:BQ65)</f>
        <v>0</v>
      </c>
      <c r="BF65" s="397"/>
      <c r="BG65" s="415"/>
      <c r="BH65" s="415"/>
      <c r="BI65" s="415"/>
      <c r="BJ65" s="415"/>
      <c r="BK65" s="415"/>
      <c r="BL65" s="415"/>
      <c r="BM65" s="415"/>
      <c r="BN65" s="1723"/>
      <c r="BO65" s="415"/>
      <c r="BP65" s="415"/>
      <c r="BQ65" s="1738"/>
      <c r="BR65" s="936"/>
      <c r="BS65" s="397"/>
      <c r="BT65" s="415"/>
      <c r="BU65" s="415"/>
      <c r="BV65" s="415"/>
      <c r="BW65" s="415"/>
      <c r="BX65" s="415"/>
      <c r="BY65" s="415"/>
      <c r="BZ65" s="415"/>
      <c r="CA65" s="1723"/>
      <c r="CB65" s="415"/>
      <c r="CC65" s="415"/>
      <c r="CD65" s="1738"/>
      <c r="CE65" s="936"/>
      <c r="CF65" s="397"/>
      <c r="CG65" s="415"/>
      <c r="CH65" s="415"/>
      <c r="CI65" s="415"/>
      <c r="CJ65" s="415"/>
      <c r="CK65" s="415"/>
      <c r="CL65" s="415"/>
      <c r="CM65" s="415"/>
      <c r="CN65" s="1723"/>
      <c r="CO65" s="415"/>
      <c r="CP65" s="415"/>
      <c r="CQ65" s="1738"/>
    </row>
    <row r="66" spans="2:95" ht="17.5" customHeight="1">
      <c r="B66" s="3313"/>
      <c r="C66" s="3314"/>
      <c r="D66" s="201" t="s">
        <v>15</v>
      </c>
      <c r="E66" s="398">
        <f t="shared" ref="E66:E69" si="143">SUM(F66:Q66)</f>
        <v>120600.74237569499</v>
      </c>
      <c r="F66" s="455">
        <v>9770</v>
      </c>
      <c r="G66" s="455">
        <v>10077</v>
      </c>
      <c r="H66" s="341">
        <v>11277</v>
      </c>
      <c r="I66" s="341">
        <v>9306</v>
      </c>
      <c r="J66" s="341">
        <v>10894</v>
      </c>
      <c r="K66" s="341">
        <v>11113</v>
      </c>
      <c r="L66" s="4">
        <v>9515</v>
      </c>
      <c r="M66" s="4">
        <v>10029</v>
      </c>
      <c r="N66" s="4">
        <v>10000.450836693373</v>
      </c>
      <c r="O66" s="4">
        <v>9784.2253145897885</v>
      </c>
      <c r="P66" s="4">
        <v>9538.1022052399094</v>
      </c>
      <c r="Q66" s="5">
        <v>9296.9640191719209</v>
      </c>
      <c r="R66" s="398">
        <f t="shared" ref="R66:R69" si="144">SUM(S66:AD66)</f>
        <v>0</v>
      </c>
      <c r="S66" s="5"/>
      <c r="T66" s="5"/>
      <c r="U66" s="4"/>
      <c r="V66" s="4"/>
      <c r="W66" s="4"/>
      <c r="X66" s="4"/>
      <c r="Y66" s="4"/>
      <c r="Z66" s="4"/>
      <c r="AA66" s="4"/>
      <c r="AB66" s="4"/>
      <c r="AC66" s="4"/>
      <c r="AD66" s="5"/>
      <c r="AE66" s="398">
        <f t="shared" ref="AE66:AE69" si="145">SUM(AF66:AQ66)</f>
        <v>0</v>
      </c>
      <c r="AF66" s="1193"/>
      <c r="AG66" s="1050"/>
      <c r="AH66" s="1050"/>
      <c r="AI66" s="1050"/>
      <c r="AJ66" s="1050"/>
      <c r="AK66" s="1050"/>
      <c r="AL66" s="1050"/>
      <c r="AM66" s="1050"/>
      <c r="AN66" s="1050"/>
      <c r="AO66" s="1050"/>
      <c r="AP66" s="1050"/>
      <c r="AQ66" s="1109"/>
      <c r="AR66" s="398">
        <f t="shared" ref="AR66:AR69" si="146">SUM(AS66:BD66)</f>
        <v>0</v>
      </c>
      <c r="AS66" s="879"/>
      <c r="AT66" s="879"/>
      <c r="AU66" s="879"/>
      <c r="AV66" s="879"/>
      <c r="AW66" s="879"/>
      <c r="AX66" s="879"/>
      <c r="AY66" s="879"/>
      <c r="AZ66" s="879"/>
      <c r="BA66" s="879"/>
      <c r="BB66" s="879"/>
      <c r="BC66" s="879"/>
      <c r="BD66" s="881"/>
      <c r="BE66" s="937">
        <f t="shared" ref="BE66:BE69" si="147">SUM(BF66:BQ66)</f>
        <v>0</v>
      </c>
      <c r="BF66" s="957"/>
      <c r="BG66" s="879"/>
      <c r="BH66" s="879"/>
      <c r="BI66" s="879"/>
      <c r="BJ66" s="879"/>
      <c r="BK66" s="879"/>
      <c r="BL66" s="879"/>
      <c r="BM66" s="879"/>
      <c r="BN66" s="1724"/>
      <c r="BO66" s="879"/>
      <c r="BP66" s="879"/>
      <c r="BQ66" s="1668"/>
      <c r="BR66" s="937"/>
      <c r="BS66" s="2495"/>
      <c r="BT66" s="1724"/>
      <c r="BU66" s="1724"/>
      <c r="BV66" s="1724"/>
      <c r="BW66" s="1724"/>
      <c r="BX66" s="1724"/>
      <c r="BY66" s="1724"/>
      <c r="BZ66" s="1724"/>
      <c r="CA66" s="1724"/>
      <c r="CB66" s="1724"/>
      <c r="CC66" s="1724"/>
      <c r="CD66" s="2801">
        <v>1079.8780191050878</v>
      </c>
      <c r="CE66" s="937">
        <f t="shared" ref="CE66:CE69" si="148">SUM(CF66:CQ66)</f>
        <v>23861.756951451513</v>
      </c>
      <c r="CF66" s="2495">
        <f>CD41*CF76</f>
        <v>2595.7011468074652</v>
      </c>
      <c r="CG66" s="1724">
        <f>CF41*CG76</f>
        <v>2465.9160894670918</v>
      </c>
      <c r="CH66" s="1724">
        <f t="shared" ref="CH66:CQ66" si="149">CG41*CH76</f>
        <v>2342.6202849937372</v>
      </c>
      <c r="CI66" s="1724">
        <f t="shared" si="149"/>
        <v>2225.4892707440499</v>
      </c>
      <c r="CJ66" s="1724">
        <f t="shared" si="149"/>
        <v>2114.2148072068476</v>
      </c>
      <c r="CK66" s="1724">
        <f t="shared" si="149"/>
        <v>2008.5040668465053</v>
      </c>
      <c r="CL66" s="1724">
        <f t="shared" si="149"/>
        <v>1908.0788635041799</v>
      </c>
      <c r="CM66" s="1724">
        <f t="shared" si="149"/>
        <v>1812.6749203289708</v>
      </c>
      <c r="CN66" s="1724">
        <f t="shared" si="149"/>
        <v>1722.0411743125221</v>
      </c>
      <c r="CO66" s="1724">
        <f t="shared" si="149"/>
        <v>1635.939115596896</v>
      </c>
      <c r="CP66" s="1724">
        <f t="shared" si="149"/>
        <v>1554.1421598170512</v>
      </c>
      <c r="CQ66" s="2470">
        <f t="shared" si="149"/>
        <v>1476.4350518261986</v>
      </c>
    </row>
    <row r="67" spans="2:95" ht="17.5" customHeight="1">
      <c r="B67" s="3313"/>
      <c r="C67" s="3314"/>
      <c r="D67" s="201" t="s">
        <v>16</v>
      </c>
      <c r="E67" s="398">
        <f t="shared" si="143"/>
        <v>101558.17604913471</v>
      </c>
      <c r="F67" s="455">
        <v>8475</v>
      </c>
      <c r="G67" s="455">
        <v>8229</v>
      </c>
      <c r="H67" s="341">
        <v>9963</v>
      </c>
      <c r="I67" s="341">
        <v>8187</v>
      </c>
      <c r="J67" s="341">
        <v>8654</v>
      </c>
      <c r="K67" s="341">
        <v>8821</v>
      </c>
      <c r="L67" s="4">
        <v>7566</v>
      </c>
      <c r="M67" s="4">
        <v>8475</v>
      </c>
      <c r="N67" s="4">
        <v>8538.2998785287255</v>
      </c>
      <c r="O67" s="4">
        <v>8381.8930163537443</v>
      </c>
      <c r="P67" s="4">
        <v>8215.8256126675788</v>
      </c>
      <c r="Q67" s="5">
        <v>8052.1575415846655</v>
      </c>
      <c r="R67" s="398">
        <f t="shared" si="144"/>
        <v>0</v>
      </c>
      <c r="S67" s="5"/>
      <c r="T67" s="5"/>
      <c r="U67" s="4"/>
      <c r="V67" s="4"/>
      <c r="W67" s="4"/>
      <c r="X67" s="4"/>
      <c r="Y67" s="4"/>
      <c r="Z67" s="4"/>
      <c r="AA67" s="4"/>
      <c r="AB67" s="4"/>
      <c r="AC67" s="4"/>
      <c r="AD67" s="5"/>
      <c r="AE67" s="398">
        <f t="shared" si="145"/>
        <v>0</v>
      </c>
      <c r="AF67" s="1193"/>
      <c r="AG67" s="1050"/>
      <c r="AH67" s="1050"/>
      <c r="AI67" s="1050"/>
      <c r="AJ67" s="1050"/>
      <c r="AK67" s="1050"/>
      <c r="AL67" s="1050"/>
      <c r="AM67" s="1050"/>
      <c r="AN67" s="1050"/>
      <c r="AO67" s="1050"/>
      <c r="AP67" s="1050"/>
      <c r="AQ67" s="1109"/>
      <c r="AR67" s="398">
        <f t="shared" si="146"/>
        <v>0</v>
      </c>
      <c r="AS67" s="879"/>
      <c r="AT67" s="879"/>
      <c r="AU67" s="879"/>
      <c r="AV67" s="879"/>
      <c r="AW67" s="879"/>
      <c r="AX67" s="879"/>
      <c r="AY67" s="879"/>
      <c r="AZ67" s="879"/>
      <c r="BA67" s="879"/>
      <c r="BB67" s="879"/>
      <c r="BC67" s="879"/>
      <c r="BD67" s="881"/>
      <c r="BE67" s="937">
        <f t="shared" si="147"/>
        <v>0</v>
      </c>
      <c r="BF67" s="957"/>
      <c r="BG67" s="879"/>
      <c r="BH67" s="879"/>
      <c r="BI67" s="879"/>
      <c r="BJ67" s="879"/>
      <c r="BK67" s="879"/>
      <c r="BL67" s="879"/>
      <c r="BM67" s="879"/>
      <c r="BN67" s="1724"/>
      <c r="BO67" s="879"/>
      <c r="BP67" s="879"/>
      <c r="BQ67" s="1668"/>
      <c r="BR67" s="937"/>
      <c r="BS67" s="2495"/>
      <c r="BT67" s="1724"/>
      <c r="BU67" s="1724"/>
      <c r="BV67" s="1724"/>
      <c r="BW67" s="1724"/>
      <c r="BX67" s="1724"/>
      <c r="BY67" s="2800"/>
      <c r="BZ67" s="1724"/>
      <c r="CA67" s="1724"/>
      <c r="CB67" s="1724"/>
      <c r="CC67" s="1724"/>
      <c r="CD67" s="2801">
        <v>14423.877809453506</v>
      </c>
      <c r="CE67" s="937">
        <f t="shared" si="148"/>
        <v>169991.59079892139</v>
      </c>
      <c r="CF67" s="2495">
        <f>(CD42+(CD54+CF10))/2*CF77</f>
        <v>13954.924182661844</v>
      </c>
      <c r="CG67" s="2800">
        <f t="shared" ref="CG67" si="150">(CF42+(CF54+CG10))/2*CG77</f>
        <v>14036.203702622239</v>
      </c>
      <c r="CH67" s="2800">
        <f t="shared" ref="CH67:CH68" si="151">(CG42+(CG54+CH10))/2*CH77</f>
        <v>14078.753140263727</v>
      </c>
      <c r="CI67" s="2800">
        <f t="shared" ref="CI67:CI68" si="152">(CH42+(CH54+CI10))/2*CI77</f>
        <v>14213.364344489224</v>
      </c>
      <c r="CJ67" s="2800">
        <f t="shared" ref="CJ67:CJ68" si="153">(CI42+(CI54+CJ10))/2*CJ77</f>
        <v>14102.727398921052</v>
      </c>
      <c r="CK67" s="2800">
        <f t="shared" ref="CK67:CK68" si="154">(CJ42+(CJ54+CK10))/2*CK77</f>
        <v>14082.230864034002</v>
      </c>
      <c r="CL67" s="2800">
        <f t="shared" ref="CL67:CL68" si="155">(CK42+(CK54+CL10))/2*CL77</f>
        <v>14170.258985042947</v>
      </c>
      <c r="CM67" s="1724">
        <f t="shared" ref="CM67:CM68" si="156">(CL42+(CL54+CM10))/2*CM77</f>
        <v>14314.858427957275</v>
      </c>
      <c r="CN67" s="1724">
        <f t="shared" ref="CN67:CN68" si="157">(CM42+(CM54+CN10))/2*CN77</f>
        <v>14287.039996588039</v>
      </c>
      <c r="CO67" s="1724">
        <f t="shared" ref="CO67:CO68" si="158">(CN42+(CN54+CO10))/2*CO77</f>
        <v>14357.603795308003</v>
      </c>
      <c r="CP67" s="1724">
        <f t="shared" ref="CP67:CP68" si="159">(CO42+(CO54+CP10))/2*CP77</f>
        <v>14221.308806841404</v>
      </c>
      <c r="CQ67" s="2470">
        <f t="shared" ref="CQ67:CQ68" si="160">(CP42+(CP54+CQ10))/2*CQ77</f>
        <v>14172.317154191636</v>
      </c>
    </row>
    <row r="68" spans="2:95" ht="17.5" customHeight="1">
      <c r="B68" s="3313"/>
      <c r="C68" s="3314"/>
      <c r="D68" s="201" t="s">
        <v>575</v>
      </c>
      <c r="E68" s="398"/>
      <c r="F68" s="455"/>
      <c r="G68" s="455"/>
      <c r="H68" s="341"/>
      <c r="I68" s="341"/>
      <c r="J68" s="341"/>
      <c r="K68" s="341"/>
      <c r="L68" s="4"/>
      <c r="M68" s="4"/>
      <c r="N68" s="4"/>
      <c r="O68" s="4"/>
      <c r="P68" s="4"/>
      <c r="Q68" s="5"/>
      <c r="R68" s="398"/>
      <c r="S68" s="5"/>
      <c r="T68" s="5"/>
      <c r="U68" s="4"/>
      <c r="V68" s="4"/>
      <c r="W68" s="4"/>
      <c r="X68" s="4"/>
      <c r="Y68" s="4"/>
      <c r="Z68" s="4"/>
      <c r="AA68" s="4"/>
      <c r="AB68" s="4"/>
      <c r="AC68" s="4"/>
      <c r="AD68" s="5"/>
      <c r="AE68" s="398"/>
      <c r="AF68" s="1193"/>
      <c r="AG68" s="1050"/>
      <c r="AH68" s="1050"/>
      <c r="AI68" s="1050"/>
      <c r="AJ68" s="1050"/>
      <c r="AK68" s="1050"/>
      <c r="AL68" s="1050"/>
      <c r="AM68" s="1050"/>
      <c r="AN68" s="1050"/>
      <c r="AO68" s="1050"/>
      <c r="AP68" s="1050"/>
      <c r="AQ68" s="1109"/>
      <c r="AR68" s="398"/>
      <c r="AS68" s="879"/>
      <c r="AT68" s="879"/>
      <c r="AU68" s="879"/>
      <c r="AV68" s="879"/>
      <c r="AW68" s="879"/>
      <c r="AX68" s="879"/>
      <c r="AY68" s="879"/>
      <c r="AZ68" s="879"/>
      <c r="BA68" s="879"/>
      <c r="BB68" s="879"/>
      <c r="BC68" s="879"/>
      <c r="BD68" s="881"/>
      <c r="BE68" s="937"/>
      <c r="BF68" s="957"/>
      <c r="BG68" s="879"/>
      <c r="BH68" s="879"/>
      <c r="BI68" s="879"/>
      <c r="BJ68" s="879"/>
      <c r="BK68" s="879"/>
      <c r="BL68" s="879"/>
      <c r="BM68" s="879"/>
      <c r="BN68" s="1724"/>
      <c r="BO68" s="879"/>
      <c r="BP68" s="879"/>
      <c r="BQ68" s="1668"/>
      <c r="BR68" s="937"/>
      <c r="BS68" s="2495"/>
      <c r="BT68" s="1724"/>
      <c r="BU68" s="1724"/>
      <c r="BV68" s="1724"/>
      <c r="BW68" s="1724"/>
      <c r="BX68" s="1724"/>
      <c r="BY68" s="2800"/>
      <c r="BZ68" s="1724"/>
      <c r="CA68" s="1724"/>
      <c r="CB68" s="1724"/>
      <c r="CC68" s="1724"/>
      <c r="CD68" s="2801">
        <v>295.88394493110115</v>
      </c>
      <c r="CE68" s="937">
        <f t="shared" si="148"/>
        <v>3168.0476107697782</v>
      </c>
      <c r="CF68" s="2495">
        <f t="shared" ref="CF68" si="161">(CD43+(CD55+CF11))/2*CF78</f>
        <v>271.93859816789791</v>
      </c>
      <c r="CG68" s="2800">
        <f t="shared" ref="CG68" si="162">(CF43+(CF55+CG11))/2*CG78</f>
        <v>271.59662097191324</v>
      </c>
      <c r="CH68" s="2800">
        <f t="shared" si="151"/>
        <v>271.0099938008226</v>
      </c>
      <c r="CI68" s="2800">
        <f t="shared" si="152"/>
        <v>271.17726183482438</v>
      </c>
      <c r="CJ68" s="2800">
        <f t="shared" si="153"/>
        <v>266.294502784126</v>
      </c>
      <c r="CK68" s="2800">
        <f t="shared" si="154"/>
        <v>264.31282259804834</v>
      </c>
      <c r="CL68" s="2800">
        <f t="shared" si="155"/>
        <v>264.05275428593416</v>
      </c>
      <c r="CM68" s="1724">
        <f t="shared" si="156"/>
        <v>263.78976190396105</v>
      </c>
      <c r="CN68" s="1724">
        <f t="shared" si="157"/>
        <v>259.73269608563487</v>
      </c>
      <c r="CO68" s="1724">
        <f t="shared" si="158"/>
        <v>257.93770277304145</v>
      </c>
      <c r="CP68" s="1724">
        <f t="shared" si="159"/>
        <v>254.83803579046904</v>
      </c>
      <c r="CQ68" s="2470">
        <f t="shared" si="160"/>
        <v>251.3668597731054</v>
      </c>
    </row>
    <row r="69" spans="2:95" ht="17.5" hidden="1" customHeight="1">
      <c r="B69" s="3313"/>
      <c r="C69" s="3314"/>
      <c r="D69" s="201" t="s">
        <v>247</v>
      </c>
      <c r="E69" s="398">
        <f t="shared" si="143"/>
        <v>7621.8634094909776</v>
      </c>
      <c r="F69" s="455">
        <v>787</v>
      </c>
      <c r="G69" s="455">
        <v>772</v>
      </c>
      <c r="H69" s="341">
        <v>759</v>
      </c>
      <c r="I69" s="341">
        <v>658</v>
      </c>
      <c r="J69" s="341">
        <v>744</v>
      </c>
      <c r="K69" s="341">
        <v>650</v>
      </c>
      <c r="L69" s="4">
        <v>625</v>
      </c>
      <c r="M69" s="4">
        <v>555</v>
      </c>
      <c r="N69" s="4">
        <v>541.86320503251943</v>
      </c>
      <c r="O69" s="4">
        <v>525.91763304208746</v>
      </c>
      <c r="P69" s="4">
        <v>510.07481167684705</v>
      </c>
      <c r="Q69" s="5">
        <v>494.00775973952295</v>
      </c>
      <c r="R69" s="398">
        <f t="shared" si="144"/>
        <v>0</v>
      </c>
      <c r="S69" s="5"/>
      <c r="T69" s="5"/>
      <c r="U69" s="4"/>
      <c r="V69" s="4"/>
      <c r="W69" s="4"/>
      <c r="X69" s="4"/>
      <c r="Y69" s="4"/>
      <c r="Z69" s="4"/>
      <c r="AA69" s="4"/>
      <c r="AB69" s="4"/>
      <c r="AC69" s="4"/>
      <c r="AD69" s="5"/>
      <c r="AE69" s="398">
        <f t="shared" si="145"/>
        <v>0</v>
      </c>
      <c r="AF69" s="1193"/>
      <c r="AG69" s="1050"/>
      <c r="AH69" s="1050"/>
      <c r="AI69" s="1050"/>
      <c r="AJ69" s="1050"/>
      <c r="AK69" s="1050"/>
      <c r="AL69" s="1050"/>
      <c r="AM69" s="1050"/>
      <c r="AN69" s="1050"/>
      <c r="AO69" s="1050"/>
      <c r="AP69" s="1050"/>
      <c r="AQ69" s="1109"/>
      <c r="AR69" s="398">
        <f t="shared" si="146"/>
        <v>0</v>
      </c>
      <c r="AS69" s="879"/>
      <c r="AT69" s="879"/>
      <c r="AU69" s="879"/>
      <c r="AV69" s="879"/>
      <c r="AW69" s="879"/>
      <c r="AX69" s="879"/>
      <c r="AY69" s="879"/>
      <c r="AZ69" s="879"/>
      <c r="BA69" s="879"/>
      <c r="BB69" s="879"/>
      <c r="BC69" s="879"/>
      <c r="BD69" s="881"/>
      <c r="BE69" s="937">
        <f t="shared" si="147"/>
        <v>0</v>
      </c>
      <c r="BF69" s="957"/>
      <c r="BG69" s="879"/>
      <c r="BH69" s="879"/>
      <c r="BI69" s="879"/>
      <c r="BJ69" s="879"/>
      <c r="BK69" s="879"/>
      <c r="BL69" s="879"/>
      <c r="BM69" s="879"/>
      <c r="BN69" s="1724"/>
      <c r="BO69" s="879"/>
      <c r="BP69" s="879"/>
      <c r="BQ69" s="1668"/>
      <c r="BR69" s="937"/>
      <c r="BS69" s="2495"/>
      <c r="BT69" s="1724"/>
      <c r="BU69" s="1724"/>
      <c r="BV69" s="1724"/>
      <c r="BW69" s="1724"/>
      <c r="BX69" s="1724"/>
      <c r="BY69" s="1724"/>
      <c r="BZ69" s="1724"/>
      <c r="CA69" s="1724"/>
      <c r="CB69" s="1724"/>
      <c r="CC69" s="1724"/>
      <c r="CD69" s="2801"/>
      <c r="CE69" s="937">
        <f t="shared" si="148"/>
        <v>0</v>
      </c>
      <c r="CF69" s="2495"/>
      <c r="CG69" s="1724"/>
      <c r="CH69" s="1724"/>
      <c r="CI69" s="1724"/>
      <c r="CJ69" s="1724"/>
      <c r="CK69" s="1724"/>
      <c r="CL69" s="1724"/>
      <c r="CM69" s="1724"/>
      <c r="CN69" s="1724"/>
      <c r="CO69" s="1724"/>
      <c r="CP69" s="1724"/>
      <c r="CQ69" s="2470"/>
    </row>
    <row r="70" spans="2:95" ht="17.5" customHeight="1">
      <c r="B70" s="3313"/>
      <c r="C70" s="3314"/>
      <c r="D70" s="201" t="s">
        <v>681</v>
      </c>
      <c r="E70" s="398">
        <f>SUM(F70:Q70)</f>
        <v>51970.125026102389</v>
      </c>
      <c r="F70" s="455">
        <v>3543</v>
      </c>
      <c r="G70" s="455">
        <v>3741</v>
      </c>
      <c r="H70" s="341">
        <v>4168</v>
      </c>
      <c r="I70" s="341">
        <v>3586</v>
      </c>
      <c r="J70" s="341">
        <v>4335</v>
      </c>
      <c r="K70" s="341">
        <v>3936</v>
      </c>
      <c r="L70" s="4">
        <v>4202</v>
      </c>
      <c r="M70" s="4">
        <v>5125</v>
      </c>
      <c r="N70" s="4">
        <v>5118.5883619065426</v>
      </c>
      <c r="O70" s="4">
        <v>4932.3391322540874</v>
      </c>
      <c r="P70" s="4">
        <v>4736.7968659953804</v>
      </c>
      <c r="Q70" s="5">
        <v>4546.4006659463848</v>
      </c>
      <c r="R70" s="398">
        <f>SUM(S70:AD70)</f>
        <v>0</v>
      </c>
      <c r="S70" s="5"/>
      <c r="T70" s="5"/>
      <c r="U70" s="4"/>
      <c r="V70" s="4"/>
      <c r="W70" s="4"/>
      <c r="X70" s="4"/>
      <c r="Y70" s="4"/>
      <c r="Z70" s="4"/>
      <c r="AA70" s="4"/>
      <c r="AB70" s="4"/>
      <c r="AC70" s="4"/>
      <c r="AD70" s="5"/>
      <c r="AE70" s="398">
        <f>SUM(AF70:AQ70)</f>
        <v>0</v>
      </c>
      <c r="AF70" s="1193"/>
      <c r="AG70" s="1050"/>
      <c r="AH70" s="1050"/>
      <c r="AI70" s="1050"/>
      <c r="AJ70" s="1050"/>
      <c r="AK70" s="1050"/>
      <c r="AL70" s="1050"/>
      <c r="AM70" s="1050"/>
      <c r="AN70" s="1050"/>
      <c r="AO70" s="1050"/>
      <c r="AP70" s="1050"/>
      <c r="AQ70" s="1109"/>
      <c r="AR70" s="398">
        <f>SUM(AS70:BD70)</f>
        <v>0</v>
      </c>
      <c r="AS70" s="879"/>
      <c r="AT70" s="879"/>
      <c r="AU70" s="879"/>
      <c r="AV70" s="879"/>
      <c r="AW70" s="879"/>
      <c r="AX70" s="879"/>
      <c r="AY70" s="879"/>
      <c r="AZ70" s="879"/>
      <c r="BA70" s="879"/>
      <c r="BB70" s="879"/>
      <c r="BC70" s="879"/>
      <c r="BD70" s="881"/>
      <c r="BE70" s="937">
        <f>SUM(BF70:BQ70)</f>
        <v>0</v>
      </c>
      <c r="BF70" s="957"/>
      <c r="BG70" s="879"/>
      <c r="BH70" s="879"/>
      <c r="BI70" s="879"/>
      <c r="BJ70" s="879"/>
      <c r="BK70" s="879"/>
      <c r="BL70" s="879"/>
      <c r="BM70" s="879"/>
      <c r="BN70" s="1724"/>
      <c r="BO70" s="879"/>
      <c r="BP70" s="879"/>
      <c r="BQ70" s="1668"/>
      <c r="BR70" s="937"/>
      <c r="BS70" s="2495"/>
      <c r="BT70" s="1724"/>
      <c r="BU70" s="1724"/>
      <c r="BV70" s="1724"/>
      <c r="BW70" s="1724"/>
      <c r="BX70" s="1724"/>
      <c r="BY70" s="1724"/>
      <c r="BZ70" s="1724"/>
      <c r="CA70" s="1724"/>
      <c r="CB70" s="1724"/>
      <c r="CC70" s="1724"/>
      <c r="CD70" s="2801">
        <v>1983.6476905159998</v>
      </c>
      <c r="CE70" s="937">
        <f>SUM(CF70:CQ70)</f>
        <v>15031.073133528724</v>
      </c>
      <c r="CF70" s="2495">
        <f>CD45*CF80</f>
        <v>1419.02</v>
      </c>
      <c r="CG70" s="1724">
        <f>CF45*CG80</f>
        <v>1386.3825399999998</v>
      </c>
      <c r="CH70" s="1724">
        <f t="shared" ref="CH70:CQ70" si="163">CG45*CH80</f>
        <v>1354.4957415799997</v>
      </c>
      <c r="CI70" s="1724">
        <f t="shared" si="163"/>
        <v>1323.3423395236596</v>
      </c>
      <c r="CJ70" s="1724">
        <f t="shared" si="163"/>
        <v>1292.9054657146155</v>
      </c>
      <c r="CK70" s="1724">
        <f t="shared" si="163"/>
        <v>1263.1686400031792</v>
      </c>
      <c r="CL70" s="1724">
        <f t="shared" si="163"/>
        <v>1234.1157612831062</v>
      </c>
      <c r="CM70" s="1724">
        <f t="shared" si="163"/>
        <v>1205.7310987735946</v>
      </c>
      <c r="CN70" s="1724">
        <f t="shared" si="163"/>
        <v>1177.999283501802</v>
      </c>
      <c r="CO70" s="1724">
        <f t="shared" si="163"/>
        <v>1150.9052999812607</v>
      </c>
      <c r="CP70" s="1724">
        <f t="shared" si="163"/>
        <v>1124.4344780816916</v>
      </c>
      <c r="CQ70" s="2470">
        <f t="shared" si="163"/>
        <v>1098.5724850858128</v>
      </c>
    </row>
    <row r="71" spans="2:95" ht="17.5" hidden="1" customHeight="1">
      <c r="B71" s="3313"/>
      <c r="C71" s="3314"/>
      <c r="D71" s="201" t="s">
        <v>333</v>
      </c>
      <c r="E71" s="399">
        <f>SUM(F71:Q71)</f>
        <v>8921.9688719712922</v>
      </c>
      <c r="F71" s="456">
        <v>601</v>
      </c>
      <c r="G71" s="456">
        <v>569</v>
      </c>
      <c r="H71" s="340">
        <v>690</v>
      </c>
      <c r="I71" s="340">
        <v>562</v>
      </c>
      <c r="J71" s="340">
        <v>561</v>
      </c>
      <c r="K71" s="340">
        <v>652</v>
      </c>
      <c r="L71" s="7">
        <v>771</v>
      </c>
      <c r="M71" s="7">
        <v>1009</v>
      </c>
      <c r="N71" s="7">
        <v>968.16649090429746</v>
      </c>
      <c r="O71" s="7">
        <v>905.46792383678564</v>
      </c>
      <c r="P71" s="7">
        <v>843.86439386265261</v>
      </c>
      <c r="Q71" s="8">
        <v>789.47006336755578</v>
      </c>
      <c r="R71" s="399">
        <f>SUM(S71:AD71)</f>
        <v>0</v>
      </c>
      <c r="S71" s="8"/>
      <c r="T71" s="8"/>
      <c r="U71" s="7"/>
      <c r="V71" s="7"/>
      <c r="W71" s="7"/>
      <c r="X71" s="7"/>
      <c r="Y71" s="7"/>
      <c r="Z71" s="7"/>
      <c r="AA71" s="7"/>
      <c r="AB71" s="7"/>
      <c r="AC71" s="7"/>
      <c r="AD71" s="8"/>
      <c r="AE71" s="399">
        <f>SUM(AF71:AQ71)</f>
        <v>0</v>
      </c>
      <c r="AF71" s="1195"/>
      <c r="AG71" s="1196"/>
      <c r="AH71" s="1196"/>
      <c r="AI71" s="1196"/>
      <c r="AJ71" s="1196"/>
      <c r="AK71" s="1196"/>
      <c r="AL71" s="1196"/>
      <c r="AM71" s="1196"/>
      <c r="AN71" s="1196"/>
      <c r="AO71" s="1196"/>
      <c r="AP71" s="1196"/>
      <c r="AQ71" s="1198"/>
      <c r="AR71" s="399">
        <f>SUM(AS71:BD71)</f>
        <v>0</v>
      </c>
      <c r="AS71" s="883"/>
      <c r="AT71" s="883"/>
      <c r="AU71" s="883"/>
      <c r="AV71" s="883"/>
      <c r="AW71" s="883"/>
      <c r="AX71" s="883"/>
      <c r="AY71" s="883"/>
      <c r="AZ71" s="883"/>
      <c r="BA71" s="883"/>
      <c r="BB71" s="883"/>
      <c r="BC71" s="883"/>
      <c r="BD71" s="884"/>
      <c r="BE71" s="940">
        <f>SUM(BF71:BQ71)</f>
        <v>0</v>
      </c>
      <c r="BF71" s="959"/>
      <c r="BG71" s="883"/>
      <c r="BH71" s="883"/>
      <c r="BI71" s="883"/>
      <c r="BJ71" s="883"/>
      <c r="BK71" s="883"/>
      <c r="BL71" s="883"/>
      <c r="BM71" s="883"/>
      <c r="BN71" s="1725"/>
      <c r="BO71" s="883"/>
      <c r="BP71" s="883"/>
      <c r="BQ71" s="1740"/>
      <c r="BR71" s="940"/>
      <c r="BS71" s="2496"/>
      <c r="BT71" s="1725"/>
      <c r="BU71" s="1725"/>
      <c r="BV71" s="1725"/>
      <c r="BW71" s="1725"/>
      <c r="BX71" s="1725"/>
      <c r="BY71" s="1725"/>
      <c r="BZ71" s="1725"/>
      <c r="CA71" s="1725"/>
      <c r="CB71" s="1725"/>
      <c r="CC71" s="1725"/>
      <c r="CD71" s="2802"/>
      <c r="CE71" s="940">
        <f>SUM(CF71:CQ71)</f>
        <v>0</v>
      </c>
      <c r="CF71" s="2496"/>
      <c r="CG71" s="1725"/>
      <c r="CH71" s="1725"/>
      <c r="CI71" s="1725"/>
      <c r="CJ71" s="1725"/>
      <c r="CK71" s="1725"/>
      <c r="CL71" s="1725"/>
      <c r="CM71" s="1725"/>
      <c r="CN71" s="1725"/>
      <c r="CO71" s="1725"/>
      <c r="CP71" s="1725"/>
      <c r="CQ71" s="2471"/>
    </row>
    <row r="72" spans="2:95" ht="17.5" customHeight="1">
      <c r="B72" s="3313"/>
      <c r="C72" s="3314"/>
      <c r="D72" s="201" t="s">
        <v>351</v>
      </c>
      <c r="E72" s="398">
        <f>SUM(F72:Q72)</f>
        <v>27991.198842506405</v>
      </c>
      <c r="F72" s="455">
        <v>2015</v>
      </c>
      <c r="G72" s="455">
        <v>2302</v>
      </c>
      <c r="H72" s="341">
        <v>2490</v>
      </c>
      <c r="I72" s="341">
        <v>4657</v>
      </c>
      <c r="J72" s="341">
        <v>2391</v>
      </c>
      <c r="K72" s="341">
        <v>2542</v>
      </c>
      <c r="L72" s="4">
        <v>3606</v>
      </c>
      <c r="M72" s="4">
        <v>1617</v>
      </c>
      <c r="N72" s="4">
        <v>1621.1042245285778</v>
      </c>
      <c r="O72" s="4">
        <v>1611.2425011861581</v>
      </c>
      <c r="P72" s="4">
        <v>1582.8939545797384</v>
      </c>
      <c r="Q72" s="5">
        <v>1555.9581622119285</v>
      </c>
      <c r="R72" s="398">
        <f>SUM(S72:AD72)</f>
        <v>0</v>
      </c>
      <c r="S72" s="5"/>
      <c r="T72" s="5"/>
      <c r="U72" s="4"/>
      <c r="V72" s="4"/>
      <c r="W72" s="4"/>
      <c r="X72" s="4"/>
      <c r="Y72" s="4"/>
      <c r="Z72" s="4"/>
      <c r="AA72" s="4"/>
      <c r="AB72" s="4"/>
      <c r="AC72" s="4"/>
      <c r="AD72" s="5"/>
      <c r="AE72" s="398">
        <f>SUM(AF72:AQ72)</f>
        <v>0</v>
      </c>
      <c r="AF72" s="1193"/>
      <c r="AG72" s="1050"/>
      <c r="AH72" s="1050"/>
      <c r="AI72" s="1050"/>
      <c r="AJ72" s="1050"/>
      <c r="AK72" s="1050"/>
      <c r="AL72" s="1050"/>
      <c r="AM72" s="1050"/>
      <c r="AN72" s="1050"/>
      <c r="AO72" s="1050"/>
      <c r="AP72" s="1050"/>
      <c r="AQ72" s="1109"/>
      <c r="AR72" s="398">
        <f>SUM(AS72:BD72)</f>
        <v>0</v>
      </c>
      <c r="AS72" s="879"/>
      <c r="AT72" s="879"/>
      <c r="AU72" s="879"/>
      <c r="AV72" s="879"/>
      <c r="AW72" s="879"/>
      <c r="AX72" s="879"/>
      <c r="AY72" s="879"/>
      <c r="AZ72" s="879"/>
      <c r="BA72" s="879"/>
      <c r="BB72" s="879"/>
      <c r="BC72" s="879"/>
      <c r="BD72" s="881"/>
      <c r="BE72" s="937">
        <f>SUM(BF72:BQ72)</f>
        <v>0</v>
      </c>
      <c r="BF72" s="957"/>
      <c r="BG72" s="879"/>
      <c r="BH72" s="879"/>
      <c r="BI72" s="879"/>
      <c r="BJ72" s="879"/>
      <c r="BK72" s="879"/>
      <c r="BL72" s="879"/>
      <c r="BM72" s="879"/>
      <c r="BN72" s="1724"/>
      <c r="BO72" s="879"/>
      <c r="BP72" s="879"/>
      <c r="BQ72" s="1668"/>
      <c r="BR72" s="937"/>
      <c r="BS72" s="2495"/>
      <c r="BT72" s="1724"/>
      <c r="BU72" s="1724"/>
      <c r="BV72" s="1724"/>
      <c r="BW72" s="1724"/>
      <c r="BX72" s="1724"/>
      <c r="BY72" s="1724"/>
      <c r="BZ72" s="1724"/>
      <c r="CA72" s="1724"/>
      <c r="CB72" s="1724"/>
      <c r="CC72" s="1724"/>
      <c r="CD72" s="2801">
        <v>572.84952135919241</v>
      </c>
      <c r="CE72" s="937">
        <f>SUM(CF72:CQ72)</f>
        <v>6316.1959471870705</v>
      </c>
      <c r="CF72" s="2495">
        <f>(CD47+(CD59+CF16))/2*CF82</f>
        <v>500.07999680585039</v>
      </c>
      <c r="CG72" s="1724">
        <f>(CF47+(CF59+CG16))/2*CG82</f>
        <v>513.57721229705419</v>
      </c>
      <c r="CH72" s="1724">
        <f t="shared" ref="CH72:CQ72" si="164">(CG47+(CG59+CH16))/2*CH82</f>
        <v>514.20173555379051</v>
      </c>
      <c r="CI72" s="1724">
        <f t="shared" si="164"/>
        <v>512.18048347497472</v>
      </c>
      <c r="CJ72" s="1724">
        <f t="shared" si="164"/>
        <v>513.09396596766067</v>
      </c>
      <c r="CK72" s="1724">
        <f t="shared" si="164"/>
        <v>513.96045351663031</v>
      </c>
      <c r="CL72" s="1724">
        <f t="shared" si="164"/>
        <v>517.68991743799268</v>
      </c>
      <c r="CM72" s="1724">
        <f t="shared" si="164"/>
        <v>521.3410049042127</v>
      </c>
      <c r="CN72" s="1724">
        <f t="shared" si="164"/>
        <v>531.03217793140686</v>
      </c>
      <c r="CO72" s="1724">
        <f t="shared" si="164"/>
        <v>561.5996702157554</v>
      </c>
      <c r="CP72" s="1724">
        <f t="shared" si="164"/>
        <v>567.80133119052368</v>
      </c>
      <c r="CQ72" s="2470">
        <f t="shared" si="164"/>
        <v>549.63799789121788</v>
      </c>
    </row>
    <row r="73" spans="2:95" ht="17.5" customHeight="1">
      <c r="B73" s="3313"/>
      <c r="C73" s="3314"/>
      <c r="D73" s="203" t="s">
        <v>57</v>
      </c>
      <c r="E73" s="399">
        <f>SUM(F73:Q73)</f>
        <v>38806.642813223247</v>
      </c>
      <c r="F73" s="456">
        <v>3473</v>
      </c>
      <c r="G73" s="456">
        <v>2913</v>
      </c>
      <c r="H73" s="340">
        <v>3372</v>
      </c>
      <c r="I73" s="340">
        <v>3203</v>
      </c>
      <c r="J73" s="340">
        <v>2684</v>
      </c>
      <c r="K73" s="340">
        <v>3041</v>
      </c>
      <c r="L73" s="7">
        <v>3126</v>
      </c>
      <c r="M73" s="7">
        <v>3514</v>
      </c>
      <c r="N73" s="7">
        <v>3494.9044896639375</v>
      </c>
      <c r="O73" s="7">
        <v>3408.9446376127626</v>
      </c>
      <c r="P73" s="7">
        <v>3329.2967173705565</v>
      </c>
      <c r="Q73" s="8">
        <v>3247.4969685759884</v>
      </c>
      <c r="R73" s="399">
        <f>SUM(S73:AD73)</f>
        <v>0</v>
      </c>
      <c r="S73" s="8"/>
      <c r="T73" s="8"/>
      <c r="U73" s="7"/>
      <c r="V73" s="7"/>
      <c r="W73" s="7"/>
      <c r="X73" s="7"/>
      <c r="Y73" s="7"/>
      <c r="Z73" s="7"/>
      <c r="AA73" s="7"/>
      <c r="AB73" s="7"/>
      <c r="AC73" s="7"/>
      <c r="AD73" s="8"/>
      <c r="AE73" s="399">
        <f>SUM(AF73:AQ73)</f>
        <v>0</v>
      </c>
      <c r="AF73" s="1195"/>
      <c r="AG73" s="1196"/>
      <c r="AH73" s="1196"/>
      <c r="AI73" s="1196"/>
      <c r="AJ73" s="1196"/>
      <c r="AK73" s="1196"/>
      <c r="AL73" s="1196"/>
      <c r="AM73" s="1196"/>
      <c r="AN73" s="1196"/>
      <c r="AO73" s="1196"/>
      <c r="AP73" s="1196"/>
      <c r="AQ73" s="1198"/>
      <c r="AR73" s="399">
        <f>SUM(AS73:BD73)</f>
        <v>0</v>
      </c>
      <c r="AS73" s="883"/>
      <c r="AT73" s="883"/>
      <c r="AU73" s="883"/>
      <c r="AV73" s="883"/>
      <c r="AW73" s="883"/>
      <c r="AX73" s="883"/>
      <c r="AY73" s="883"/>
      <c r="AZ73" s="883"/>
      <c r="BA73" s="883"/>
      <c r="BB73" s="883"/>
      <c r="BC73" s="883"/>
      <c r="BD73" s="884"/>
      <c r="BE73" s="940">
        <f>SUM(BF73:BQ73)</f>
        <v>0</v>
      </c>
      <c r="BF73" s="959"/>
      <c r="BG73" s="883"/>
      <c r="BH73" s="883"/>
      <c r="BI73" s="883"/>
      <c r="BJ73" s="883"/>
      <c r="BK73" s="883"/>
      <c r="BL73" s="883"/>
      <c r="BM73" s="883"/>
      <c r="BN73" s="1725"/>
      <c r="BO73" s="883"/>
      <c r="BP73" s="883"/>
      <c r="BQ73" s="1740"/>
      <c r="BR73" s="940"/>
      <c r="BS73" s="2496"/>
      <c r="BT73" s="1725"/>
      <c r="BU73" s="1725"/>
      <c r="BV73" s="1725"/>
      <c r="BW73" s="1725"/>
      <c r="BX73" s="1725"/>
      <c r="BY73" s="1725"/>
      <c r="BZ73" s="1725"/>
      <c r="CA73" s="1725"/>
      <c r="CB73" s="1725"/>
      <c r="CC73" s="1725"/>
      <c r="CD73" s="2802">
        <v>893.00528111796598</v>
      </c>
      <c r="CE73" s="940">
        <f>SUM(CF73:CQ73)</f>
        <v>10540.951517163827</v>
      </c>
      <c r="CF73" s="2496">
        <f t="shared" ref="CF73" si="165">(CD48+(CD60+CF17))/2*CF83</f>
        <v>841.4513758657348</v>
      </c>
      <c r="CG73" s="1725">
        <f t="shared" ref="CG73:CQ73" si="166">(CF48+(CF60+CG17))/2*CG83</f>
        <v>853.50032510681967</v>
      </c>
      <c r="CH73" s="1725">
        <f t="shared" si="166"/>
        <v>859.19654665084613</v>
      </c>
      <c r="CI73" s="1725">
        <f t="shared" si="166"/>
        <v>865.04725484484743</v>
      </c>
      <c r="CJ73" s="1725">
        <f t="shared" si="166"/>
        <v>870.81735636840494</v>
      </c>
      <c r="CK73" s="1725">
        <f t="shared" si="166"/>
        <v>876.51040789143417</v>
      </c>
      <c r="CL73" s="1725">
        <f t="shared" si="166"/>
        <v>882.127412243908</v>
      </c>
      <c r="CM73" s="1725">
        <f t="shared" si="166"/>
        <v>887.66938553291425</v>
      </c>
      <c r="CN73" s="1725">
        <f t="shared" si="166"/>
        <v>893.13733000868524</v>
      </c>
      <c r="CO73" s="1725">
        <f t="shared" si="166"/>
        <v>898.53223453657233</v>
      </c>
      <c r="CP73" s="1725">
        <f t="shared" si="166"/>
        <v>903.85507477278588</v>
      </c>
      <c r="CQ73" s="2471">
        <f t="shared" si="166"/>
        <v>909.10681334087292</v>
      </c>
    </row>
    <row r="74" spans="2:95" ht="17.5" hidden="1" customHeight="1">
      <c r="B74" s="3315"/>
      <c r="C74" s="3316"/>
      <c r="D74" s="215" t="s">
        <v>195</v>
      </c>
      <c r="E74" s="400">
        <f>SUM(F74:Q74)</f>
        <v>0</v>
      </c>
      <c r="F74" s="320"/>
      <c r="G74" s="345"/>
      <c r="H74" s="345"/>
      <c r="I74" s="345"/>
      <c r="J74" s="345"/>
      <c r="K74" s="345"/>
      <c r="L74" s="217"/>
      <c r="M74" s="217"/>
      <c r="N74" s="217"/>
      <c r="O74" s="217"/>
      <c r="P74" s="217"/>
      <c r="Q74" s="218"/>
      <c r="R74" s="400">
        <f>SUM(S74:AD74)</f>
        <v>0</v>
      </c>
      <c r="S74" s="216"/>
      <c r="T74" s="217"/>
      <c r="U74" s="217"/>
      <c r="V74" s="217"/>
      <c r="W74" s="217"/>
      <c r="X74" s="217"/>
      <c r="Y74" s="217"/>
      <c r="Z74" s="217"/>
      <c r="AA74" s="217"/>
      <c r="AB74" s="217"/>
      <c r="AC74" s="217"/>
      <c r="AD74" s="218"/>
      <c r="AE74" s="400">
        <f>SUM(AF74:AQ74)</f>
        <v>0</v>
      </c>
      <c r="AF74" s="1218"/>
      <c r="AG74" s="1200"/>
      <c r="AH74" s="1200"/>
      <c r="AI74" s="1200"/>
      <c r="AJ74" s="1200"/>
      <c r="AK74" s="1200"/>
      <c r="AL74" s="1200"/>
      <c r="AM74" s="1200"/>
      <c r="AN74" s="1200"/>
      <c r="AO74" s="1200"/>
      <c r="AP74" s="1200"/>
      <c r="AQ74" s="1202"/>
      <c r="AR74" s="400">
        <f>SUM(AS74:BD74)</f>
        <v>0</v>
      </c>
      <c r="AS74" s="889"/>
      <c r="AT74" s="889"/>
      <c r="AU74" s="889"/>
      <c r="AV74" s="889"/>
      <c r="AW74" s="889"/>
      <c r="AX74" s="889"/>
      <c r="AY74" s="889"/>
      <c r="AZ74" s="889"/>
      <c r="BA74" s="889"/>
      <c r="BB74" s="889"/>
      <c r="BC74" s="889"/>
      <c r="BD74" s="890"/>
      <c r="BE74" s="941">
        <f>SUM(BF74:BQ74)</f>
        <v>0</v>
      </c>
      <c r="BF74" s="958"/>
      <c r="BG74" s="889"/>
      <c r="BH74" s="889"/>
      <c r="BI74" s="889"/>
      <c r="BJ74" s="889"/>
      <c r="BK74" s="889"/>
      <c r="BL74" s="889"/>
      <c r="BM74" s="889"/>
      <c r="BN74" s="1727"/>
      <c r="BO74" s="889"/>
      <c r="BP74" s="889"/>
      <c r="BQ74" s="1742"/>
      <c r="BR74" s="941">
        <f>SUM(BS74:CD74)</f>
        <v>0</v>
      </c>
      <c r="BS74" s="1563"/>
      <c r="BT74" s="1564"/>
      <c r="BU74" s="1564"/>
      <c r="BV74" s="1564"/>
      <c r="BW74" s="1564"/>
      <c r="BX74" s="1564"/>
      <c r="BY74" s="889"/>
      <c r="BZ74" s="889"/>
      <c r="CA74" s="1727"/>
      <c r="CB74" s="889"/>
      <c r="CC74" s="889"/>
      <c r="CD74" s="1742"/>
      <c r="CE74" s="941">
        <f>SUM(CF74:CQ74)</f>
        <v>0</v>
      </c>
      <c r="CF74" s="1563"/>
      <c r="CG74" s="1564"/>
      <c r="CH74" s="1564"/>
      <c r="CI74" s="1564"/>
      <c r="CJ74" s="1564"/>
      <c r="CK74" s="1564"/>
      <c r="CL74" s="889"/>
      <c r="CM74" s="889"/>
      <c r="CN74" s="1727"/>
      <c r="CO74" s="889"/>
      <c r="CP74" s="889"/>
      <c r="CQ74" s="1742"/>
    </row>
    <row r="75" spans="2:95" ht="16.5" customHeight="1">
      <c r="B75" s="3311" t="s">
        <v>20</v>
      </c>
      <c r="C75" s="3312"/>
      <c r="D75" s="210" t="s">
        <v>14</v>
      </c>
      <c r="E75" s="402">
        <f>AVERAGE(F75:Q75)</f>
        <v>1.2317385506111221E-2</v>
      </c>
      <c r="F75" s="332">
        <v>1.1834937632678037E-2</v>
      </c>
      <c r="G75" s="359">
        <v>1.1714588026612261E-2</v>
      </c>
      <c r="H75" s="359">
        <v>1.3337909887272464E-2</v>
      </c>
      <c r="I75" s="359">
        <v>1.2332127135525207E-2</v>
      </c>
      <c r="J75" s="359">
        <v>1.2394436571840469E-2</v>
      </c>
      <c r="K75" s="359">
        <v>1.2585804865392658E-2</v>
      </c>
      <c r="L75" s="521">
        <v>1.1992208795156308E-2</v>
      </c>
      <c r="M75" s="521">
        <v>1.2323322631771447E-2</v>
      </c>
      <c r="N75" s="521">
        <v>1.2323322631771447E-2</v>
      </c>
      <c r="O75" s="521">
        <v>1.2323322631771447E-2</v>
      </c>
      <c r="P75" s="521">
        <v>1.2323322631771447E-2</v>
      </c>
      <c r="Q75" s="522">
        <v>1.2323322631771447E-2</v>
      </c>
      <c r="R75" s="402" t="e">
        <f>AVERAGE(S75:AD75)</f>
        <v>#DIV/0!</v>
      </c>
      <c r="S75" s="332"/>
      <c r="T75" s="359"/>
      <c r="U75" s="359"/>
      <c r="V75" s="359"/>
      <c r="W75" s="359"/>
      <c r="X75" s="359"/>
      <c r="Y75" s="521"/>
      <c r="Z75" s="521"/>
      <c r="AA75" s="521"/>
      <c r="AB75" s="521"/>
      <c r="AC75" s="521"/>
      <c r="AD75" s="522"/>
      <c r="AE75" s="402" t="e">
        <f>AVERAGE(AF75:AQ75)</f>
        <v>#DIV/0!</v>
      </c>
      <c r="AF75" s="1220"/>
      <c r="AG75" s="1220"/>
      <c r="AH75" s="1220"/>
      <c r="AI75" s="1220"/>
      <c r="AJ75" s="1220"/>
      <c r="AK75" s="1220"/>
      <c r="AL75" s="1220"/>
      <c r="AM75" s="1220"/>
      <c r="AN75" s="1220"/>
      <c r="AO75" s="1220"/>
      <c r="AP75" s="1220"/>
      <c r="AQ75" s="1221"/>
      <c r="AR75" s="402" t="e">
        <f>AVERAGE(AS75:BD75)</f>
        <v>#DIV/0!</v>
      </c>
      <c r="AS75" s="891"/>
      <c r="AT75" s="891"/>
      <c r="AU75" s="891"/>
      <c r="AV75" s="891"/>
      <c r="AW75" s="891"/>
      <c r="AX75" s="891"/>
      <c r="AY75" s="891"/>
      <c r="AZ75" s="891"/>
      <c r="BA75" s="891"/>
      <c r="BB75" s="891"/>
      <c r="BC75" s="891"/>
      <c r="BD75" s="892"/>
      <c r="BE75" s="942" t="e">
        <f>AVERAGE(BF75:BQ75)</f>
        <v>#DIV/0!</v>
      </c>
      <c r="BF75" s="891"/>
      <c r="BG75" s="891"/>
      <c r="BH75" s="891"/>
      <c r="BI75" s="891"/>
      <c r="BJ75" s="891"/>
      <c r="BK75" s="891"/>
      <c r="BL75" s="891"/>
      <c r="BM75" s="891"/>
      <c r="BN75" s="1728"/>
      <c r="BO75" s="891"/>
      <c r="BP75" s="891"/>
      <c r="BQ75" s="1743"/>
      <c r="BR75" s="942" t="e">
        <f>AVERAGE(BS75:CD75)</f>
        <v>#DIV/0!</v>
      </c>
      <c r="BS75" s="891"/>
      <c r="BT75" s="891"/>
      <c r="BU75" s="891"/>
      <c r="BV75" s="891"/>
      <c r="BW75" s="891"/>
      <c r="BX75" s="891"/>
      <c r="BY75" s="891"/>
      <c r="BZ75" s="891"/>
      <c r="CA75" s="1728"/>
      <c r="CB75" s="891"/>
      <c r="CC75" s="891"/>
      <c r="CD75" s="1743"/>
      <c r="CE75" s="942"/>
      <c r="CF75" s="402"/>
      <c r="CG75" s="891"/>
      <c r="CH75" s="891"/>
      <c r="CI75" s="891"/>
      <c r="CJ75" s="891"/>
      <c r="CK75" s="891"/>
      <c r="CL75" s="891"/>
      <c r="CM75" s="891"/>
      <c r="CN75" s="1728"/>
      <c r="CO75" s="891"/>
      <c r="CP75" s="891"/>
      <c r="CQ75" s="1743"/>
    </row>
    <row r="76" spans="2:95" ht="17.5" customHeight="1">
      <c r="B76" s="3313"/>
      <c r="C76" s="3314"/>
      <c r="D76" s="201" t="s">
        <v>15</v>
      </c>
      <c r="E76" s="403">
        <f t="shared" ref="E76:E82" si="167">AVERAGE(F76:Q76)</f>
        <v>1.2432678330565322E-2</v>
      </c>
      <c r="F76" s="482">
        <v>1.1797913930776314E-2</v>
      </c>
      <c r="G76" s="357">
        <v>1.2150208260863537E-2</v>
      </c>
      <c r="H76" s="357">
        <v>1.3585118410503801E-2</v>
      </c>
      <c r="I76" s="357">
        <v>1.1239266174712255E-2</v>
      </c>
      <c r="J76" s="357">
        <v>1.3214907832871568E-2</v>
      </c>
      <c r="K76" s="357">
        <v>1.3543974040614859E-2</v>
      </c>
      <c r="L76" s="523">
        <v>1.1678199630323308E-2</v>
      </c>
      <c r="M76" s="523">
        <v>1.2396510337223646E-2</v>
      </c>
      <c r="N76" s="523">
        <v>1.2396510337223646E-2</v>
      </c>
      <c r="O76" s="523">
        <v>1.2396510337223646E-2</v>
      </c>
      <c r="P76" s="523">
        <v>1.2396510337223646E-2</v>
      </c>
      <c r="Q76" s="524">
        <v>1.2396510337223646E-2</v>
      </c>
      <c r="R76" s="403" t="e">
        <f t="shared" ref="R76:R82" si="168">AVERAGE(S76:AD76)</f>
        <v>#DIV/0!</v>
      </c>
      <c r="S76" s="630"/>
      <c r="T76" s="523"/>
      <c r="U76" s="523"/>
      <c r="V76" s="523"/>
      <c r="W76" s="523"/>
      <c r="X76" s="523"/>
      <c r="Y76" s="523"/>
      <c r="Z76" s="523"/>
      <c r="AA76" s="523"/>
      <c r="AB76" s="523"/>
      <c r="AC76" s="523"/>
      <c r="AD76" s="524"/>
      <c r="AE76" s="403" t="e">
        <f t="shared" ref="AE76:AE82" si="169">AVERAGE(AF76:AQ76)</f>
        <v>#DIV/0!</v>
      </c>
      <c r="AF76" s="1222"/>
      <c r="AG76" s="1223"/>
      <c r="AH76" s="1223"/>
      <c r="AI76" s="1223"/>
      <c r="AJ76" s="1223"/>
      <c r="AK76" s="1223"/>
      <c r="AL76" s="1223"/>
      <c r="AM76" s="1223"/>
      <c r="AN76" s="1223"/>
      <c r="AO76" s="1223"/>
      <c r="AP76" s="1223"/>
      <c r="AQ76" s="1224"/>
      <c r="AR76" s="403" t="e">
        <f t="shared" ref="AR76:AR82" si="170">AVERAGE(AS76:BD76)</f>
        <v>#DIV/0!</v>
      </c>
      <c r="AS76" s="893"/>
      <c r="AT76" s="893"/>
      <c r="AU76" s="893"/>
      <c r="AV76" s="893"/>
      <c r="AW76" s="893"/>
      <c r="AX76" s="893"/>
      <c r="AY76" s="893"/>
      <c r="AZ76" s="893"/>
      <c r="BA76" s="893"/>
      <c r="BB76" s="893"/>
      <c r="BC76" s="893"/>
      <c r="BD76" s="894"/>
      <c r="BE76" s="943" t="e">
        <f t="shared" ref="BE76:BE82" si="171">AVERAGE(BF76:BQ76)</f>
        <v>#DIV/0!</v>
      </c>
      <c r="BF76" s="960"/>
      <c r="BG76" s="893"/>
      <c r="BH76" s="893"/>
      <c r="BI76" s="893"/>
      <c r="BJ76" s="893"/>
      <c r="BK76" s="893"/>
      <c r="BL76" s="893"/>
      <c r="BM76" s="893"/>
      <c r="BN76" s="1729"/>
      <c r="BO76" s="893"/>
      <c r="BP76" s="893"/>
      <c r="BQ76" s="1744"/>
      <c r="BR76" s="943"/>
      <c r="BS76" s="960"/>
      <c r="BT76" s="893"/>
      <c r="BU76" s="893"/>
      <c r="BV76" s="893"/>
      <c r="BW76" s="893"/>
      <c r="BX76" s="893"/>
      <c r="BY76" s="2777"/>
      <c r="BZ76" s="2777"/>
      <c r="CA76" s="2777"/>
      <c r="CB76" s="2777"/>
      <c r="CC76" s="2777"/>
      <c r="CD76" s="2778"/>
      <c r="CE76" s="943"/>
      <c r="CF76" s="960">
        <v>0.05</v>
      </c>
      <c r="CG76" s="893">
        <v>0.05</v>
      </c>
      <c r="CH76" s="893">
        <v>0.05</v>
      </c>
      <c r="CI76" s="893">
        <v>0.05</v>
      </c>
      <c r="CJ76" s="893">
        <v>0.05</v>
      </c>
      <c r="CK76" s="893">
        <v>0.05</v>
      </c>
      <c r="CL76" s="893">
        <v>0.05</v>
      </c>
      <c r="CM76" s="893">
        <v>0.05</v>
      </c>
      <c r="CN76" s="1729">
        <v>0.05</v>
      </c>
      <c r="CO76" s="893">
        <v>0.05</v>
      </c>
      <c r="CP76" s="893">
        <v>0.05</v>
      </c>
      <c r="CQ76" s="1744">
        <v>0.05</v>
      </c>
    </row>
    <row r="77" spans="2:95" ht="17.5" customHeight="1">
      <c r="B77" s="3313"/>
      <c r="C77" s="3314"/>
      <c r="D77" s="201" t="s">
        <v>16</v>
      </c>
      <c r="E77" s="403">
        <f t="shared" si="167"/>
        <v>1.2431096012522527E-2</v>
      </c>
      <c r="F77" s="482">
        <v>1.3282023192998376E-2</v>
      </c>
      <c r="G77" s="357">
        <v>1.2594084499282218E-2</v>
      </c>
      <c r="H77" s="357">
        <v>1.5045451216298559E-2</v>
      </c>
      <c r="I77" s="357">
        <v>1.2253676701699979E-2</v>
      </c>
      <c r="J77" s="357">
        <v>1.2825671498894761E-2</v>
      </c>
      <c r="K77" s="357">
        <v>1.2953324126061792E-2</v>
      </c>
      <c r="L77" s="523">
        <v>1.0849310589836264E-2</v>
      </c>
      <c r="M77" s="523">
        <v>1.187392206503967E-2</v>
      </c>
      <c r="N77" s="523">
        <v>1.187392206503967E-2</v>
      </c>
      <c r="O77" s="523">
        <v>1.187392206503967E-2</v>
      </c>
      <c r="P77" s="523">
        <v>1.187392206503967E-2</v>
      </c>
      <c r="Q77" s="524">
        <v>1.187392206503967E-2</v>
      </c>
      <c r="R77" s="403" t="e">
        <f t="shared" si="168"/>
        <v>#DIV/0!</v>
      </c>
      <c r="S77" s="630"/>
      <c r="T77" s="523"/>
      <c r="U77" s="523"/>
      <c r="V77" s="523"/>
      <c r="W77" s="523"/>
      <c r="X77" s="523"/>
      <c r="Y77" s="523"/>
      <c r="Z77" s="523"/>
      <c r="AA77" s="523"/>
      <c r="AB77" s="523"/>
      <c r="AC77" s="523"/>
      <c r="AD77" s="524"/>
      <c r="AE77" s="403" t="e">
        <f t="shared" si="169"/>
        <v>#DIV/0!</v>
      </c>
      <c r="AF77" s="1222"/>
      <c r="AG77" s="1223"/>
      <c r="AH77" s="1223"/>
      <c r="AI77" s="1223"/>
      <c r="AJ77" s="1223"/>
      <c r="AK77" s="1223"/>
      <c r="AL77" s="1223"/>
      <c r="AM77" s="1223"/>
      <c r="AN77" s="1223"/>
      <c r="AO77" s="1223"/>
      <c r="AP77" s="1223"/>
      <c r="AQ77" s="1224"/>
      <c r="AR77" s="403" t="e">
        <f t="shared" si="170"/>
        <v>#DIV/0!</v>
      </c>
      <c r="AS77" s="893"/>
      <c r="AT77" s="893"/>
      <c r="AU77" s="893"/>
      <c r="AV77" s="893"/>
      <c r="AW77" s="893"/>
      <c r="AX77" s="893"/>
      <c r="AY77" s="893"/>
      <c r="AZ77" s="893"/>
      <c r="BA77" s="893"/>
      <c r="BB77" s="893"/>
      <c r="BC77" s="893"/>
      <c r="BD77" s="894"/>
      <c r="BE77" s="943" t="e">
        <f t="shared" si="171"/>
        <v>#DIV/0!</v>
      </c>
      <c r="BF77" s="960"/>
      <c r="BG77" s="893"/>
      <c r="BH77" s="893"/>
      <c r="BI77" s="893"/>
      <c r="BJ77" s="893"/>
      <c r="BK77" s="893"/>
      <c r="BL77" s="893"/>
      <c r="BM77" s="893"/>
      <c r="BN77" s="1729"/>
      <c r="BO77" s="893"/>
      <c r="BP77" s="893"/>
      <c r="BQ77" s="1744"/>
      <c r="BR77" s="943" t="e">
        <f t="shared" ref="BR77:BR82" si="172">AVERAGE(BS77:CD77)</f>
        <v>#DIV/0!</v>
      </c>
      <c r="BS77" s="960"/>
      <c r="BT77" s="893"/>
      <c r="BU77" s="893"/>
      <c r="BV77" s="893"/>
      <c r="BW77" s="893"/>
      <c r="BX77" s="893"/>
      <c r="BY77" s="893"/>
      <c r="BZ77" s="893"/>
      <c r="CA77" s="1729"/>
      <c r="CB77" s="893"/>
      <c r="CC77" s="893"/>
      <c r="CD77" s="1744"/>
      <c r="CE77" s="943">
        <f t="shared" ref="CE77:CE82" si="173">AVERAGE(CF77:CQ77)</f>
        <v>3.6999999999999991E-2</v>
      </c>
      <c r="CF77" s="960">
        <v>3.6999999999999998E-2</v>
      </c>
      <c r="CG77" s="893">
        <v>3.6999999999999998E-2</v>
      </c>
      <c r="CH77" s="893">
        <v>3.6999999999999998E-2</v>
      </c>
      <c r="CI77" s="893">
        <v>3.6999999999999998E-2</v>
      </c>
      <c r="CJ77" s="893">
        <v>3.6999999999999998E-2</v>
      </c>
      <c r="CK77" s="893">
        <v>3.6999999999999998E-2</v>
      </c>
      <c r="CL77" s="893">
        <v>3.6999999999999998E-2</v>
      </c>
      <c r="CM77" s="893">
        <v>3.6999999999999998E-2</v>
      </c>
      <c r="CN77" s="1729">
        <v>3.6999999999999998E-2</v>
      </c>
      <c r="CO77" s="893">
        <v>3.6999999999999998E-2</v>
      </c>
      <c r="CP77" s="893">
        <v>3.6999999999999998E-2</v>
      </c>
      <c r="CQ77" s="1744">
        <v>3.6999999999999998E-2</v>
      </c>
    </row>
    <row r="78" spans="2:95" ht="17.5" customHeight="1">
      <c r="B78" s="3313"/>
      <c r="C78" s="3314"/>
      <c r="D78" s="201" t="s">
        <v>575</v>
      </c>
      <c r="E78" s="403"/>
      <c r="F78" s="482"/>
      <c r="G78" s="357"/>
      <c r="H78" s="357"/>
      <c r="I78" s="357"/>
      <c r="J78" s="357"/>
      <c r="K78" s="357"/>
      <c r="L78" s="523"/>
      <c r="M78" s="523"/>
      <c r="N78" s="523"/>
      <c r="O78" s="523"/>
      <c r="P78" s="523"/>
      <c r="Q78" s="524"/>
      <c r="R78" s="403"/>
      <c r="S78" s="630"/>
      <c r="T78" s="523"/>
      <c r="U78" s="523"/>
      <c r="V78" s="523"/>
      <c r="W78" s="523"/>
      <c r="X78" s="523"/>
      <c r="Y78" s="523"/>
      <c r="Z78" s="523"/>
      <c r="AA78" s="523"/>
      <c r="AB78" s="523"/>
      <c r="AC78" s="523"/>
      <c r="AD78" s="524"/>
      <c r="AE78" s="403"/>
      <c r="AF78" s="1222"/>
      <c r="AG78" s="1223"/>
      <c r="AH78" s="1223"/>
      <c r="AI78" s="1223"/>
      <c r="AJ78" s="1223"/>
      <c r="AK78" s="1223"/>
      <c r="AL78" s="1223"/>
      <c r="AM78" s="1223"/>
      <c r="AN78" s="1223"/>
      <c r="AO78" s="1223"/>
      <c r="AP78" s="1223"/>
      <c r="AQ78" s="1224"/>
      <c r="AR78" s="403"/>
      <c r="AS78" s="893"/>
      <c r="AT78" s="893"/>
      <c r="AU78" s="893"/>
      <c r="AV78" s="893"/>
      <c r="AW78" s="893"/>
      <c r="AX78" s="893"/>
      <c r="AY78" s="893"/>
      <c r="AZ78" s="893"/>
      <c r="BA78" s="893"/>
      <c r="BB78" s="893"/>
      <c r="BC78" s="893"/>
      <c r="BD78" s="894"/>
      <c r="BE78" s="943"/>
      <c r="BF78" s="960"/>
      <c r="BG78" s="893"/>
      <c r="BH78" s="893"/>
      <c r="BI78" s="893"/>
      <c r="BJ78" s="893"/>
      <c r="BK78" s="893"/>
      <c r="BL78" s="893"/>
      <c r="BM78" s="893"/>
      <c r="BN78" s="1729"/>
      <c r="BO78" s="893"/>
      <c r="BP78" s="893"/>
      <c r="BQ78" s="1744"/>
      <c r="BR78" s="943" t="e">
        <f t="shared" si="172"/>
        <v>#DIV/0!</v>
      </c>
      <c r="BS78" s="960"/>
      <c r="BT78" s="893"/>
      <c r="BU78" s="893"/>
      <c r="BV78" s="893"/>
      <c r="BW78" s="893"/>
      <c r="BX78" s="893"/>
      <c r="BY78" s="893"/>
      <c r="BZ78" s="893"/>
      <c r="CA78" s="1729"/>
      <c r="CB78" s="893"/>
      <c r="CC78" s="893"/>
      <c r="CD78" s="1744"/>
      <c r="CE78" s="943">
        <f t="shared" si="173"/>
        <v>2.6000000000000006E-2</v>
      </c>
      <c r="CF78" s="960">
        <v>2.5999999999999999E-2</v>
      </c>
      <c r="CG78" s="893">
        <v>2.5999999999999999E-2</v>
      </c>
      <c r="CH78" s="893">
        <v>2.5999999999999999E-2</v>
      </c>
      <c r="CI78" s="893">
        <v>2.5999999999999999E-2</v>
      </c>
      <c r="CJ78" s="893">
        <v>2.5999999999999999E-2</v>
      </c>
      <c r="CK78" s="893">
        <v>2.5999999999999999E-2</v>
      </c>
      <c r="CL78" s="893">
        <v>2.5999999999999999E-2</v>
      </c>
      <c r="CM78" s="893">
        <v>2.5999999999999999E-2</v>
      </c>
      <c r="CN78" s="1729">
        <v>2.5999999999999999E-2</v>
      </c>
      <c r="CO78" s="893">
        <v>2.5999999999999999E-2</v>
      </c>
      <c r="CP78" s="893">
        <v>2.5999999999999999E-2</v>
      </c>
      <c r="CQ78" s="1744">
        <v>2.5999999999999999E-2</v>
      </c>
    </row>
    <row r="79" spans="2:95" ht="17.5" hidden="1" customHeight="1">
      <c r="B79" s="3313"/>
      <c r="C79" s="3314"/>
      <c r="D79" s="201" t="s">
        <v>247</v>
      </c>
      <c r="E79" s="403">
        <f t="shared" si="167"/>
        <v>1.5641380354096599E-2</v>
      </c>
      <c r="F79" s="482">
        <v>1.6864345944092658E-2</v>
      </c>
      <c r="G79" s="357">
        <v>1.666450805163407E-2</v>
      </c>
      <c r="H79" s="357">
        <v>1.6515258662895067E-2</v>
      </c>
      <c r="I79" s="357">
        <v>1.4696685428392746E-2</v>
      </c>
      <c r="J79" s="357">
        <v>1.7289659900305589E-2</v>
      </c>
      <c r="K79" s="357">
        <v>1.5801436715245955E-2</v>
      </c>
      <c r="L79" s="523">
        <v>1.5896229414382908E-2</v>
      </c>
      <c r="M79" s="523">
        <v>1.4793688026442051E-2</v>
      </c>
      <c r="N79" s="523">
        <v>1.4793688026442051E-2</v>
      </c>
      <c r="O79" s="523">
        <v>1.4793688026442051E-2</v>
      </c>
      <c r="P79" s="523">
        <v>1.4793688026442051E-2</v>
      </c>
      <c r="Q79" s="524">
        <v>1.4793688026442051E-2</v>
      </c>
      <c r="R79" s="403" t="e">
        <f t="shared" si="168"/>
        <v>#DIV/0!</v>
      </c>
      <c r="S79" s="630"/>
      <c r="T79" s="523"/>
      <c r="U79" s="523"/>
      <c r="V79" s="523"/>
      <c r="W79" s="523"/>
      <c r="X79" s="523"/>
      <c r="Y79" s="523"/>
      <c r="Z79" s="523"/>
      <c r="AA79" s="523"/>
      <c r="AB79" s="523"/>
      <c r="AC79" s="523"/>
      <c r="AD79" s="524"/>
      <c r="AE79" s="403" t="e">
        <f t="shared" si="169"/>
        <v>#DIV/0!</v>
      </c>
      <c r="AF79" s="1222"/>
      <c r="AG79" s="1223"/>
      <c r="AH79" s="1223"/>
      <c r="AI79" s="1223"/>
      <c r="AJ79" s="1223"/>
      <c r="AK79" s="1223"/>
      <c r="AL79" s="1223"/>
      <c r="AM79" s="1223"/>
      <c r="AN79" s="1223"/>
      <c r="AO79" s="1223"/>
      <c r="AP79" s="1223"/>
      <c r="AQ79" s="1224"/>
      <c r="AR79" s="403" t="e">
        <f t="shared" si="170"/>
        <v>#DIV/0!</v>
      </c>
      <c r="AS79" s="893"/>
      <c r="AT79" s="893"/>
      <c r="AU79" s="893"/>
      <c r="AV79" s="893"/>
      <c r="AW79" s="893"/>
      <c r="AX79" s="893"/>
      <c r="AY79" s="893"/>
      <c r="AZ79" s="893"/>
      <c r="BA79" s="893"/>
      <c r="BB79" s="893"/>
      <c r="BC79" s="893"/>
      <c r="BD79" s="894"/>
      <c r="BE79" s="943" t="e">
        <f t="shared" si="171"/>
        <v>#DIV/0!</v>
      </c>
      <c r="BF79" s="960"/>
      <c r="BG79" s="893"/>
      <c r="BH79" s="893"/>
      <c r="BI79" s="893"/>
      <c r="BJ79" s="893"/>
      <c r="BK79" s="893"/>
      <c r="BL79" s="893"/>
      <c r="BM79" s="893"/>
      <c r="BN79" s="1729"/>
      <c r="BO79" s="893"/>
      <c r="BP79" s="893"/>
      <c r="BQ79" s="1744"/>
      <c r="BR79" s="943" t="e">
        <f t="shared" si="172"/>
        <v>#DIV/0!</v>
      </c>
      <c r="BS79" s="960"/>
      <c r="BT79" s="893"/>
      <c r="BU79" s="893"/>
      <c r="BV79" s="893"/>
      <c r="BW79" s="893"/>
      <c r="BX79" s="893"/>
      <c r="BY79" s="893"/>
      <c r="BZ79" s="893"/>
      <c r="CA79" s="1729"/>
      <c r="CB79" s="893"/>
      <c r="CC79" s="893"/>
      <c r="CD79" s="1744"/>
      <c r="CE79" s="943" t="e">
        <f t="shared" si="173"/>
        <v>#DIV/0!</v>
      </c>
      <c r="CF79" s="960"/>
      <c r="CG79" s="893"/>
      <c r="CH79" s="893"/>
      <c r="CI79" s="893"/>
      <c r="CJ79" s="893"/>
      <c r="CK79" s="893"/>
      <c r="CL79" s="893"/>
      <c r="CM79" s="893"/>
      <c r="CN79" s="1729"/>
      <c r="CO79" s="893"/>
      <c r="CP79" s="893"/>
      <c r="CQ79" s="1744"/>
    </row>
    <row r="80" spans="2:95" ht="17.5" customHeight="1">
      <c r="B80" s="3313"/>
      <c r="C80" s="3314"/>
      <c r="D80" s="201" t="s">
        <v>681</v>
      </c>
      <c r="E80" s="403">
        <f t="shared" si="167"/>
        <v>2.6566335755841136E-2</v>
      </c>
      <c r="F80" s="482">
        <v>2.1206172115350086E-2</v>
      </c>
      <c r="G80" s="357">
        <v>2.2233051829576318E-2</v>
      </c>
      <c r="H80" s="357">
        <v>2.459091351585754E-2</v>
      </c>
      <c r="I80" s="357">
        <v>2.1416626851409461E-2</v>
      </c>
      <c r="J80" s="357">
        <v>2.6002771229598171E-2</v>
      </c>
      <c r="K80" s="357">
        <v>2.356632219281754E-2</v>
      </c>
      <c r="L80" s="523">
        <v>2.5282867878663896E-2</v>
      </c>
      <c r="M80" s="523">
        <v>3.0899460691364129E-2</v>
      </c>
      <c r="N80" s="523">
        <v>3.0899460691364129E-2</v>
      </c>
      <c r="O80" s="523">
        <v>3.0899460691364129E-2</v>
      </c>
      <c r="P80" s="523">
        <v>3.0899460691364129E-2</v>
      </c>
      <c r="Q80" s="524">
        <v>3.0899460691364129E-2</v>
      </c>
      <c r="R80" s="403" t="e">
        <f t="shared" si="168"/>
        <v>#DIV/0!</v>
      </c>
      <c r="S80" s="630"/>
      <c r="T80" s="523"/>
      <c r="U80" s="523"/>
      <c r="V80" s="523"/>
      <c r="W80" s="523"/>
      <c r="X80" s="523"/>
      <c r="Y80" s="523"/>
      <c r="Z80" s="523"/>
      <c r="AA80" s="523"/>
      <c r="AB80" s="523"/>
      <c r="AC80" s="523"/>
      <c r="AD80" s="524"/>
      <c r="AE80" s="403" t="e">
        <f t="shared" si="169"/>
        <v>#DIV/0!</v>
      </c>
      <c r="AF80" s="1222"/>
      <c r="AG80" s="1223"/>
      <c r="AH80" s="1223"/>
      <c r="AI80" s="1223"/>
      <c r="AJ80" s="1223"/>
      <c r="AK80" s="1223"/>
      <c r="AL80" s="1223"/>
      <c r="AM80" s="1223"/>
      <c r="AN80" s="1223"/>
      <c r="AO80" s="1223"/>
      <c r="AP80" s="1223"/>
      <c r="AQ80" s="1224"/>
      <c r="AR80" s="403" t="e">
        <f t="shared" si="170"/>
        <v>#DIV/0!</v>
      </c>
      <c r="AS80" s="893"/>
      <c r="AT80" s="893"/>
      <c r="AU80" s="893"/>
      <c r="AV80" s="893"/>
      <c r="AW80" s="893"/>
      <c r="AX80" s="893"/>
      <c r="AY80" s="893"/>
      <c r="AZ80" s="893"/>
      <c r="BA80" s="893"/>
      <c r="BB80" s="893"/>
      <c r="BC80" s="893"/>
      <c r="BD80" s="894"/>
      <c r="BE80" s="943" t="e">
        <f t="shared" si="171"/>
        <v>#DIV/0!</v>
      </c>
      <c r="BF80" s="960"/>
      <c r="BG80" s="893"/>
      <c r="BH80" s="893"/>
      <c r="BI80" s="893"/>
      <c r="BJ80" s="893"/>
      <c r="BK80" s="893"/>
      <c r="BL80" s="893"/>
      <c r="BM80" s="893"/>
      <c r="BN80" s="1729"/>
      <c r="BO80" s="893"/>
      <c r="BP80" s="893"/>
      <c r="BQ80" s="1744"/>
      <c r="BR80" s="943" t="e">
        <f t="shared" si="172"/>
        <v>#DIV/0!</v>
      </c>
      <c r="BS80" s="960"/>
      <c r="BT80" s="893"/>
      <c r="BU80" s="893"/>
      <c r="BV80" s="893"/>
      <c r="BW80" s="893"/>
      <c r="BX80" s="893"/>
      <c r="BY80" s="893"/>
      <c r="BZ80" s="893"/>
      <c r="CA80" s="1729"/>
      <c r="CB80" s="893"/>
      <c r="CC80" s="893"/>
      <c r="CD80" s="1744"/>
      <c r="CE80" s="943">
        <f t="shared" si="173"/>
        <v>1.9999999999999997E-2</v>
      </c>
      <c r="CF80" s="960">
        <v>0.02</v>
      </c>
      <c r="CG80" s="893">
        <v>0.02</v>
      </c>
      <c r="CH80" s="893">
        <v>0.02</v>
      </c>
      <c r="CI80" s="893">
        <v>0.02</v>
      </c>
      <c r="CJ80" s="893">
        <v>0.02</v>
      </c>
      <c r="CK80" s="893">
        <v>0.02</v>
      </c>
      <c r="CL80" s="893">
        <v>0.02</v>
      </c>
      <c r="CM80" s="893">
        <v>0.02</v>
      </c>
      <c r="CN80" s="1729">
        <v>0.02</v>
      </c>
      <c r="CO80" s="893">
        <v>0.02</v>
      </c>
      <c r="CP80" s="893">
        <v>0.02</v>
      </c>
      <c r="CQ80" s="1744">
        <v>0.02</v>
      </c>
    </row>
    <row r="81" spans="2:95" ht="17.5" hidden="1" customHeight="1">
      <c r="B81" s="3313"/>
      <c r="C81" s="3314"/>
      <c r="D81" s="201" t="s">
        <v>333</v>
      </c>
      <c r="E81" s="403">
        <f t="shared" si="167"/>
        <v>3.1220722334974065E-2</v>
      </c>
      <c r="F81" s="482">
        <v>1.7955037717529314E-2</v>
      </c>
      <c r="G81" s="357">
        <v>1.7615281024101048E-2</v>
      </c>
      <c r="H81" s="357">
        <v>2.2120347513865289E-2</v>
      </c>
      <c r="I81" s="357">
        <v>1.9023440805619022E-2</v>
      </c>
      <c r="J81" s="357">
        <v>2.0074070098223391E-2</v>
      </c>
      <c r="K81" s="357">
        <v>2.4799832639166238E-2</v>
      </c>
      <c r="L81" s="523">
        <v>3.138036997089888E-2</v>
      </c>
      <c r="M81" s="523">
        <v>4.4336057650057124E-2</v>
      </c>
      <c r="N81" s="523">
        <v>4.4336057650057124E-2</v>
      </c>
      <c r="O81" s="523">
        <v>4.4336057650057124E-2</v>
      </c>
      <c r="P81" s="523">
        <v>4.4336057650057124E-2</v>
      </c>
      <c r="Q81" s="524">
        <v>4.4336057650057124E-2</v>
      </c>
      <c r="R81" s="403" t="e">
        <f t="shared" si="168"/>
        <v>#DIV/0!</v>
      </c>
      <c r="S81" s="630"/>
      <c r="T81" s="523"/>
      <c r="U81" s="523"/>
      <c r="V81" s="523"/>
      <c r="W81" s="523"/>
      <c r="X81" s="523"/>
      <c r="Y81" s="523"/>
      <c r="Z81" s="523"/>
      <c r="AA81" s="523"/>
      <c r="AB81" s="523"/>
      <c r="AC81" s="523"/>
      <c r="AD81" s="524"/>
      <c r="AE81" s="403" t="e">
        <f t="shared" si="169"/>
        <v>#DIV/0!</v>
      </c>
      <c r="AF81" s="1222"/>
      <c r="AG81" s="1223"/>
      <c r="AH81" s="1223"/>
      <c r="AI81" s="1223"/>
      <c r="AJ81" s="1223"/>
      <c r="AK81" s="1223"/>
      <c r="AL81" s="1223"/>
      <c r="AM81" s="1223"/>
      <c r="AN81" s="1223"/>
      <c r="AO81" s="1223"/>
      <c r="AP81" s="1223"/>
      <c r="AQ81" s="1224"/>
      <c r="AR81" s="403" t="e">
        <f t="shared" si="170"/>
        <v>#DIV/0!</v>
      </c>
      <c r="AS81" s="893"/>
      <c r="AT81" s="893"/>
      <c r="AU81" s="893"/>
      <c r="AV81" s="893"/>
      <c r="AW81" s="893"/>
      <c r="AX81" s="893"/>
      <c r="AY81" s="893"/>
      <c r="AZ81" s="893"/>
      <c r="BA81" s="893"/>
      <c r="BB81" s="893"/>
      <c r="BC81" s="893"/>
      <c r="BD81" s="894"/>
      <c r="BE81" s="943" t="e">
        <f t="shared" si="171"/>
        <v>#DIV/0!</v>
      </c>
      <c r="BF81" s="960"/>
      <c r="BG81" s="893"/>
      <c r="BH81" s="893"/>
      <c r="BI81" s="893"/>
      <c r="BJ81" s="893"/>
      <c r="BK81" s="893"/>
      <c r="BL81" s="893"/>
      <c r="BM81" s="893"/>
      <c r="BN81" s="1729"/>
      <c r="BO81" s="893"/>
      <c r="BP81" s="893"/>
      <c r="BQ81" s="1744"/>
      <c r="BR81" s="943" t="e">
        <f t="shared" si="172"/>
        <v>#DIV/0!</v>
      </c>
      <c r="BS81" s="960"/>
      <c r="BT81" s="893"/>
      <c r="BU81" s="893"/>
      <c r="BV81" s="893"/>
      <c r="BW81" s="893"/>
      <c r="BX81" s="893"/>
      <c r="BY81" s="893"/>
      <c r="BZ81" s="893"/>
      <c r="CA81" s="1729"/>
      <c r="CB81" s="893"/>
      <c r="CC81" s="893"/>
      <c r="CD81" s="1744"/>
      <c r="CE81" s="943" t="e">
        <f t="shared" si="173"/>
        <v>#DIV/0!</v>
      </c>
      <c r="CF81" s="960"/>
      <c r="CG81" s="893"/>
      <c r="CH81" s="893"/>
      <c r="CI81" s="893"/>
      <c r="CJ81" s="893"/>
      <c r="CK81" s="893"/>
      <c r="CL81" s="893"/>
      <c r="CM81" s="893"/>
      <c r="CN81" s="1729"/>
      <c r="CO81" s="893"/>
      <c r="CP81" s="893"/>
      <c r="CQ81" s="1744"/>
    </row>
    <row r="82" spans="2:95" ht="17.5" customHeight="1">
      <c r="B82" s="3313"/>
      <c r="C82" s="3314"/>
      <c r="D82" s="201" t="s">
        <v>677</v>
      </c>
      <c r="E82" s="403">
        <f t="shared" si="167"/>
        <v>4.8475834723186156E-3</v>
      </c>
      <c r="F82" s="482">
        <v>4.2407928493708264E-3</v>
      </c>
      <c r="G82" s="357">
        <v>4.7986975559370336E-3</v>
      </c>
      <c r="H82" s="357">
        <v>5.1737572074177967E-3</v>
      </c>
      <c r="I82" s="357">
        <v>9.7279739306174243E-3</v>
      </c>
      <c r="J82" s="357">
        <v>4.998301497295461E-3</v>
      </c>
      <c r="K82" s="357">
        <v>5.2777077059307769E-3</v>
      </c>
      <c r="L82" s="523">
        <v>7.4244735850571659E-3</v>
      </c>
      <c r="M82" s="523">
        <v>3.3058594672393826E-3</v>
      </c>
      <c r="N82" s="523">
        <v>3.3058594672393826E-3</v>
      </c>
      <c r="O82" s="523">
        <v>3.3058594672393826E-3</v>
      </c>
      <c r="P82" s="523">
        <v>3.3058594672393826E-3</v>
      </c>
      <c r="Q82" s="524">
        <v>3.3058594672393826E-3</v>
      </c>
      <c r="R82" s="403" t="e">
        <f t="shared" si="168"/>
        <v>#DIV/0!</v>
      </c>
      <c r="S82" s="630"/>
      <c r="T82" s="523"/>
      <c r="U82" s="523"/>
      <c r="V82" s="523"/>
      <c r="W82" s="523"/>
      <c r="X82" s="523"/>
      <c r="Y82" s="523"/>
      <c r="Z82" s="523"/>
      <c r="AA82" s="523"/>
      <c r="AB82" s="523"/>
      <c r="AC82" s="523"/>
      <c r="AD82" s="524"/>
      <c r="AE82" s="403" t="e">
        <f t="shared" si="169"/>
        <v>#DIV/0!</v>
      </c>
      <c r="AF82" s="1222"/>
      <c r="AG82" s="1223"/>
      <c r="AH82" s="1223"/>
      <c r="AI82" s="1223"/>
      <c r="AJ82" s="1223"/>
      <c r="AK82" s="1223"/>
      <c r="AL82" s="1223"/>
      <c r="AM82" s="1223"/>
      <c r="AN82" s="1223"/>
      <c r="AO82" s="1223"/>
      <c r="AP82" s="1223"/>
      <c r="AQ82" s="1224"/>
      <c r="AR82" s="403" t="e">
        <f t="shared" si="170"/>
        <v>#DIV/0!</v>
      </c>
      <c r="AS82" s="893"/>
      <c r="AT82" s="893"/>
      <c r="AU82" s="893"/>
      <c r="AV82" s="893"/>
      <c r="AW82" s="893"/>
      <c r="AX82" s="893"/>
      <c r="AY82" s="893"/>
      <c r="AZ82" s="893"/>
      <c r="BA82" s="893"/>
      <c r="BB82" s="893"/>
      <c r="BC82" s="893"/>
      <c r="BD82" s="894"/>
      <c r="BE82" s="943" t="e">
        <f t="shared" si="171"/>
        <v>#DIV/0!</v>
      </c>
      <c r="BF82" s="960"/>
      <c r="BG82" s="893"/>
      <c r="BH82" s="893"/>
      <c r="BI82" s="893"/>
      <c r="BJ82" s="893"/>
      <c r="BK82" s="893"/>
      <c r="BL82" s="893"/>
      <c r="BM82" s="893"/>
      <c r="BN82" s="1729"/>
      <c r="BO82" s="893"/>
      <c r="BP82" s="893"/>
      <c r="BQ82" s="1744"/>
      <c r="BR82" s="943" t="e">
        <f t="shared" si="172"/>
        <v>#DIV/0!</v>
      </c>
      <c r="BS82" s="960"/>
      <c r="BT82" s="893"/>
      <c r="BU82" s="893"/>
      <c r="BV82" s="893"/>
      <c r="BW82" s="893"/>
      <c r="BX82" s="893"/>
      <c r="BY82" s="893"/>
      <c r="BZ82" s="893"/>
      <c r="CA82" s="1729"/>
      <c r="CB82" s="893"/>
      <c r="CC82" s="893"/>
      <c r="CD82" s="1744"/>
      <c r="CE82" s="943">
        <f t="shared" si="173"/>
        <v>2.2999999999999996E-2</v>
      </c>
      <c r="CF82" s="960">
        <v>2.3E-2</v>
      </c>
      <c r="CG82" s="893">
        <v>2.3E-2</v>
      </c>
      <c r="CH82" s="893">
        <v>2.3E-2</v>
      </c>
      <c r="CI82" s="893">
        <v>2.3E-2</v>
      </c>
      <c r="CJ82" s="893">
        <v>2.3E-2</v>
      </c>
      <c r="CK82" s="893">
        <v>2.3E-2</v>
      </c>
      <c r="CL82" s="893">
        <v>2.3E-2</v>
      </c>
      <c r="CM82" s="893">
        <v>2.3E-2</v>
      </c>
      <c r="CN82" s="1729">
        <v>2.3E-2</v>
      </c>
      <c r="CO82" s="893">
        <v>2.3E-2</v>
      </c>
      <c r="CP82" s="893">
        <v>2.3E-2</v>
      </c>
      <c r="CQ82" s="1744">
        <v>2.3E-2</v>
      </c>
    </row>
    <row r="83" spans="2:95" ht="17.5" customHeight="1">
      <c r="B83" s="3313"/>
      <c r="C83" s="3314"/>
      <c r="D83" s="203" t="s">
        <v>57</v>
      </c>
      <c r="E83" s="404">
        <f>AVERAGE(F83:Q83)</f>
        <v>1.4501422440060011E-2</v>
      </c>
      <c r="F83" s="483">
        <v>1.4878217526994347E-2</v>
      </c>
      <c r="G83" s="358">
        <v>1.2540790935156405E-2</v>
      </c>
      <c r="H83" s="358">
        <v>1.4480119894705653E-2</v>
      </c>
      <c r="I83" s="358">
        <v>1.3988701601297985E-2</v>
      </c>
      <c r="J83" s="358">
        <v>1.185020353740055E-2</v>
      </c>
      <c r="K83" s="358">
        <v>1.3453519880550794E-2</v>
      </c>
      <c r="L83" s="67">
        <v>1.3918448400224406E-2</v>
      </c>
      <c r="M83" s="67">
        <v>1.5781413500877993E-2</v>
      </c>
      <c r="N83" s="67">
        <v>1.5781413500877993E-2</v>
      </c>
      <c r="O83" s="67">
        <v>1.5781413500877993E-2</v>
      </c>
      <c r="P83" s="67">
        <v>1.5781413500877993E-2</v>
      </c>
      <c r="Q83" s="525">
        <v>1.5781413500877993E-2</v>
      </c>
      <c r="R83" s="404" t="e">
        <f>AVERAGE(S83:AD83)</f>
        <v>#DIV/0!</v>
      </c>
      <c r="S83" s="116"/>
      <c r="T83" s="67"/>
      <c r="U83" s="67"/>
      <c r="V83" s="67"/>
      <c r="W83" s="67"/>
      <c r="X83" s="67"/>
      <c r="Y83" s="67"/>
      <c r="Z83" s="67"/>
      <c r="AA83" s="67"/>
      <c r="AB83" s="67"/>
      <c r="AC83" s="67"/>
      <c r="AD83" s="525"/>
      <c r="AE83" s="404" t="e">
        <f>AVERAGE(AF83:AQ83)</f>
        <v>#DIV/0!</v>
      </c>
      <c r="AF83" s="1225"/>
      <c r="AG83" s="1226"/>
      <c r="AH83" s="1226"/>
      <c r="AI83" s="1226"/>
      <c r="AJ83" s="1226"/>
      <c r="AK83" s="1226"/>
      <c r="AL83" s="1226"/>
      <c r="AM83" s="1226"/>
      <c r="AN83" s="1226"/>
      <c r="AO83" s="1226"/>
      <c r="AP83" s="1226"/>
      <c r="AQ83" s="1227"/>
      <c r="AR83" s="404" t="e">
        <f>AVERAGE(AS83:BD83)</f>
        <v>#DIV/0!</v>
      </c>
      <c r="AS83" s="895"/>
      <c r="AT83" s="895"/>
      <c r="AU83" s="895"/>
      <c r="AV83" s="895"/>
      <c r="AW83" s="895"/>
      <c r="AX83" s="895"/>
      <c r="AY83" s="895"/>
      <c r="AZ83" s="895"/>
      <c r="BA83" s="895"/>
      <c r="BB83" s="895"/>
      <c r="BC83" s="895"/>
      <c r="BD83" s="896"/>
      <c r="BE83" s="944" t="e">
        <f>AVERAGE(BF83:BQ83)</f>
        <v>#DIV/0!</v>
      </c>
      <c r="BF83" s="961"/>
      <c r="BG83" s="895"/>
      <c r="BH83" s="895"/>
      <c r="BI83" s="895"/>
      <c r="BJ83" s="895"/>
      <c r="BK83" s="895"/>
      <c r="BL83" s="895"/>
      <c r="BM83" s="895"/>
      <c r="BN83" s="1730"/>
      <c r="BO83" s="895"/>
      <c r="BP83" s="895"/>
      <c r="BQ83" s="1745"/>
      <c r="BR83" s="944" t="e">
        <f>AVERAGE(BS83:CD83)</f>
        <v>#DIV/0!</v>
      </c>
      <c r="BS83" s="961"/>
      <c r="BT83" s="895"/>
      <c r="BU83" s="895"/>
      <c r="BV83" s="895"/>
      <c r="BW83" s="895"/>
      <c r="BX83" s="895"/>
      <c r="BY83" s="895"/>
      <c r="BZ83" s="895"/>
      <c r="CA83" s="1730"/>
      <c r="CB83" s="895"/>
      <c r="CC83" s="895"/>
      <c r="CD83" s="1745"/>
      <c r="CE83" s="944">
        <f>AVERAGE(CF83:CQ83)</f>
        <v>2.0999999999999994E-2</v>
      </c>
      <c r="CF83" s="961">
        <v>2.1000000000000001E-2</v>
      </c>
      <c r="CG83" s="895">
        <v>2.1000000000000001E-2</v>
      </c>
      <c r="CH83" s="895">
        <v>2.1000000000000001E-2</v>
      </c>
      <c r="CI83" s="895">
        <v>2.1000000000000001E-2</v>
      </c>
      <c r="CJ83" s="895">
        <v>2.1000000000000001E-2</v>
      </c>
      <c r="CK83" s="895">
        <v>2.1000000000000001E-2</v>
      </c>
      <c r="CL83" s="895">
        <v>2.1000000000000001E-2</v>
      </c>
      <c r="CM83" s="895">
        <v>2.1000000000000001E-2</v>
      </c>
      <c r="CN83" s="1730">
        <v>2.1000000000000001E-2</v>
      </c>
      <c r="CO83" s="895">
        <v>2.1000000000000001E-2</v>
      </c>
      <c r="CP83" s="895">
        <v>2.1000000000000001E-2</v>
      </c>
      <c r="CQ83" s="1745">
        <v>2.1000000000000001E-2</v>
      </c>
    </row>
    <row r="84" spans="2:95" ht="17.5" hidden="1" customHeight="1">
      <c r="B84" s="3315"/>
      <c r="C84" s="3316"/>
      <c r="D84" s="215" t="s">
        <v>195</v>
      </c>
      <c r="E84" s="405"/>
      <c r="F84" s="526"/>
      <c r="G84" s="527"/>
      <c r="H84" s="527"/>
      <c r="I84" s="527"/>
      <c r="J84" s="527"/>
      <c r="K84" s="527"/>
      <c r="L84" s="527"/>
      <c r="M84" s="527"/>
      <c r="N84" s="527"/>
      <c r="O84" s="527"/>
      <c r="P84" s="527"/>
      <c r="Q84" s="528"/>
      <c r="R84" s="405"/>
      <c r="S84" s="526"/>
      <c r="T84" s="527"/>
      <c r="U84" s="527"/>
      <c r="V84" s="527"/>
      <c r="W84" s="527"/>
      <c r="X84" s="527"/>
      <c r="Y84" s="527"/>
      <c r="Z84" s="527"/>
      <c r="AA84" s="527"/>
      <c r="AB84" s="527"/>
      <c r="AC84" s="527"/>
      <c r="AD84" s="528"/>
      <c r="AE84" s="405"/>
      <c r="AF84" s="1228"/>
      <c r="AG84" s="1229"/>
      <c r="AH84" s="1229"/>
      <c r="AI84" s="1229"/>
      <c r="AJ84" s="1229"/>
      <c r="AK84" s="1229"/>
      <c r="AL84" s="1229"/>
      <c r="AM84" s="1229"/>
      <c r="AN84" s="1229"/>
      <c r="AO84" s="1229"/>
      <c r="AP84" s="1229"/>
      <c r="AQ84" s="1230"/>
      <c r="AR84" s="405"/>
      <c r="AS84" s="897"/>
      <c r="AT84" s="897"/>
      <c r="AU84" s="897"/>
      <c r="AV84" s="897"/>
      <c r="AW84" s="897"/>
      <c r="AX84" s="897"/>
      <c r="AY84" s="897"/>
      <c r="AZ84" s="897"/>
      <c r="BA84" s="897"/>
      <c r="BB84" s="897"/>
      <c r="BC84" s="897"/>
      <c r="BD84" s="898"/>
      <c r="BE84" s="945"/>
      <c r="BF84" s="962"/>
      <c r="BG84" s="897"/>
      <c r="BH84" s="897"/>
      <c r="BI84" s="897"/>
      <c r="BJ84" s="897"/>
      <c r="BK84" s="897"/>
      <c r="BL84" s="897"/>
      <c r="BM84" s="897"/>
      <c r="BN84" s="1731"/>
      <c r="BO84" s="897"/>
      <c r="BP84" s="897"/>
      <c r="BQ84" s="1746"/>
      <c r="BR84" s="945"/>
      <c r="BS84" s="962"/>
      <c r="BT84" s="897"/>
      <c r="BU84" s="897"/>
      <c r="BV84" s="897"/>
      <c r="BW84" s="897"/>
      <c r="BX84" s="897"/>
      <c r="BY84" s="897"/>
      <c r="BZ84" s="897"/>
      <c r="CA84" s="1731"/>
      <c r="CB84" s="897"/>
      <c r="CC84" s="897"/>
      <c r="CD84" s="1746"/>
      <c r="CE84" s="945"/>
      <c r="CF84" s="962"/>
      <c r="CG84" s="897"/>
      <c r="CH84" s="897"/>
      <c r="CI84" s="897"/>
      <c r="CJ84" s="897"/>
      <c r="CK84" s="897"/>
      <c r="CL84" s="897"/>
      <c r="CM84" s="897"/>
      <c r="CN84" s="1731"/>
      <c r="CO84" s="897"/>
      <c r="CP84" s="897"/>
      <c r="CQ84" s="1746"/>
    </row>
    <row r="85" spans="2:95" ht="16.5" customHeight="1">
      <c r="B85" s="3311" t="s">
        <v>21</v>
      </c>
      <c r="C85" s="3312"/>
      <c r="D85" s="210" t="s">
        <v>14</v>
      </c>
      <c r="E85" s="397">
        <f t="shared" ref="E85:E93" si="174">SUM(F85:Q85)</f>
        <v>105682</v>
      </c>
      <c r="F85" s="213">
        <v>-12920</v>
      </c>
      <c r="G85" s="213">
        <v>-21304</v>
      </c>
      <c r="H85" s="213">
        <v>13613</v>
      </c>
      <c r="I85" s="213">
        <v>15827</v>
      </c>
      <c r="J85" s="213">
        <v>23992</v>
      </c>
      <c r="K85" s="213">
        <v>11768</v>
      </c>
      <c r="L85" s="213">
        <v>-2861</v>
      </c>
      <c r="M85" s="213">
        <v>-12101</v>
      </c>
      <c r="N85" s="213">
        <v>17281</v>
      </c>
      <c r="O85" s="213">
        <v>26701</v>
      </c>
      <c r="P85" s="213">
        <v>26285</v>
      </c>
      <c r="Q85" s="214">
        <v>19401</v>
      </c>
      <c r="R85" s="397">
        <f t="shared" ref="R85:R93" si="175">SUM(S85:AD85)</f>
        <v>0</v>
      </c>
      <c r="S85" s="213"/>
      <c r="T85" s="213"/>
      <c r="U85" s="213"/>
      <c r="V85" s="213"/>
      <c r="W85" s="213"/>
      <c r="X85" s="213"/>
      <c r="Y85" s="213"/>
      <c r="Z85" s="213"/>
      <c r="AA85" s="213"/>
      <c r="AB85" s="213"/>
      <c r="AC85" s="213"/>
      <c r="AD85" s="214"/>
      <c r="AE85" s="397">
        <f t="shared" ref="AE85:AE93" si="176">SUM(AF85:AQ85)</f>
        <v>0</v>
      </c>
      <c r="AF85" s="1190"/>
      <c r="AG85" s="1191"/>
      <c r="AH85" s="1191"/>
      <c r="AI85" s="1191"/>
      <c r="AJ85" s="1191"/>
      <c r="AK85" s="1191"/>
      <c r="AL85" s="1191"/>
      <c r="AM85" s="1191"/>
      <c r="AN85" s="1191"/>
      <c r="AO85" s="1191"/>
      <c r="AP85" s="1191"/>
      <c r="AQ85" s="1192"/>
      <c r="AR85" s="397">
        <f t="shared" ref="AR85:AR93" si="177">SUM(AS85:BD85)</f>
        <v>0</v>
      </c>
      <c r="AS85" s="415"/>
      <c r="AT85" s="415"/>
      <c r="AU85" s="415"/>
      <c r="AV85" s="415"/>
      <c r="AW85" s="415"/>
      <c r="AX85" s="415"/>
      <c r="AY85" s="415"/>
      <c r="AZ85" s="415"/>
      <c r="BA85" s="415"/>
      <c r="BB85" s="415"/>
      <c r="BC85" s="415"/>
      <c r="BD85" s="877"/>
      <c r="BE85" s="936">
        <f t="shared" ref="BE85:BE93" si="178">SUM(BF85:BQ85)</f>
        <v>0</v>
      </c>
      <c r="BF85" s="397"/>
      <c r="BG85" s="415"/>
      <c r="BH85" s="415"/>
      <c r="BI85" s="415"/>
      <c r="BJ85" s="415"/>
      <c r="BK85" s="415"/>
      <c r="BL85" s="415"/>
      <c r="BM85" s="415"/>
      <c r="BN85" s="1723"/>
      <c r="BO85" s="415"/>
      <c r="BP85" s="415"/>
      <c r="BQ85" s="1738"/>
      <c r="BR85" s="936">
        <f t="shared" ref="BR85:BR93" si="179">SUM(BS85:CD85)</f>
        <v>0</v>
      </c>
      <c r="BS85" s="1878">
        <f>BS87+BS90+BS92+BS93</f>
        <v>0</v>
      </c>
      <c r="BT85" s="1723">
        <f t="shared" ref="BT85:CD85" si="180">BT87+BT90+BT92+BT93</f>
        <v>0</v>
      </c>
      <c r="BU85" s="1723">
        <f t="shared" si="180"/>
        <v>0</v>
      </c>
      <c r="BV85" s="1723">
        <f t="shared" si="180"/>
        <v>0</v>
      </c>
      <c r="BW85" s="1723">
        <f t="shared" si="180"/>
        <v>0</v>
      </c>
      <c r="BX85" s="1723">
        <f t="shared" si="180"/>
        <v>0</v>
      </c>
      <c r="BY85" s="1723">
        <f t="shared" si="180"/>
        <v>0</v>
      </c>
      <c r="BZ85" s="415">
        <f t="shared" si="180"/>
        <v>0</v>
      </c>
      <c r="CA85" s="415">
        <f t="shared" si="180"/>
        <v>0</v>
      </c>
      <c r="CB85" s="415">
        <f t="shared" si="180"/>
        <v>0</v>
      </c>
      <c r="CC85" s="415">
        <f t="shared" si="180"/>
        <v>0</v>
      </c>
      <c r="CD85" s="1738">
        <f t="shared" si="180"/>
        <v>0</v>
      </c>
      <c r="CE85" s="936">
        <f t="shared" ref="CE85:CE93" si="181">SUM(CF85:CQ85)</f>
        <v>31888.825669288763</v>
      </c>
      <c r="CF85" s="1878">
        <f>CF87+CF90+CF92+CF93</f>
        <v>2624.853215098994</v>
      </c>
      <c r="CG85" s="1723">
        <f t="shared" ref="CG85:CQ85" si="182">CG87+CG90+CG92+CG93</f>
        <v>2652.8166568994579</v>
      </c>
      <c r="CH85" s="1723">
        <f t="shared" si="182"/>
        <v>2646.5073038994506</v>
      </c>
      <c r="CI85" s="1723">
        <f t="shared" si="182"/>
        <v>2660.0343172256594</v>
      </c>
      <c r="CJ85" s="1723">
        <f t="shared" si="182"/>
        <v>2656.8206206233426</v>
      </c>
      <c r="CK85" s="1723">
        <f t="shared" si="182"/>
        <v>2654.6357016555908</v>
      </c>
      <c r="CL85" s="1723">
        <f t="shared" si="182"/>
        <v>2648.1354118629451</v>
      </c>
      <c r="CM85" s="415">
        <f t="shared" si="182"/>
        <v>2663.9277222933715</v>
      </c>
      <c r="CN85" s="415">
        <f t="shared" si="182"/>
        <v>2661.5076702951301</v>
      </c>
      <c r="CO85" s="415">
        <f t="shared" si="182"/>
        <v>2675.6610932460303</v>
      </c>
      <c r="CP85" s="415">
        <f t="shared" si="182"/>
        <v>2675.0506859269576</v>
      </c>
      <c r="CQ85" s="1738">
        <f t="shared" si="182"/>
        <v>2668.8752702618281</v>
      </c>
    </row>
    <row r="86" spans="2:95" ht="17.5" hidden="1" customHeight="1">
      <c r="B86" s="3313"/>
      <c r="C86" s="3314"/>
      <c r="D86" s="201" t="s">
        <v>15</v>
      </c>
      <c r="E86" s="398">
        <f t="shared" si="174"/>
        <v>172182</v>
      </c>
      <c r="F86" s="341">
        <v>8718</v>
      </c>
      <c r="G86" s="341">
        <v>9491</v>
      </c>
      <c r="H86" s="341">
        <v>17544</v>
      </c>
      <c r="I86" s="341">
        <v>21213</v>
      </c>
      <c r="J86" s="341">
        <v>23814</v>
      </c>
      <c r="K86" s="341">
        <v>20779</v>
      </c>
      <c r="L86" s="529">
        <v>19913</v>
      </c>
      <c r="M86" s="529">
        <v>15064</v>
      </c>
      <c r="N86" s="529">
        <v>7442</v>
      </c>
      <c r="O86" s="529">
        <v>10070</v>
      </c>
      <c r="P86" s="529">
        <v>9914</v>
      </c>
      <c r="Q86" s="530">
        <v>8220</v>
      </c>
      <c r="R86" s="398">
        <f t="shared" si="175"/>
        <v>0</v>
      </c>
      <c r="S86" s="4"/>
      <c r="T86" s="4"/>
      <c r="U86" s="4"/>
      <c r="V86" s="4"/>
      <c r="W86" s="4"/>
      <c r="X86" s="4"/>
      <c r="Y86" s="529"/>
      <c r="Z86" s="529"/>
      <c r="AA86" s="529"/>
      <c r="AB86" s="529"/>
      <c r="AC86" s="529"/>
      <c r="AD86" s="530"/>
      <c r="AE86" s="398">
        <f t="shared" si="176"/>
        <v>0</v>
      </c>
      <c r="AF86" s="1193"/>
      <c r="AG86" s="1050"/>
      <c r="AH86" s="1050"/>
      <c r="AI86" s="1050"/>
      <c r="AJ86" s="1050"/>
      <c r="AK86" s="1050"/>
      <c r="AL86" s="1231"/>
      <c r="AM86" s="1231"/>
      <c r="AN86" s="1231"/>
      <c r="AO86" s="1231"/>
      <c r="AP86" s="1231"/>
      <c r="AQ86" s="1232"/>
      <c r="AR86" s="398">
        <f t="shared" si="177"/>
        <v>0</v>
      </c>
      <c r="AS86" s="879"/>
      <c r="AT86" s="879"/>
      <c r="AU86" s="879"/>
      <c r="AV86" s="879"/>
      <c r="AW86" s="879"/>
      <c r="AX86" s="879"/>
      <c r="AY86" s="899"/>
      <c r="AZ86" s="899"/>
      <c r="BA86" s="899"/>
      <c r="BB86" s="899"/>
      <c r="BC86" s="899"/>
      <c r="BD86" s="900"/>
      <c r="BE86" s="937">
        <f t="shared" si="178"/>
        <v>0</v>
      </c>
      <c r="BF86" s="957"/>
      <c r="BG86" s="879"/>
      <c r="BH86" s="879"/>
      <c r="BI86" s="879"/>
      <c r="BJ86" s="879"/>
      <c r="BK86" s="879"/>
      <c r="BL86" s="899"/>
      <c r="BM86" s="899"/>
      <c r="BN86" s="1732"/>
      <c r="BO86" s="899"/>
      <c r="BP86" s="899"/>
      <c r="BQ86" s="1747"/>
      <c r="BR86" s="937">
        <f t="shared" si="179"/>
        <v>0</v>
      </c>
      <c r="BS86" s="957"/>
      <c r="BT86" s="879"/>
      <c r="BU86" s="879"/>
      <c r="BV86" s="879"/>
      <c r="BW86" s="879"/>
      <c r="BX86" s="879"/>
      <c r="BY86" s="899"/>
      <c r="BZ86" s="899"/>
      <c r="CA86" s="1732"/>
      <c r="CB86" s="899"/>
      <c r="CC86" s="899"/>
      <c r="CD86" s="1747"/>
      <c r="CE86" s="937">
        <f t="shared" si="181"/>
        <v>0</v>
      </c>
      <c r="CF86" s="957"/>
      <c r="CG86" s="879"/>
      <c r="CH86" s="879"/>
      <c r="CI86" s="879"/>
      <c r="CJ86" s="879"/>
      <c r="CK86" s="879"/>
      <c r="CL86" s="899"/>
      <c r="CM86" s="899"/>
      <c r="CN86" s="1732"/>
      <c r="CO86" s="899"/>
      <c r="CP86" s="899"/>
      <c r="CQ86" s="1747"/>
    </row>
    <row r="87" spans="2:95" ht="17.5" customHeight="1">
      <c r="B87" s="3313"/>
      <c r="C87" s="3314"/>
      <c r="D87" s="201" t="s">
        <v>16</v>
      </c>
      <c r="E87" s="398">
        <f t="shared" si="174"/>
        <v>-61154</v>
      </c>
      <c r="F87" s="341">
        <v>-15630</v>
      </c>
      <c r="G87" s="341">
        <v>-16473</v>
      </c>
      <c r="H87" s="341">
        <v>-1725</v>
      </c>
      <c r="I87" s="341">
        <v>-9071</v>
      </c>
      <c r="J87" s="341">
        <v>2034</v>
      </c>
      <c r="K87" s="341">
        <v>-9405</v>
      </c>
      <c r="L87" s="529">
        <v>-18631</v>
      </c>
      <c r="M87" s="529">
        <v>-12604</v>
      </c>
      <c r="N87" s="529">
        <v>4634</v>
      </c>
      <c r="O87" s="529">
        <v>5604</v>
      </c>
      <c r="P87" s="529">
        <v>5568</v>
      </c>
      <c r="Q87" s="530">
        <v>4545</v>
      </c>
      <c r="R87" s="398">
        <f t="shared" si="175"/>
        <v>0</v>
      </c>
      <c r="S87" s="4"/>
      <c r="T87" s="4"/>
      <c r="U87" s="4"/>
      <c r="V87" s="4"/>
      <c r="W87" s="4"/>
      <c r="X87" s="4"/>
      <c r="Y87" s="529"/>
      <c r="Z87" s="529"/>
      <c r="AA87" s="529"/>
      <c r="AB87" s="529"/>
      <c r="AC87" s="529"/>
      <c r="AD87" s="530"/>
      <c r="AE87" s="398">
        <f t="shared" si="176"/>
        <v>0</v>
      </c>
      <c r="AF87" s="1193"/>
      <c r="AG87" s="1050"/>
      <c r="AH87" s="1050"/>
      <c r="AI87" s="1050"/>
      <c r="AJ87" s="1050"/>
      <c r="AK87" s="1050"/>
      <c r="AL87" s="1231"/>
      <c r="AM87" s="1231"/>
      <c r="AN87" s="1231"/>
      <c r="AO87" s="1231"/>
      <c r="AP87" s="1231"/>
      <c r="AQ87" s="1232"/>
      <c r="AR87" s="398">
        <f t="shared" si="177"/>
        <v>0</v>
      </c>
      <c r="AS87" s="879"/>
      <c r="AT87" s="879"/>
      <c r="AU87" s="879"/>
      <c r="AV87" s="879"/>
      <c r="AW87" s="879"/>
      <c r="AX87" s="879"/>
      <c r="AY87" s="899"/>
      <c r="AZ87" s="899"/>
      <c r="BA87" s="899"/>
      <c r="BB87" s="899"/>
      <c r="BC87" s="899"/>
      <c r="BD87" s="900"/>
      <c r="BE87" s="937">
        <f t="shared" si="178"/>
        <v>0</v>
      </c>
      <c r="BF87" s="957"/>
      <c r="BG87" s="879"/>
      <c r="BH87" s="879"/>
      <c r="BI87" s="879"/>
      <c r="BJ87" s="879"/>
      <c r="BK87" s="879"/>
      <c r="BL87" s="899"/>
      <c r="BM87" s="899"/>
      <c r="BN87" s="1732"/>
      <c r="BO87" s="899"/>
      <c r="BP87" s="899"/>
      <c r="BQ87" s="1747"/>
      <c r="BR87" s="937">
        <f t="shared" si="179"/>
        <v>0</v>
      </c>
      <c r="BS87" s="2495"/>
      <c r="BT87" s="1724"/>
      <c r="BU87" s="1724"/>
      <c r="BV87" s="1724"/>
      <c r="BW87" s="1724"/>
      <c r="BX87" s="1724"/>
      <c r="BY87" s="1732"/>
      <c r="BZ87" s="1732"/>
      <c r="CA87" s="1732"/>
      <c r="CB87" s="1732"/>
      <c r="CC87" s="1732"/>
      <c r="CD87" s="2806"/>
      <c r="CE87" s="937">
        <f t="shared" si="181"/>
        <v>25123.886258003287</v>
      </c>
      <c r="CF87" s="2495">
        <f>CD42*0.28%</f>
        <v>2072.0616000000005</v>
      </c>
      <c r="CG87" s="1724">
        <f>CF42*0.28%</f>
        <v>2077.7828161138477</v>
      </c>
      <c r="CH87" s="1724">
        <f t="shared" ref="CH87:CQ87" si="183">CG42*0.28%</f>
        <v>2073.5580198684092</v>
      </c>
      <c r="CI87" s="1724">
        <f t="shared" si="183"/>
        <v>2089.8366381180654</v>
      </c>
      <c r="CJ87" s="1724">
        <f t="shared" si="183"/>
        <v>2089.2843197866018</v>
      </c>
      <c r="CK87" s="1724">
        <f t="shared" si="183"/>
        <v>2089.6815350855122</v>
      </c>
      <c r="CL87" s="1732">
        <f t="shared" si="183"/>
        <v>2085.6861012968102</v>
      </c>
      <c r="CM87" s="1732">
        <f t="shared" si="183"/>
        <v>2103.1666339318299</v>
      </c>
      <c r="CN87" s="1732">
        <f t="shared" si="183"/>
        <v>2103.1221646663057</v>
      </c>
      <c r="CO87" s="1732">
        <f t="shared" si="183"/>
        <v>2116.5148255084182</v>
      </c>
      <c r="CP87" s="1732">
        <f t="shared" si="183"/>
        <v>2113.5225436067594</v>
      </c>
      <c r="CQ87" s="2806">
        <f t="shared" si="183"/>
        <v>2109.6690600207248</v>
      </c>
    </row>
    <row r="88" spans="2:95" ht="17.5" customHeight="1">
      <c r="B88" s="3313"/>
      <c r="C88" s="3314"/>
      <c r="D88" s="201" t="s">
        <v>575</v>
      </c>
      <c r="E88" s="398"/>
      <c r="F88" s="341"/>
      <c r="G88" s="341"/>
      <c r="H88" s="341"/>
      <c r="I88" s="341"/>
      <c r="J88" s="341"/>
      <c r="K88" s="341"/>
      <c r="L88" s="529"/>
      <c r="M88" s="529"/>
      <c r="N88" s="529"/>
      <c r="O88" s="529"/>
      <c r="P88" s="529"/>
      <c r="Q88" s="530"/>
      <c r="R88" s="398"/>
      <c r="S88" s="4"/>
      <c r="T88" s="4"/>
      <c r="U88" s="4"/>
      <c r="V88" s="4"/>
      <c r="W88" s="4"/>
      <c r="X88" s="4"/>
      <c r="Y88" s="529"/>
      <c r="Z88" s="529"/>
      <c r="AA88" s="529"/>
      <c r="AB88" s="529"/>
      <c r="AC88" s="529"/>
      <c r="AD88" s="530"/>
      <c r="AE88" s="398"/>
      <c r="AF88" s="1193"/>
      <c r="AG88" s="1050"/>
      <c r="AH88" s="1050"/>
      <c r="AI88" s="1050"/>
      <c r="AJ88" s="1050"/>
      <c r="AK88" s="1050"/>
      <c r="AL88" s="1231"/>
      <c r="AM88" s="1231"/>
      <c r="AN88" s="1231"/>
      <c r="AO88" s="1231"/>
      <c r="AP88" s="1231"/>
      <c r="AQ88" s="1232"/>
      <c r="AR88" s="398"/>
      <c r="AS88" s="879"/>
      <c r="AT88" s="879"/>
      <c r="AU88" s="879"/>
      <c r="AV88" s="879"/>
      <c r="AW88" s="879"/>
      <c r="AX88" s="879"/>
      <c r="AY88" s="899"/>
      <c r="AZ88" s="899"/>
      <c r="BA88" s="899"/>
      <c r="BB88" s="899"/>
      <c r="BC88" s="899"/>
      <c r="BD88" s="900"/>
      <c r="BE88" s="937"/>
      <c r="BF88" s="957"/>
      <c r="BG88" s="879"/>
      <c r="BH88" s="879"/>
      <c r="BI88" s="879"/>
      <c r="BJ88" s="879"/>
      <c r="BK88" s="879"/>
      <c r="BL88" s="899"/>
      <c r="BM88" s="899"/>
      <c r="BN88" s="1732"/>
      <c r="BO88" s="899"/>
      <c r="BP88" s="899"/>
      <c r="BQ88" s="1747"/>
      <c r="BR88" s="937">
        <f t="shared" si="179"/>
        <v>0</v>
      </c>
      <c r="BS88" s="2495"/>
      <c r="BT88" s="1724"/>
      <c r="BU88" s="1724"/>
      <c r="BV88" s="1724"/>
      <c r="BW88" s="1724"/>
      <c r="BX88" s="1724"/>
      <c r="BY88" s="1732"/>
      <c r="BZ88" s="1732"/>
      <c r="CA88" s="1732"/>
      <c r="CB88" s="1732"/>
      <c r="CC88" s="1732"/>
      <c r="CD88" s="2806"/>
      <c r="CE88" s="937">
        <f t="shared" si="181"/>
        <v>681.69732042307589</v>
      </c>
      <c r="CF88" s="2495">
        <f t="shared" ref="CF88" si="184">CD43*0.28%</f>
        <v>58.833600000000011</v>
      </c>
      <c r="CG88" s="1724">
        <f>CF43*0.28%</f>
        <v>58.467437845129894</v>
      </c>
      <c r="CH88" s="1724">
        <f t="shared" ref="CH88:CQ88" si="185">CG43*0.28%</f>
        <v>57.939716537979102</v>
      </c>
      <c r="CI88" s="1724">
        <f t="shared" si="185"/>
        <v>57.978045398379336</v>
      </c>
      <c r="CJ88" s="1724">
        <f t="shared" si="185"/>
        <v>57.447446520693603</v>
      </c>
      <c r="CK88" s="1724">
        <f t="shared" si="185"/>
        <v>56.97986048082862</v>
      </c>
      <c r="CL88" s="1732">
        <f t="shared" si="185"/>
        <v>56.496882163746861</v>
      </c>
      <c r="CM88" s="1732">
        <f t="shared" si="185"/>
        <v>56.458340258146933</v>
      </c>
      <c r="CN88" s="1732">
        <f t="shared" si="185"/>
        <v>55.958103629629953</v>
      </c>
      <c r="CO88" s="1732">
        <f t="shared" si="185"/>
        <v>55.558729238527903</v>
      </c>
      <c r="CP88" s="1732">
        <f t="shared" si="185"/>
        <v>55.077397286432443</v>
      </c>
      <c r="CQ88" s="2806">
        <f t="shared" si="185"/>
        <v>54.501761063581171</v>
      </c>
    </row>
    <row r="89" spans="2:95" ht="17.5" hidden="1" customHeight="1">
      <c r="B89" s="3313"/>
      <c r="C89" s="3314"/>
      <c r="D89" s="201" t="s">
        <v>245</v>
      </c>
      <c r="E89" s="398">
        <f t="shared" si="174"/>
        <v>6221</v>
      </c>
      <c r="F89" s="341">
        <v>79</v>
      </c>
      <c r="G89" s="341">
        <v>700</v>
      </c>
      <c r="H89" s="341">
        <v>218</v>
      </c>
      <c r="I89" s="341">
        <v>424</v>
      </c>
      <c r="J89" s="341">
        <v>672</v>
      </c>
      <c r="K89" s="341">
        <v>774</v>
      </c>
      <c r="L89" s="529">
        <v>689</v>
      </c>
      <c r="M89" s="529">
        <v>388</v>
      </c>
      <c r="N89" s="529">
        <v>536</v>
      </c>
      <c r="O89" s="529">
        <v>545</v>
      </c>
      <c r="P89" s="529">
        <v>576</v>
      </c>
      <c r="Q89" s="530">
        <v>620</v>
      </c>
      <c r="R89" s="398">
        <f t="shared" si="175"/>
        <v>0</v>
      </c>
      <c r="S89" s="4"/>
      <c r="T89" s="4"/>
      <c r="U89" s="4"/>
      <c r="V89" s="4"/>
      <c r="W89" s="4"/>
      <c r="X89" s="4"/>
      <c r="Y89" s="529"/>
      <c r="Z89" s="529"/>
      <c r="AA89" s="529"/>
      <c r="AB89" s="529"/>
      <c r="AC89" s="529"/>
      <c r="AD89" s="530"/>
      <c r="AE89" s="398">
        <f t="shared" si="176"/>
        <v>0</v>
      </c>
      <c r="AF89" s="1193"/>
      <c r="AG89" s="1050"/>
      <c r="AH89" s="1050"/>
      <c r="AI89" s="1050"/>
      <c r="AJ89" s="1050"/>
      <c r="AK89" s="1050"/>
      <c r="AL89" s="1231"/>
      <c r="AM89" s="1231"/>
      <c r="AN89" s="1231"/>
      <c r="AO89" s="1231"/>
      <c r="AP89" s="1231"/>
      <c r="AQ89" s="1232"/>
      <c r="AR89" s="398">
        <f t="shared" si="177"/>
        <v>0</v>
      </c>
      <c r="AS89" s="879"/>
      <c r="AT89" s="879"/>
      <c r="AU89" s="879"/>
      <c r="AV89" s="879"/>
      <c r="AW89" s="879"/>
      <c r="AX89" s="879"/>
      <c r="AY89" s="899"/>
      <c r="AZ89" s="899"/>
      <c r="BA89" s="899"/>
      <c r="BB89" s="899"/>
      <c r="BC89" s="899"/>
      <c r="BD89" s="900"/>
      <c r="BE89" s="937">
        <f t="shared" si="178"/>
        <v>0</v>
      </c>
      <c r="BF89" s="957"/>
      <c r="BG89" s="879"/>
      <c r="BH89" s="879"/>
      <c r="BI89" s="879"/>
      <c r="BJ89" s="879"/>
      <c r="BK89" s="879"/>
      <c r="BL89" s="899"/>
      <c r="BM89" s="899"/>
      <c r="BN89" s="1732"/>
      <c r="BO89" s="899"/>
      <c r="BP89" s="899"/>
      <c r="BQ89" s="1747"/>
      <c r="BR89" s="937">
        <f t="shared" si="179"/>
        <v>0</v>
      </c>
      <c r="BS89" s="2495"/>
      <c r="BT89" s="1724"/>
      <c r="BU89" s="1724"/>
      <c r="BV89" s="1724"/>
      <c r="BW89" s="1724"/>
      <c r="BX89" s="1724"/>
      <c r="BY89" s="1732"/>
      <c r="BZ89" s="1732"/>
      <c r="CA89" s="1732"/>
      <c r="CB89" s="1732"/>
      <c r="CC89" s="1732"/>
      <c r="CD89" s="2806"/>
      <c r="CE89" s="937">
        <f t="shared" si="181"/>
        <v>0</v>
      </c>
      <c r="CF89" s="2495"/>
      <c r="CG89" s="1724"/>
      <c r="CH89" s="1724"/>
      <c r="CI89" s="1724"/>
      <c r="CJ89" s="1724"/>
      <c r="CK89" s="1724"/>
      <c r="CL89" s="1732"/>
      <c r="CM89" s="1732"/>
      <c r="CN89" s="1732"/>
      <c r="CO89" s="1732"/>
      <c r="CP89" s="1732"/>
      <c r="CQ89" s="2806"/>
    </row>
    <row r="90" spans="2:95" ht="17.5" customHeight="1">
      <c r="B90" s="3313"/>
      <c r="C90" s="3314"/>
      <c r="D90" s="201" t="s">
        <v>681</v>
      </c>
      <c r="E90" s="398">
        <f t="shared" si="174"/>
        <v>-29718</v>
      </c>
      <c r="F90" s="341">
        <v>-3286</v>
      </c>
      <c r="G90" s="341">
        <v>-6781</v>
      </c>
      <c r="H90" s="341">
        <v>-3357</v>
      </c>
      <c r="I90" s="341">
        <v>-163</v>
      </c>
      <c r="J90" s="341">
        <v>-6832</v>
      </c>
      <c r="K90" s="341">
        <v>-3133</v>
      </c>
      <c r="L90" s="529">
        <v>-4523</v>
      </c>
      <c r="M90" s="529">
        <v>-6948</v>
      </c>
      <c r="N90" s="529">
        <v>909</v>
      </c>
      <c r="O90" s="529">
        <v>1396</v>
      </c>
      <c r="P90" s="529">
        <v>1425</v>
      </c>
      <c r="Q90" s="530">
        <v>1575</v>
      </c>
      <c r="R90" s="398">
        <f t="shared" si="175"/>
        <v>0</v>
      </c>
      <c r="S90" s="4"/>
      <c r="T90" s="4"/>
      <c r="U90" s="4"/>
      <c r="V90" s="4"/>
      <c r="W90" s="4"/>
      <c r="X90" s="4"/>
      <c r="Y90" s="529"/>
      <c r="Z90" s="529"/>
      <c r="AA90" s="529"/>
      <c r="AB90" s="529"/>
      <c r="AC90" s="529"/>
      <c r="AD90" s="530"/>
      <c r="AE90" s="398">
        <f t="shared" si="176"/>
        <v>0</v>
      </c>
      <c r="AF90" s="1193"/>
      <c r="AG90" s="1050"/>
      <c r="AH90" s="1050"/>
      <c r="AI90" s="1050"/>
      <c r="AJ90" s="1050"/>
      <c r="AK90" s="1050"/>
      <c r="AL90" s="1231"/>
      <c r="AM90" s="1231"/>
      <c r="AN90" s="1231"/>
      <c r="AO90" s="1231"/>
      <c r="AP90" s="1231"/>
      <c r="AQ90" s="1232"/>
      <c r="AR90" s="398">
        <f t="shared" si="177"/>
        <v>0</v>
      </c>
      <c r="AS90" s="879"/>
      <c r="AT90" s="879"/>
      <c r="AU90" s="879"/>
      <c r="AV90" s="879"/>
      <c r="AW90" s="879"/>
      <c r="AX90" s="879"/>
      <c r="AY90" s="899"/>
      <c r="AZ90" s="899"/>
      <c r="BA90" s="899"/>
      <c r="BB90" s="899"/>
      <c r="BC90" s="899"/>
      <c r="BD90" s="900"/>
      <c r="BE90" s="937">
        <f t="shared" si="178"/>
        <v>0</v>
      </c>
      <c r="BF90" s="957"/>
      <c r="BG90" s="879"/>
      <c r="BH90" s="879"/>
      <c r="BI90" s="879"/>
      <c r="BJ90" s="879"/>
      <c r="BK90" s="879"/>
      <c r="BL90" s="899"/>
      <c r="BM90" s="899"/>
      <c r="BN90" s="1732"/>
      <c r="BO90" s="899"/>
      <c r="BP90" s="899"/>
      <c r="BQ90" s="1747"/>
      <c r="BR90" s="937">
        <f t="shared" si="179"/>
        <v>0</v>
      </c>
      <c r="BS90" s="2495"/>
      <c r="BT90" s="1724"/>
      <c r="BU90" s="1724"/>
      <c r="BV90" s="1724"/>
      <c r="BW90" s="1724"/>
      <c r="BX90" s="1724"/>
      <c r="BY90" s="1732"/>
      <c r="BZ90" s="1732"/>
      <c r="CA90" s="1732"/>
      <c r="CB90" s="1732"/>
      <c r="CC90" s="1732"/>
      <c r="CD90" s="2806"/>
      <c r="CE90" s="937">
        <f t="shared" si="181"/>
        <v>2254.6609700293084</v>
      </c>
      <c r="CF90" s="2495">
        <f>CD45*0.003</f>
        <v>212.85300000000001</v>
      </c>
      <c r="CG90" s="1724">
        <f t="shared" ref="CG90" si="186">CF45*0.003</f>
        <v>207.95738099999997</v>
      </c>
      <c r="CH90" s="1724">
        <f t="shared" ref="CH90:CQ90" si="187">CG45*0.003</f>
        <v>203.17436123699997</v>
      </c>
      <c r="CI90" s="1724">
        <f t="shared" si="187"/>
        <v>198.50135092854896</v>
      </c>
      <c r="CJ90" s="1724">
        <f t="shared" si="187"/>
        <v>193.93581985719231</v>
      </c>
      <c r="CK90" s="1724">
        <f t="shared" si="187"/>
        <v>189.47529600047687</v>
      </c>
      <c r="CL90" s="1732">
        <f t="shared" si="187"/>
        <v>185.11736419246591</v>
      </c>
      <c r="CM90" s="1732">
        <f t="shared" si="187"/>
        <v>180.85966481603919</v>
      </c>
      <c r="CN90" s="1732">
        <f t="shared" si="187"/>
        <v>176.69989252527031</v>
      </c>
      <c r="CO90" s="1732">
        <f t="shared" si="187"/>
        <v>172.63579499718909</v>
      </c>
      <c r="CP90" s="1732">
        <f t="shared" si="187"/>
        <v>168.66517171225374</v>
      </c>
      <c r="CQ90" s="2806">
        <f t="shared" si="187"/>
        <v>164.78587276287192</v>
      </c>
    </row>
    <row r="91" spans="2:95" ht="17.5" hidden="1" customHeight="1">
      <c r="B91" s="3313"/>
      <c r="C91" s="3314"/>
      <c r="D91" s="201" t="s">
        <v>333</v>
      </c>
      <c r="E91" s="398">
        <f t="shared" si="174"/>
        <v>29475</v>
      </c>
      <c r="F91" s="341">
        <v>3573</v>
      </c>
      <c r="G91" s="341">
        <v>2457</v>
      </c>
      <c r="H91" s="341">
        <v>3523</v>
      </c>
      <c r="I91" s="341">
        <v>3730</v>
      </c>
      <c r="J91" s="341">
        <v>3759</v>
      </c>
      <c r="K91" s="341">
        <v>3582</v>
      </c>
      <c r="L91" s="2472">
        <v>4086</v>
      </c>
      <c r="M91" s="2472">
        <v>3068</v>
      </c>
      <c r="N91" s="2472">
        <v>446</v>
      </c>
      <c r="O91" s="2472">
        <v>484</v>
      </c>
      <c r="P91" s="2472">
        <v>383</v>
      </c>
      <c r="Q91" s="2473">
        <v>384</v>
      </c>
      <c r="R91" s="398">
        <f t="shared" si="175"/>
        <v>0</v>
      </c>
      <c r="S91" s="4"/>
      <c r="T91" s="4"/>
      <c r="U91" s="4"/>
      <c r="V91" s="4"/>
      <c r="W91" s="4"/>
      <c r="X91" s="4"/>
      <c r="Y91" s="2472"/>
      <c r="Z91" s="2472"/>
      <c r="AA91" s="2472"/>
      <c r="AB91" s="2472"/>
      <c r="AC91" s="2472"/>
      <c r="AD91" s="2473"/>
      <c r="AE91" s="398">
        <f t="shared" si="176"/>
        <v>0</v>
      </c>
      <c r="AF91" s="1193"/>
      <c r="AG91" s="1050"/>
      <c r="AH91" s="1050"/>
      <c r="AI91" s="1050"/>
      <c r="AJ91" s="1050"/>
      <c r="AK91" s="1050"/>
      <c r="AL91" s="2474"/>
      <c r="AM91" s="2474"/>
      <c r="AN91" s="2474"/>
      <c r="AO91" s="2474"/>
      <c r="AP91" s="2474"/>
      <c r="AQ91" s="2475"/>
      <c r="AR91" s="398">
        <f t="shared" si="177"/>
        <v>0</v>
      </c>
      <c r="AS91" s="879"/>
      <c r="AT91" s="879"/>
      <c r="AU91" s="879"/>
      <c r="AV91" s="879"/>
      <c r="AW91" s="879"/>
      <c r="AX91" s="879"/>
      <c r="AY91" s="2476"/>
      <c r="AZ91" s="2476"/>
      <c r="BA91" s="2476"/>
      <c r="BB91" s="2476"/>
      <c r="BC91" s="2476"/>
      <c r="BD91" s="2477"/>
      <c r="BE91" s="937">
        <f t="shared" si="178"/>
        <v>0</v>
      </c>
      <c r="BF91" s="957"/>
      <c r="BG91" s="879"/>
      <c r="BH91" s="879"/>
      <c r="BI91" s="879"/>
      <c r="BJ91" s="879"/>
      <c r="BK91" s="879"/>
      <c r="BL91" s="2476"/>
      <c r="BM91" s="2476"/>
      <c r="BN91" s="2478"/>
      <c r="BO91" s="2476"/>
      <c r="BP91" s="2476"/>
      <c r="BQ91" s="2479"/>
      <c r="BR91" s="937">
        <f t="shared" si="179"/>
        <v>0</v>
      </c>
      <c r="BS91" s="2495"/>
      <c r="BT91" s="1724"/>
      <c r="BU91" s="1724"/>
      <c r="BV91" s="1724"/>
      <c r="BW91" s="1724"/>
      <c r="BX91" s="1724"/>
      <c r="BY91" s="2478"/>
      <c r="BZ91" s="2478"/>
      <c r="CA91" s="2478"/>
      <c r="CB91" s="2478"/>
      <c r="CC91" s="2478"/>
      <c r="CD91" s="2807"/>
      <c r="CE91" s="937">
        <f t="shared" si="181"/>
        <v>0</v>
      </c>
      <c r="CF91" s="2495"/>
      <c r="CG91" s="1724"/>
      <c r="CH91" s="1724"/>
      <c r="CI91" s="1724"/>
      <c r="CJ91" s="1724"/>
      <c r="CK91" s="1724"/>
      <c r="CL91" s="2478"/>
      <c r="CM91" s="2478"/>
      <c r="CN91" s="2478"/>
      <c r="CO91" s="2478"/>
      <c r="CP91" s="2478"/>
      <c r="CQ91" s="2807"/>
    </row>
    <row r="92" spans="2:95" ht="17.5" customHeight="1">
      <c r="B92" s="3313"/>
      <c r="C92" s="3314"/>
      <c r="D92" s="201" t="s">
        <v>248</v>
      </c>
      <c r="E92" s="398">
        <f t="shared" si="174"/>
        <v>-14265</v>
      </c>
      <c r="F92" s="341">
        <v>-5943</v>
      </c>
      <c r="G92" s="341">
        <v>-8086</v>
      </c>
      <c r="H92" s="341">
        <v>-2493</v>
      </c>
      <c r="I92" s="341">
        <v>-579</v>
      </c>
      <c r="J92" s="341">
        <v>-4</v>
      </c>
      <c r="K92" s="341">
        <v>-439</v>
      </c>
      <c r="L92" s="2480">
        <v>-4880</v>
      </c>
      <c r="M92" s="2480">
        <v>-8969</v>
      </c>
      <c r="N92" s="2480">
        <v>1362</v>
      </c>
      <c r="O92" s="2480">
        <v>6964</v>
      </c>
      <c r="P92" s="2480">
        <v>6565</v>
      </c>
      <c r="Q92" s="2481">
        <v>2237</v>
      </c>
      <c r="R92" s="398">
        <f t="shared" si="175"/>
        <v>0</v>
      </c>
      <c r="S92" s="4"/>
      <c r="T92" s="4"/>
      <c r="U92" s="4"/>
      <c r="V92" s="4"/>
      <c r="W92" s="4"/>
      <c r="X92" s="4"/>
      <c r="Y92" s="529"/>
      <c r="Z92" s="529"/>
      <c r="AA92" s="529"/>
      <c r="AB92" s="529"/>
      <c r="AC92" s="529"/>
      <c r="AD92" s="530"/>
      <c r="AE92" s="398">
        <f t="shared" si="176"/>
        <v>0</v>
      </c>
      <c r="AF92" s="1193"/>
      <c r="AG92" s="1050"/>
      <c r="AH92" s="1050"/>
      <c r="AI92" s="1050"/>
      <c r="AJ92" s="1050"/>
      <c r="AK92" s="1050"/>
      <c r="AL92" s="1231"/>
      <c r="AM92" s="1231"/>
      <c r="AN92" s="1231"/>
      <c r="AO92" s="1231"/>
      <c r="AP92" s="1231"/>
      <c r="AQ92" s="1232"/>
      <c r="AR92" s="398">
        <f t="shared" si="177"/>
        <v>0</v>
      </c>
      <c r="AS92" s="879"/>
      <c r="AT92" s="879"/>
      <c r="AU92" s="879"/>
      <c r="AV92" s="879"/>
      <c r="AW92" s="879"/>
      <c r="AX92" s="879"/>
      <c r="AY92" s="899"/>
      <c r="AZ92" s="899"/>
      <c r="BA92" s="899"/>
      <c r="BB92" s="899"/>
      <c r="BC92" s="899"/>
      <c r="BD92" s="900"/>
      <c r="BE92" s="937">
        <f t="shared" si="178"/>
        <v>0</v>
      </c>
      <c r="BF92" s="957"/>
      <c r="BG92" s="879"/>
      <c r="BH92" s="879"/>
      <c r="BI92" s="879"/>
      <c r="BJ92" s="879"/>
      <c r="BK92" s="879"/>
      <c r="BL92" s="899"/>
      <c r="BM92" s="899"/>
      <c r="BN92" s="1732"/>
      <c r="BO92" s="899"/>
      <c r="BP92" s="899"/>
      <c r="BQ92" s="1747"/>
      <c r="BR92" s="937">
        <f t="shared" si="179"/>
        <v>0</v>
      </c>
      <c r="BS92" s="2495"/>
      <c r="BT92" s="1724"/>
      <c r="BU92" s="1724"/>
      <c r="BV92" s="1724"/>
      <c r="BW92" s="1724"/>
      <c r="BX92" s="1724"/>
      <c r="BY92" s="1732"/>
      <c r="BZ92" s="1732"/>
      <c r="CA92" s="1732"/>
      <c r="CB92" s="1732"/>
      <c r="CC92" s="1732"/>
      <c r="CD92" s="2806"/>
      <c r="CE92" s="937">
        <f t="shared" si="181"/>
        <v>1592.2584001051619</v>
      </c>
      <c r="CF92" s="2495">
        <f>CD47*0.28%</f>
        <v>120.36261509899336</v>
      </c>
      <c r="CG92" s="1724">
        <f>CF47*0.003</f>
        <v>130.01174191320692</v>
      </c>
      <c r="CH92" s="1724">
        <f t="shared" ref="CH92:CQ93" si="188">CG47*0.003</f>
        <v>130.99410005057612</v>
      </c>
      <c r="CI92" s="1724">
        <f t="shared" si="188"/>
        <v>131.22163754376305</v>
      </c>
      <c r="CJ92" s="1724">
        <f t="shared" si="188"/>
        <v>131.45455618070685</v>
      </c>
      <c r="CK92" s="1724">
        <f t="shared" si="188"/>
        <v>131.68403561426172</v>
      </c>
      <c r="CL92" s="1732">
        <f t="shared" si="188"/>
        <v>131.91022714686903</v>
      </c>
      <c r="CM92" s="1732">
        <f t="shared" si="188"/>
        <v>132.87455171311444</v>
      </c>
      <c r="CN92" s="1732">
        <f t="shared" si="188"/>
        <v>133.07503004326247</v>
      </c>
      <c r="CO92" s="1732">
        <f t="shared" si="188"/>
        <v>136.33733341933845</v>
      </c>
      <c r="CP92" s="1732">
        <f t="shared" si="188"/>
        <v>141.14814740843318</v>
      </c>
      <c r="CQ92" s="2806">
        <f t="shared" si="188"/>
        <v>141.18442397263632</v>
      </c>
    </row>
    <row r="93" spans="2:95" ht="17.5" customHeight="1">
      <c r="B93" s="3313"/>
      <c r="C93" s="3314"/>
      <c r="D93" s="203" t="s">
        <v>57</v>
      </c>
      <c r="E93" s="399">
        <f t="shared" si="174"/>
        <v>2941</v>
      </c>
      <c r="F93" s="340">
        <v>-431</v>
      </c>
      <c r="G93" s="340">
        <v>-2612</v>
      </c>
      <c r="H93" s="340">
        <v>-97</v>
      </c>
      <c r="I93" s="340">
        <v>273</v>
      </c>
      <c r="J93" s="340">
        <v>549</v>
      </c>
      <c r="K93" s="340">
        <v>-390</v>
      </c>
      <c r="L93" s="531">
        <v>485</v>
      </c>
      <c r="M93" s="531">
        <v>-2100</v>
      </c>
      <c r="N93" s="531">
        <v>1952</v>
      </c>
      <c r="O93" s="531">
        <v>1638</v>
      </c>
      <c r="P93" s="531">
        <v>1854</v>
      </c>
      <c r="Q93" s="532">
        <v>1820</v>
      </c>
      <c r="R93" s="399">
        <f t="shared" si="175"/>
        <v>0</v>
      </c>
      <c r="S93" s="7"/>
      <c r="T93" s="7"/>
      <c r="U93" s="7"/>
      <c r="V93" s="7"/>
      <c r="W93" s="7"/>
      <c r="X93" s="7"/>
      <c r="Y93" s="531"/>
      <c r="Z93" s="531"/>
      <c r="AA93" s="531"/>
      <c r="AB93" s="531"/>
      <c r="AC93" s="531"/>
      <c r="AD93" s="532"/>
      <c r="AE93" s="399">
        <f t="shared" si="176"/>
        <v>0</v>
      </c>
      <c r="AF93" s="1195"/>
      <c r="AG93" s="1196"/>
      <c r="AH93" s="1196"/>
      <c r="AI93" s="1196"/>
      <c r="AJ93" s="1196"/>
      <c r="AK93" s="1196"/>
      <c r="AL93" s="1233"/>
      <c r="AM93" s="1233"/>
      <c r="AN93" s="1233"/>
      <c r="AO93" s="1233"/>
      <c r="AP93" s="1233"/>
      <c r="AQ93" s="1234"/>
      <c r="AR93" s="399">
        <f t="shared" si="177"/>
        <v>0</v>
      </c>
      <c r="AS93" s="883"/>
      <c r="AT93" s="883"/>
      <c r="AU93" s="883"/>
      <c r="AV93" s="883"/>
      <c r="AW93" s="883"/>
      <c r="AX93" s="883"/>
      <c r="AY93" s="901"/>
      <c r="AZ93" s="901"/>
      <c r="BA93" s="901"/>
      <c r="BB93" s="901"/>
      <c r="BC93" s="901"/>
      <c r="BD93" s="902"/>
      <c r="BE93" s="940">
        <f t="shared" si="178"/>
        <v>0</v>
      </c>
      <c r="BF93" s="959"/>
      <c r="BG93" s="883"/>
      <c r="BH93" s="883"/>
      <c r="BI93" s="883"/>
      <c r="BJ93" s="883"/>
      <c r="BK93" s="883"/>
      <c r="BL93" s="901"/>
      <c r="BM93" s="901"/>
      <c r="BN93" s="1733"/>
      <c r="BO93" s="901"/>
      <c r="BP93" s="901"/>
      <c r="BQ93" s="1748"/>
      <c r="BR93" s="940">
        <f t="shared" si="179"/>
        <v>0</v>
      </c>
      <c r="BS93" s="2496"/>
      <c r="BT93" s="1725"/>
      <c r="BU93" s="1725"/>
      <c r="BV93" s="1725"/>
      <c r="BW93" s="1725"/>
      <c r="BX93" s="1725"/>
      <c r="BY93" s="1733"/>
      <c r="BZ93" s="1733"/>
      <c r="CA93" s="1733"/>
      <c r="CB93" s="1733"/>
      <c r="CC93" s="1733"/>
      <c r="CD93" s="2808"/>
      <c r="CE93" s="940">
        <f t="shared" si="181"/>
        <v>2918.0200411510023</v>
      </c>
      <c r="CF93" s="2496">
        <f t="shared" ref="CF93" si="189">CD48*0.28%</f>
        <v>219.57600000000002</v>
      </c>
      <c r="CG93" s="1725">
        <f t="shared" ref="CG93" si="190">CF48*0.003</f>
        <v>237.06471787240281</v>
      </c>
      <c r="CH93" s="1725">
        <f t="shared" si="188"/>
        <v>238.78082274346514</v>
      </c>
      <c r="CI93" s="1725">
        <f t="shared" si="188"/>
        <v>240.4746906352822</v>
      </c>
      <c r="CJ93" s="1725">
        <f t="shared" si="188"/>
        <v>242.1459247988418</v>
      </c>
      <c r="CK93" s="1725">
        <f t="shared" si="188"/>
        <v>243.79483495534006</v>
      </c>
      <c r="CL93" s="1733">
        <f t="shared" si="188"/>
        <v>245.42171922679975</v>
      </c>
      <c r="CM93" s="1733">
        <f t="shared" si="188"/>
        <v>247.02687183238763</v>
      </c>
      <c r="CN93" s="1733">
        <f t="shared" si="188"/>
        <v>248.6105830602917</v>
      </c>
      <c r="CO93" s="1733">
        <f t="shared" si="188"/>
        <v>250.17313932108473</v>
      </c>
      <c r="CP93" s="1733">
        <f t="shared" si="188"/>
        <v>251.71482319951176</v>
      </c>
      <c r="CQ93" s="2808">
        <f t="shared" si="188"/>
        <v>253.23591350559485</v>
      </c>
    </row>
    <row r="94" spans="2:95" ht="17.5" hidden="1" customHeight="1">
      <c r="B94" s="3313"/>
      <c r="C94" s="3314"/>
      <c r="D94" s="201" t="s">
        <v>250</v>
      </c>
      <c r="E94" s="398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25"/>
      <c r="R94" s="398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25"/>
      <c r="AE94" s="398"/>
      <c r="AF94" s="1217"/>
      <c r="AG94" s="1050"/>
      <c r="AH94" s="1050"/>
      <c r="AI94" s="1050"/>
      <c r="AJ94" s="1050"/>
      <c r="AK94" s="1050"/>
      <c r="AL94" s="1050"/>
      <c r="AM94" s="1050"/>
      <c r="AN94" s="1050"/>
      <c r="AO94" s="1050"/>
      <c r="AP94" s="1050"/>
      <c r="AQ94" s="1109"/>
      <c r="AR94" s="398"/>
      <c r="AS94" s="879"/>
      <c r="AT94" s="879"/>
      <c r="AU94" s="879"/>
      <c r="AV94" s="879"/>
      <c r="AW94" s="879"/>
      <c r="AX94" s="879"/>
      <c r="AY94" s="879"/>
      <c r="AZ94" s="879"/>
      <c r="BA94" s="879"/>
      <c r="BB94" s="879"/>
      <c r="BC94" s="879"/>
      <c r="BD94" s="881"/>
      <c r="BE94" s="937"/>
      <c r="BF94" s="957"/>
      <c r="BG94" s="879"/>
      <c r="BH94" s="879"/>
      <c r="BI94" s="879"/>
      <c r="BJ94" s="879"/>
      <c r="BK94" s="879"/>
      <c r="BL94" s="879"/>
      <c r="BM94" s="879"/>
      <c r="BN94" s="1724"/>
      <c r="BO94" s="879"/>
      <c r="BP94" s="879"/>
      <c r="BQ94" s="1668"/>
      <c r="BR94" s="937"/>
      <c r="BS94" s="957"/>
      <c r="BT94" s="879"/>
      <c r="BU94" s="879"/>
      <c r="BV94" s="879"/>
      <c r="BW94" s="879"/>
      <c r="BX94" s="879"/>
      <c r="BY94" s="879"/>
      <c r="BZ94" s="879"/>
      <c r="CA94" s="1724"/>
      <c r="CB94" s="879"/>
      <c r="CC94" s="879"/>
      <c r="CD94" s="1668"/>
      <c r="CE94" s="937"/>
      <c r="CF94" s="957"/>
      <c r="CG94" s="879"/>
      <c r="CH94" s="879"/>
      <c r="CI94" s="879"/>
      <c r="CJ94" s="879"/>
      <c r="CK94" s="879"/>
      <c r="CL94" s="879"/>
      <c r="CM94" s="879"/>
      <c r="CN94" s="1724"/>
      <c r="CO94" s="879"/>
      <c r="CP94" s="879"/>
      <c r="CQ94" s="1668"/>
    </row>
    <row r="95" spans="2:95" ht="17.5" hidden="1" customHeight="1">
      <c r="B95" s="3315"/>
      <c r="C95" s="3316"/>
      <c r="D95" s="215" t="s">
        <v>202</v>
      </c>
      <c r="E95" s="400"/>
      <c r="F95" s="216"/>
      <c r="G95" s="216"/>
      <c r="H95" s="216"/>
      <c r="I95" s="216"/>
      <c r="J95" s="216"/>
      <c r="K95" s="216"/>
      <c r="L95" s="216"/>
      <c r="M95" s="216"/>
      <c r="N95" s="216"/>
      <c r="O95" s="216"/>
      <c r="P95" s="216"/>
      <c r="Q95" s="219"/>
      <c r="R95" s="400"/>
      <c r="S95" s="216"/>
      <c r="T95" s="216"/>
      <c r="U95" s="216"/>
      <c r="V95" s="216"/>
      <c r="W95" s="216"/>
      <c r="X95" s="216"/>
      <c r="Y95" s="216"/>
      <c r="Z95" s="216"/>
      <c r="AA95" s="216"/>
      <c r="AB95" s="216"/>
      <c r="AC95" s="216"/>
      <c r="AD95" s="219"/>
      <c r="AE95" s="400"/>
      <c r="AF95" s="1218"/>
      <c r="AG95" s="1200"/>
      <c r="AH95" s="1200"/>
      <c r="AI95" s="1200"/>
      <c r="AJ95" s="1200"/>
      <c r="AK95" s="1200"/>
      <c r="AL95" s="1200"/>
      <c r="AM95" s="1200"/>
      <c r="AN95" s="1200"/>
      <c r="AO95" s="1200"/>
      <c r="AP95" s="1200"/>
      <c r="AQ95" s="1202"/>
      <c r="AR95" s="400"/>
      <c r="AS95" s="889"/>
      <c r="AT95" s="889"/>
      <c r="AU95" s="889"/>
      <c r="AV95" s="889"/>
      <c r="AW95" s="889"/>
      <c r="AX95" s="889"/>
      <c r="AY95" s="889"/>
      <c r="AZ95" s="889"/>
      <c r="BA95" s="889"/>
      <c r="BB95" s="889"/>
      <c r="BC95" s="889"/>
      <c r="BD95" s="890"/>
      <c r="BE95" s="941"/>
      <c r="BF95" s="958"/>
      <c r="BG95" s="889"/>
      <c r="BH95" s="889"/>
      <c r="BI95" s="889"/>
      <c r="BJ95" s="889"/>
      <c r="BK95" s="889"/>
      <c r="BL95" s="889"/>
      <c r="BM95" s="889"/>
      <c r="BN95" s="1727"/>
      <c r="BO95" s="889"/>
      <c r="BP95" s="889"/>
      <c r="BQ95" s="1742"/>
      <c r="BR95" s="941"/>
      <c r="BS95" s="958"/>
      <c r="BT95" s="889"/>
      <c r="BU95" s="889"/>
      <c r="BV95" s="889"/>
      <c r="BW95" s="889"/>
      <c r="BX95" s="889"/>
      <c r="BY95" s="889"/>
      <c r="BZ95" s="889"/>
      <c r="CA95" s="1727"/>
      <c r="CB95" s="889"/>
      <c r="CC95" s="889"/>
      <c r="CD95" s="1742"/>
      <c r="CE95" s="941"/>
      <c r="CF95" s="958"/>
      <c r="CG95" s="889"/>
      <c r="CH95" s="889"/>
      <c r="CI95" s="889"/>
      <c r="CJ95" s="889"/>
      <c r="CK95" s="889"/>
      <c r="CL95" s="889"/>
      <c r="CM95" s="889"/>
      <c r="CN95" s="1727"/>
      <c r="CO95" s="889"/>
      <c r="CP95" s="889"/>
      <c r="CQ95" s="1742"/>
    </row>
    <row r="96" spans="2:95" ht="16.5" customHeight="1">
      <c r="B96" s="3311" t="s">
        <v>228</v>
      </c>
      <c r="C96" s="3312"/>
      <c r="D96" s="210" t="s">
        <v>14</v>
      </c>
      <c r="E96" s="406"/>
      <c r="F96" s="220"/>
      <c r="G96" s="220"/>
      <c r="H96" s="220"/>
      <c r="I96" s="220"/>
      <c r="J96" s="220"/>
      <c r="K96" s="220"/>
      <c r="L96" s="220"/>
      <c r="M96" s="220"/>
      <c r="N96" s="220"/>
      <c r="O96" s="220"/>
      <c r="P96" s="220"/>
      <c r="Q96" s="221"/>
      <c r="R96" s="406"/>
      <c r="S96" s="220"/>
      <c r="T96" s="220"/>
      <c r="U96" s="220"/>
      <c r="V96" s="220"/>
      <c r="W96" s="220"/>
      <c r="X96" s="220"/>
      <c r="Y96" s="220"/>
      <c r="Z96" s="220"/>
      <c r="AA96" s="220"/>
      <c r="AB96" s="220"/>
      <c r="AC96" s="220"/>
      <c r="AD96" s="221"/>
      <c r="AE96" s="406"/>
      <c r="AF96" s="1235"/>
      <c r="AG96" s="1236"/>
      <c r="AH96" s="1236"/>
      <c r="AI96" s="1236"/>
      <c r="AJ96" s="1236"/>
      <c r="AK96" s="1236"/>
      <c r="AL96" s="1236"/>
      <c r="AM96" s="1236"/>
      <c r="AN96" s="1236"/>
      <c r="AO96" s="1236"/>
      <c r="AP96" s="1236"/>
      <c r="AQ96" s="1237"/>
      <c r="AR96" s="406"/>
      <c r="AS96" s="903"/>
      <c r="AT96" s="903"/>
      <c r="AU96" s="903"/>
      <c r="AV96" s="903"/>
      <c r="AW96" s="903"/>
      <c r="AX96" s="903"/>
      <c r="AY96" s="903"/>
      <c r="AZ96" s="903"/>
      <c r="BA96" s="903"/>
      <c r="BB96" s="903"/>
      <c r="BC96" s="903"/>
      <c r="BD96" s="904"/>
      <c r="BE96" s="946"/>
      <c r="BF96" s="410"/>
      <c r="BG96" s="903"/>
      <c r="BH96" s="903"/>
      <c r="BI96" s="903"/>
      <c r="BJ96" s="903"/>
      <c r="BK96" s="903"/>
      <c r="BL96" s="903"/>
      <c r="BM96" s="903"/>
      <c r="BN96" s="1734"/>
      <c r="BO96" s="903"/>
      <c r="BP96" s="903"/>
      <c r="BQ96" s="1749"/>
      <c r="BR96" s="946"/>
      <c r="BS96" s="410"/>
      <c r="BT96" s="903"/>
      <c r="BU96" s="903"/>
      <c r="BV96" s="903"/>
      <c r="BW96" s="903"/>
      <c r="BX96" s="903"/>
      <c r="BY96" s="903"/>
      <c r="BZ96" s="903"/>
      <c r="CA96" s="1734"/>
      <c r="CB96" s="903"/>
      <c r="CC96" s="903"/>
      <c r="CD96" s="1749"/>
      <c r="CE96" s="946"/>
      <c r="CF96" s="410"/>
      <c r="CG96" s="903"/>
      <c r="CH96" s="903"/>
      <c r="CI96" s="903"/>
      <c r="CJ96" s="903"/>
      <c r="CK96" s="903"/>
      <c r="CL96" s="903"/>
      <c r="CM96" s="903"/>
      <c r="CN96" s="1734"/>
      <c r="CO96" s="903"/>
      <c r="CP96" s="903"/>
      <c r="CQ96" s="1749"/>
    </row>
    <row r="97" spans="2:95" ht="16.5" customHeight="1">
      <c r="B97" s="3313"/>
      <c r="C97" s="3314"/>
      <c r="D97" s="201" t="s">
        <v>15</v>
      </c>
      <c r="E97" s="407">
        <f t="shared" ref="E97:E104" si="191">AVERAGE(F97:Q97)</f>
        <v>35858.783829703629</v>
      </c>
      <c r="F97" s="135">
        <v>35858.783829703629</v>
      </c>
      <c r="G97" s="135">
        <v>35858.783829703629</v>
      </c>
      <c r="H97" s="135">
        <v>35858.783829703629</v>
      </c>
      <c r="I97" s="135">
        <v>35858.783829703629</v>
      </c>
      <c r="J97" s="135">
        <v>35858.783829703629</v>
      </c>
      <c r="K97" s="135">
        <v>35858.783829703629</v>
      </c>
      <c r="L97" s="135">
        <v>35858.783829703629</v>
      </c>
      <c r="M97" s="135">
        <v>35858.783829703629</v>
      </c>
      <c r="N97" s="135">
        <v>35858.783829703629</v>
      </c>
      <c r="O97" s="135">
        <v>35858.783829703629</v>
      </c>
      <c r="P97" s="135">
        <v>35858.783829703629</v>
      </c>
      <c r="Q97" s="222">
        <v>35858.783829703629</v>
      </c>
      <c r="R97" s="407">
        <f t="shared" ref="R97:R104" si="192">AVERAGE(S97:AD97)</f>
        <v>35858.783829703629</v>
      </c>
      <c r="S97" s="135">
        <f t="shared" ref="S97:S104" si="193">Q97</f>
        <v>35858.783829703629</v>
      </c>
      <c r="T97" s="135">
        <f t="shared" ref="T97:AD104" si="194">S97</f>
        <v>35858.783829703629</v>
      </c>
      <c r="U97" s="135">
        <f t="shared" si="194"/>
        <v>35858.783829703629</v>
      </c>
      <c r="V97" s="135">
        <f t="shared" si="194"/>
        <v>35858.783829703629</v>
      </c>
      <c r="W97" s="135">
        <f t="shared" si="194"/>
        <v>35858.783829703629</v>
      </c>
      <c r="X97" s="135">
        <f t="shared" si="194"/>
        <v>35858.783829703629</v>
      </c>
      <c r="Y97" s="135">
        <f t="shared" si="194"/>
        <v>35858.783829703629</v>
      </c>
      <c r="Z97" s="135">
        <f t="shared" si="194"/>
        <v>35858.783829703629</v>
      </c>
      <c r="AA97" s="135">
        <f t="shared" si="194"/>
        <v>35858.783829703629</v>
      </c>
      <c r="AB97" s="135">
        <f t="shared" si="194"/>
        <v>35858.783829703629</v>
      </c>
      <c r="AC97" s="135">
        <f t="shared" si="194"/>
        <v>35858.783829703629</v>
      </c>
      <c r="AD97" s="222">
        <f t="shared" si="194"/>
        <v>35858.783829703629</v>
      </c>
      <c r="AE97" s="407">
        <f t="shared" ref="AE97:AE104" si="195">AVERAGE(AF97:AQ97)</f>
        <v>35858.783829703629</v>
      </c>
      <c r="AF97" s="1238">
        <f t="shared" ref="AF97:AF104" si="196">AD97</f>
        <v>35858.783829703629</v>
      </c>
      <c r="AG97" s="1239">
        <f t="shared" ref="AG97:AG104" si="197">AF97</f>
        <v>35858.783829703629</v>
      </c>
      <c r="AH97" s="1239">
        <f t="shared" ref="AH97:AH104" si="198">AG97</f>
        <v>35858.783829703629</v>
      </c>
      <c r="AI97" s="1239">
        <f t="shared" ref="AI97:AI104" si="199">AH97</f>
        <v>35858.783829703629</v>
      </c>
      <c r="AJ97" s="1239">
        <f t="shared" ref="AJ97:AJ104" si="200">AI97</f>
        <v>35858.783829703629</v>
      </c>
      <c r="AK97" s="1239">
        <f t="shared" ref="AK97:AK104" si="201">AJ97</f>
        <v>35858.783829703629</v>
      </c>
      <c r="AL97" s="1239">
        <f t="shared" ref="AL97:AL104" si="202">AK97</f>
        <v>35858.783829703629</v>
      </c>
      <c r="AM97" s="1239">
        <f t="shared" ref="AM97:AM104" si="203">AL97</f>
        <v>35858.783829703629</v>
      </c>
      <c r="AN97" s="1239">
        <f t="shared" ref="AN97:AN104" si="204">AM97</f>
        <v>35858.783829703629</v>
      </c>
      <c r="AO97" s="1239">
        <f t="shared" ref="AO97:AO104" si="205">AN97</f>
        <v>35858.783829703629</v>
      </c>
      <c r="AP97" s="1239">
        <f t="shared" ref="AP97:AP104" si="206">AO97</f>
        <v>35858.783829703629</v>
      </c>
      <c r="AQ97" s="1240">
        <f t="shared" ref="AQ97:AQ104" si="207">AP97</f>
        <v>35858.783829703629</v>
      </c>
      <c r="AR97" s="407">
        <f t="shared" ref="AR97:AR104" si="208">AVERAGE(AS97:BD97)</f>
        <v>35858.783829703629</v>
      </c>
      <c r="AS97" s="905">
        <f t="shared" ref="AS97:AS104" si="209">AQ97</f>
        <v>35858.783829703629</v>
      </c>
      <c r="AT97" s="905">
        <f t="shared" ref="AT97:AT104" si="210">AS97</f>
        <v>35858.783829703629</v>
      </c>
      <c r="AU97" s="905">
        <f t="shared" ref="AU97:AU104" si="211">AT97</f>
        <v>35858.783829703629</v>
      </c>
      <c r="AV97" s="905">
        <f t="shared" ref="AV97:AV104" si="212">AU97</f>
        <v>35858.783829703629</v>
      </c>
      <c r="AW97" s="905">
        <f t="shared" ref="AW97:AW104" si="213">AV97</f>
        <v>35858.783829703629</v>
      </c>
      <c r="AX97" s="905">
        <f t="shared" ref="AX97:AX104" si="214">AW97</f>
        <v>35858.783829703629</v>
      </c>
      <c r="AY97" s="905">
        <f t="shared" ref="AY97:AY104" si="215">AX97</f>
        <v>35858.783829703629</v>
      </c>
      <c r="AZ97" s="905">
        <f t="shared" ref="AZ97:AZ104" si="216">AY97</f>
        <v>35858.783829703629</v>
      </c>
      <c r="BA97" s="905">
        <f t="shared" ref="BA97:BA104" si="217">AZ97</f>
        <v>35858.783829703629</v>
      </c>
      <c r="BB97" s="905">
        <f t="shared" ref="BB97:BB104" si="218">BA97</f>
        <v>35858.783829703629</v>
      </c>
      <c r="BC97" s="905">
        <f t="shared" ref="BC97:BC104" si="219">BB97</f>
        <v>35858.783829703629</v>
      </c>
      <c r="BD97" s="906">
        <f t="shared" ref="BD97:BD104" si="220">BC97</f>
        <v>35858.783829703629</v>
      </c>
      <c r="BE97" s="947" t="e">
        <f t="shared" ref="BE97:BE104" si="221">AVERAGE(BF97:BQ97)</f>
        <v>#DIV/0!</v>
      </c>
      <c r="BF97" s="1806"/>
      <c r="BG97" s="1807"/>
      <c r="BH97" s="1807"/>
      <c r="BI97" s="1807"/>
      <c r="BJ97" s="1807"/>
      <c r="BK97" s="1807"/>
      <c r="BL97" s="1807"/>
      <c r="BM97" s="1807"/>
      <c r="BN97" s="1808"/>
      <c r="BO97" s="1807"/>
      <c r="BP97" s="1807"/>
      <c r="BQ97" s="1809"/>
      <c r="BR97" s="947" t="e">
        <f t="shared" ref="BR97:BR104" si="222">AVERAGE(BS97:CD97)</f>
        <v>#DIV/0!</v>
      </c>
      <c r="BS97" s="3193"/>
      <c r="BT97" s="3194"/>
      <c r="BU97" s="3194"/>
      <c r="BV97" s="3194"/>
      <c r="BW97" s="3194"/>
      <c r="BX97" s="3194"/>
      <c r="BY97" s="3194"/>
      <c r="BZ97" s="3194"/>
      <c r="CA97" s="3194"/>
      <c r="CB97" s="3194"/>
      <c r="CC97" s="3194"/>
      <c r="CD97" s="2803"/>
      <c r="CE97" s="947" t="e">
        <f t="shared" ref="CE97:CE101" si="223">AVERAGE(CF97:CQ97)</f>
        <v>#DIV/0!</v>
      </c>
      <c r="CF97" s="1806"/>
      <c r="CG97" s="1807"/>
      <c r="CH97" s="1807"/>
      <c r="CI97" s="1807"/>
      <c r="CJ97" s="1807"/>
      <c r="CK97" s="1807"/>
      <c r="CL97" s="1807"/>
      <c r="CM97" s="1807"/>
      <c r="CN97" s="1808"/>
      <c r="CO97" s="1807"/>
      <c r="CP97" s="1807"/>
      <c r="CQ97" s="1809"/>
    </row>
    <row r="98" spans="2:95" ht="16.5" customHeight="1">
      <c r="B98" s="3313"/>
      <c r="C98" s="3314"/>
      <c r="D98" s="201" t="s">
        <v>16</v>
      </c>
      <c r="E98" s="407">
        <f t="shared" si="191"/>
        <v>27914.951842633116</v>
      </c>
      <c r="F98" s="69">
        <v>27914.951842633109</v>
      </c>
      <c r="G98" s="69">
        <v>27914.951842633109</v>
      </c>
      <c r="H98" s="69">
        <v>27914.951842633109</v>
      </c>
      <c r="I98" s="69">
        <v>27914.951842633109</v>
      </c>
      <c r="J98" s="69">
        <v>27914.951842633109</v>
      </c>
      <c r="K98" s="69">
        <v>27914.951842633109</v>
      </c>
      <c r="L98" s="69">
        <v>27914.951842633109</v>
      </c>
      <c r="M98" s="69">
        <v>27914.951842633109</v>
      </c>
      <c r="N98" s="69">
        <v>27914.951842633109</v>
      </c>
      <c r="O98" s="69">
        <v>27914.951842633109</v>
      </c>
      <c r="P98" s="69">
        <v>27914.951842633109</v>
      </c>
      <c r="Q98" s="223">
        <v>27914.951842633109</v>
      </c>
      <c r="R98" s="407">
        <f t="shared" si="192"/>
        <v>27914.951842633116</v>
      </c>
      <c r="S98" s="69">
        <f t="shared" si="193"/>
        <v>27914.951842633109</v>
      </c>
      <c r="T98" s="69">
        <f t="shared" si="194"/>
        <v>27914.951842633109</v>
      </c>
      <c r="U98" s="69">
        <f t="shared" si="194"/>
        <v>27914.951842633109</v>
      </c>
      <c r="V98" s="69">
        <f t="shared" si="194"/>
        <v>27914.951842633109</v>
      </c>
      <c r="W98" s="69">
        <f t="shared" si="194"/>
        <v>27914.951842633109</v>
      </c>
      <c r="X98" s="69">
        <f t="shared" si="194"/>
        <v>27914.951842633109</v>
      </c>
      <c r="Y98" s="69">
        <f t="shared" si="194"/>
        <v>27914.951842633109</v>
      </c>
      <c r="Z98" s="69">
        <f t="shared" si="194"/>
        <v>27914.951842633109</v>
      </c>
      <c r="AA98" s="69">
        <f t="shared" si="194"/>
        <v>27914.951842633109</v>
      </c>
      <c r="AB98" s="69">
        <f t="shared" si="194"/>
        <v>27914.951842633109</v>
      </c>
      <c r="AC98" s="69">
        <f t="shared" si="194"/>
        <v>27914.951842633109</v>
      </c>
      <c r="AD98" s="223">
        <f t="shared" si="194"/>
        <v>27914.951842633109</v>
      </c>
      <c r="AE98" s="407">
        <f t="shared" si="195"/>
        <v>27914.951842633116</v>
      </c>
      <c r="AF98" s="1241">
        <f t="shared" si="196"/>
        <v>27914.951842633109</v>
      </c>
      <c r="AG98" s="1242">
        <f t="shared" si="197"/>
        <v>27914.951842633109</v>
      </c>
      <c r="AH98" s="1242">
        <f t="shared" si="198"/>
        <v>27914.951842633109</v>
      </c>
      <c r="AI98" s="1242">
        <f t="shared" si="199"/>
        <v>27914.951842633109</v>
      </c>
      <c r="AJ98" s="1242">
        <f t="shared" si="200"/>
        <v>27914.951842633109</v>
      </c>
      <c r="AK98" s="1242">
        <f t="shared" si="201"/>
        <v>27914.951842633109</v>
      </c>
      <c r="AL98" s="1242">
        <f t="shared" si="202"/>
        <v>27914.951842633109</v>
      </c>
      <c r="AM98" s="1242">
        <f t="shared" si="203"/>
        <v>27914.951842633109</v>
      </c>
      <c r="AN98" s="1242">
        <f t="shared" si="204"/>
        <v>27914.951842633109</v>
      </c>
      <c r="AO98" s="1242">
        <f t="shared" si="205"/>
        <v>27914.951842633109</v>
      </c>
      <c r="AP98" s="1242">
        <f t="shared" si="206"/>
        <v>27914.951842633109</v>
      </c>
      <c r="AQ98" s="1243">
        <f t="shared" si="207"/>
        <v>27914.951842633109</v>
      </c>
      <c r="AR98" s="407">
        <f t="shared" si="208"/>
        <v>27914.951842633116</v>
      </c>
      <c r="AS98" s="907">
        <f t="shared" si="209"/>
        <v>27914.951842633109</v>
      </c>
      <c r="AT98" s="907">
        <f t="shared" si="210"/>
        <v>27914.951842633109</v>
      </c>
      <c r="AU98" s="907">
        <f t="shared" si="211"/>
        <v>27914.951842633109</v>
      </c>
      <c r="AV98" s="907">
        <f t="shared" si="212"/>
        <v>27914.951842633109</v>
      </c>
      <c r="AW98" s="907">
        <f t="shared" si="213"/>
        <v>27914.951842633109</v>
      </c>
      <c r="AX98" s="907">
        <f t="shared" si="214"/>
        <v>27914.951842633109</v>
      </c>
      <c r="AY98" s="907">
        <f t="shared" si="215"/>
        <v>27914.951842633109</v>
      </c>
      <c r="AZ98" s="907">
        <f t="shared" si="216"/>
        <v>27914.951842633109</v>
      </c>
      <c r="BA98" s="907">
        <f t="shared" si="217"/>
        <v>27914.951842633109</v>
      </c>
      <c r="BB98" s="907">
        <f t="shared" si="218"/>
        <v>27914.951842633109</v>
      </c>
      <c r="BC98" s="907">
        <f t="shared" si="219"/>
        <v>27914.951842633109</v>
      </c>
      <c r="BD98" s="908">
        <f t="shared" si="220"/>
        <v>27914.951842633109</v>
      </c>
      <c r="BE98" s="947" t="e">
        <f t="shared" si="221"/>
        <v>#DIV/0!</v>
      </c>
      <c r="BF98" s="1810"/>
      <c r="BG98" s="1811"/>
      <c r="BH98" s="1811"/>
      <c r="BI98" s="1811"/>
      <c r="BJ98" s="1811"/>
      <c r="BK98" s="1811"/>
      <c r="BL98" s="1811"/>
      <c r="BM98" s="1811"/>
      <c r="BN98" s="1812"/>
      <c r="BO98" s="1811"/>
      <c r="BP98" s="1811"/>
      <c r="BQ98" s="1813"/>
      <c r="BR98" s="947" t="e">
        <f t="shared" si="222"/>
        <v>#DIV/0!</v>
      </c>
      <c r="BS98" s="3195"/>
      <c r="BT98" s="3196"/>
      <c r="BU98" s="3196"/>
      <c r="BV98" s="3196"/>
      <c r="BW98" s="3196"/>
      <c r="BX98" s="3196"/>
      <c r="BY98" s="3196"/>
      <c r="BZ98" s="3196"/>
      <c r="CA98" s="3196"/>
      <c r="CB98" s="3196"/>
      <c r="CC98" s="3196"/>
      <c r="CD98" s="2804"/>
      <c r="CE98" s="947">
        <f t="shared" si="223"/>
        <v>31000</v>
      </c>
      <c r="CF98" s="1810">
        <v>31000</v>
      </c>
      <c r="CG98" s="1811">
        <v>31000</v>
      </c>
      <c r="CH98" s="1811">
        <v>31000</v>
      </c>
      <c r="CI98" s="1811">
        <v>31000</v>
      </c>
      <c r="CJ98" s="1811">
        <v>31000</v>
      </c>
      <c r="CK98" s="1811">
        <v>31000</v>
      </c>
      <c r="CL98" s="1811">
        <v>31000</v>
      </c>
      <c r="CM98" s="1811">
        <v>31000</v>
      </c>
      <c r="CN98" s="1812">
        <v>31000</v>
      </c>
      <c r="CO98" s="1811">
        <v>31000</v>
      </c>
      <c r="CP98" s="1811">
        <v>31000</v>
      </c>
      <c r="CQ98" s="1813">
        <v>31000</v>
      </c>
    </row>
    <row r="99" spans="2:95" ht="16.5" customHeight="1">
      <c r="B99" s="3313"/>
      <c r="C99" s="3314"/>
      <c r="D99" s="201" t="s">
        <v>574</v>
      </c>
      <c r="E99" s="407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223"/>
      <c r="R99" s="407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223"/>
      <c r="AE99" s="407"/>
      <c r="AF99" s="1241"/>
      <c r="AG99" s="1242"/>
      <c r="AH99" s="1242"/>
      <c r="AI99" s="1242"/>
      <c r="AJ99" s="1242"/>
      <c r="AK99" s="1242"/>
      <c r="AL99" s="1242"/>
      <c r="AM99" s="1242"/>
      <c r="AN99" s="1242"/>
      <c r="AO99" s="1242"/>
      <c r="AP99" s="1242"/>
      <c r="AQ99" s="1243"/>
      <c r="AR99" s="407"/>
      <c r="AS99" s="907"/>
      <c r="AT99" s="907"/>
      <c r="AU99" s="907"/>
      <c r="AV99" s="907"/>
      <c r="AW99" s="907"/>
      <c r="AX99" s="907"/>
      <c r="AY99" s="907"/>
      <c r="AZ99" s="907"/>
      <c r="BA99" s="907"/>
      <c r="BB99" s="907"/>
      <c r="BC99" s="907"/>
      <c r="BD99" s="908"/>
      <c r="BE99" s="947" t="e">
        <f t="shared" si="221"/>
        <v>#DIV/0!</v>
      </c>
      <c r="BF99" s="1810"/>
      <c r="BG99" s="1811"/>
      <c r="BH99" s="1811"/>
      <c r="BI99" s="1811"/>
      <c r="BJ99" s="1811"/>
      <c r="BK99" s="1811"/>
      <c r="BL99" s="1811"/>
      <c r="BM99" s="1811"/>
      <c r="BN99" s="1812"/>
      <c r="BO99" s="1811"/>
      <c r="BP99" s="1811"/>
      <c r="BQ99" s="1813"/>
      <c r="BR99" s="947" t="e">
        <f t="shared" si="222"/>
        <v>#DIV/0!</v>
      </c>
      <c r="BS99" s="3195"/>
      <c r="BT99" s="3196"/>
      <c r="BU99" s="3196"/>
      <c r="BV99" s="3196"/>
      <c r="BW99" s="3196"/>
      <c r="BX99" s="3196"/>
      <c r="BY99" s="3196"/>
      <c r="BZ99" s="3196"/>
      <c r="CA99" s="3196"/>
      <c r="CB99" s="3196"/>
      <c r="CC99" s="3196"/>
      <c r="CD99" s="3197"/>
      <c r="CE99" s="947">
        <f t="shared" si="223"/>
        <v>25000</v>
      </c>
      <c r="CF99" s="1810">
        <v>25000</v>
      </c>
      <c r="CG99" s="1811">
        <v>25000</v>
      </c>
      <c r="CH99" s="1811">
        <v>25000</v>
      </c>
      <c r="CI99" s="1811">
        <v>25000</v>
      </c>
      <c r="CJ99" s="1811">
        <v>25000</v>
      </c>
      <c r="CK99" s="1811">
        <v>25000</v>
      </c>
      <c r="CL99" s="1811">
        <v>25000</v>
      </c>
      <c r="CM99" s="1811">
        <v>25000</v>
      </c>
      <c r="CN99" s="1812">
        <v>25000</v>
      </c>
      <c r="CO99" s="1811">
        <v>25000</v>
      </c>
      <c r="CP99" s="1811">
        <v>25000</v>
      </c>
      <c r="CQ99" s="1813">
        <v>25000</v>
      </c>
    </row>
    <row r="100" spans="2:95" ht="16.5" hidden="1" customHeight="1">
      <c r="B100" s="3313"/>
      <c r="C100" s="3314"/>
      <c r="D100" s="201" t="s">
        <v>245</v>
      </c>
      <c r="E100" s="407">
        <f t="shared" si="191"/>
        <v>23472.353943949271</v>
      </c>
      <c r="F100" s="69">
        <v>23472.353943949267</v>
      </c>
      <c r="G100" s="69">
        <v>23472.353943949267</v>
      </c>
      <c r="H100" s="69">
        <v>23472.353943949267</v>
      </c>
      <c r="I100" s="69">
        <v>23472.353943949267</v>
      </c>
      <c r="J100" s="69">
        <v>23472.353943949267</v>
      </c>
      <c r="K100" s="69">
        <v>23472.353943949267</v>
      </c>
      <c r="L100" s="69">
        <v>23472.353943949267</v>
      </c>
      <c r="M100" s="69">
        <v>23472.353943949267</v>
      </c>
      <c r="N100" s="69">
        <v>23472.353943949267</v>
      </c>
      <c r="O100" s="69">
        <v>23472.353943949267</v>
      </c>
      <c r="P100" s="69">
        <v>23472.353943949267</v>
      </c>
      <c r="Q100" s="223">
        <v>23472.353943949267</v>
      </c>
      <c r="R100" s="407">
        <f t="shared" si="192"/>
        <v>23472.353943949271</v>
      </c>
      <c r="S100" s="69">
        <f t="shared" si="193"/>
        <v>23472.353943949267</v>
      </c>
      <c r="T100" s="69">
        <f t="shared" si="194"/>
        <v>23472.353943949267</v>
      </c>
      <c r="U100" s="69">
        <f t="shared" si="194"/>
        <v>23472.353943949267</v>
      </c>
      <c r="V100" s="69">
        <f t="shared" si="194"/>
        <v>23472.353943949267</v>
      </c>
      <c r="W100" s="69">
        <f t="shared" si="194"/>
        <v>23472.353943949267</v>
      </c>
      <c r="X100" s="69">
        <f t="shared" si="194"/>
        <v>23472.353943949267</v>
      </c>
      <c r="Y100" s="69">
        <f t="shared" si="194"/>
        <v>23472.353943949267</v>
      </c>
      <c r="Z100" s="69">
        <f t="shared" si="194"/>
        <v>23472.353943949267</v>
      </c>
      <c r="AA100" s="69">
        <f t="shared" si="194"/>
        <v>23472.353943949267</v>
      </c>
      <c r="AB100" s="69">
        <f t="shared" si="194"/>
        <v>23472.353943949267</v>
      </c>
      <c r="AC100" s="69">
        <f t="shared" si="194"/>
        <v>23472.353943949267</v>
      </c>
      <c r="AD100" s="223">
        <f t="shared" si="194"/>
        <v>23472.353943949267</v>
      </c>
      <c r="AE100" s="407">
        <f t="shared" si="195"/>
        <v>23472.353943949271</v>
      </c>
      <c r="AF100" s="1241">
        <f t="shared" si="196"/>
        <v>23472.353943949267</v>
      </c>
      <c r="AG100" s="1242">
        <f t="shared" si="197"/>
        <v>23472.353943949267</v>
      </c>
      <c r="AH100" s="1242">
        <f t="shared" si="198"/>
        <v>23472.353943949267</v>
      </c>
      <c r="AI100" s="1242">
        <f t="shared" si="199"/>
        <v>23472.353943949267</v>
      </c>
      <c r="AJ100" s="1242">
        <f t="shared" si="200"/>
        <v>23472.353943949267</v>
      </c>
      <c r="AK100" s="1242">
        <f t="shared" si="201"/>
        <v>23472.353943949267</v>
      </c>
      <c r="AL100" s="1242">
        <f t="shared" si="202"/>
        <v>23472.353943949267</v>
      </c>
      <c r="AM100" s="1242">
        <f t="shared" si="203"/>
        <v>23472.353943949267</v>
      </c>
      <c r="AN100" s="1242">
        <f t="shared" si="204"/>
        <v>23472.353943949267</v>
      </c>
      <c r="AO100" s="1242">
        <f t="shared" si="205"/>
        <v>23472.353943949267</v>
      </c>
      <c r="AP100" s="1242">
        <f t="shared" si="206"/>
        <v>23472.353943949267</v>
      </c>
      <c r="AQ100" s="1243">
        <f t="shared" si="207"/>
        <v>23472.353943949267</v>
      </c>
      <c r="AR100" s="407">
        <f t="shared" si="208"/>
        <v>23472.353943949271</v>
      </c>
      <c r="AS100" s="907">
        <f t="shared" si="209"/>
        <v>23472.353943949267</v>
      </c>
      <c r="AT100" s="907">
        <f t="shared" si="210"/>
        <v>23472.353943949267</v>
      </c>
      <c r="AU100" s="907">
        <f t="shared" si="211"/>
        <v>23472.353943949267</v>
      </c>
      <c r="AV100" s="907">
        <f t="shared" si="212"/>
        <v>23472.353943949267</v>
      </c>
      <c r="AW100" s="907">
        <f t="shared" si="213"/>
        <v>23472.353943949267</v>
      </c>
      <c r="AX100" s="907">
        <f t="shared" si="214"/>
        <v>23472.353943949267</v>
      </c>
      <c r="AY100" s="907">
        <f t="shared" si="215"/>
        <v>23472.353943949267</v>
      </c>
      <c r="AZ100" s="907">
        <f t="shared" si="216"/>
        <v>23472.353943949267</v>
      </c>
      <c r="BA100" s="907">
        <f t="shared" si="217"/>
        <v>23472.353943949267</v>
      </c>
      <c r="BB100" s="907">
        <f t="shared" si="218"/>
        <v>23472.353943949267</v>
      </c>
      <c r="BC100" s="907">
        <f t="shared" si="219"/>
        <v>23472.353943949267</v>
      </c>
      <c r="BD100" s="908">
        <f t="shared" si="220"/>
        <v>23472.353943949267</v>
      </c>
      <c r="BE100" s="947" t="e">
        <f t="shared" si="221"/>
        <v>#DIV/0!</v>
      </c>
      <c r="BF100" s="1810"/>
      <c r="BG100" s="1811"/>
      <c r="BH100" s="1811"/>
      <c r="BI100" s="1811"/>
      <c r="BJ100" s="1811"/>
      <c r="BK100" s="1811"/>
      <c r="BL100" s="1811"/>
      <c r="BM100" s="1811"/>
      <c r="BN100" s="1812"/>
      <c r="BO100" s="1811"/>
      <c r="BP100" s="1811"/>
      <c r="BQ100" s="1813"/>
      <c r="BR100" s="947" t="e">
        <f t="shared" si="222"/>
        <v>#DIV/0!</v>
      </c>
      <c r="BS100" s="3195"/>
      <c r="BT100" s="3198"/>
      <c r="BU100" s="3198"/>
      <c r="BV100" s="3198"/>
      <c r="BW100" s="3198"/>
      <c r="BX100" s="3198"/>
      <c r="BY100" s="3198"/>
      <c r="BZ100" s="3198"/>
      <c r="CA100" s="3198"/>
      <c r="CB100" s="3198"/>
      <c r="CC100" s="3198"/>
      <c r="CD100" s="2801"/>
      <c r="CE100" s="947">
        <f t="shared" si="223"/>
        <v>0</v>
      </c>
      <c r="CF100" s="957">
        <v>0</v>
      </c>
      <c r="CG100" s="879">
        <v>0</v>
      </c>
      <c r="CH100" s="879">
        <v>0</v>
      </c>
      <c r="CI100" s="879">
        <v>0</v>
      </c>
      <c r="CJ100" s="879">
        <v>0</v>
      </c>
      <c r="CK100" s="879">
        <v>0</v>
      </c>
      <c r="CL100" s="879">
        <v>0</v>
      </c>
      <c r="CM100" s="879">
        <v>0</v>
      </c>
      <c r="CN100" s="879">
        <v>0</v>
      </c>
      <c r="CO100" s="879">
        <v>0</v>
      </c>
      <c r="CP100" s="879">
        <v>0</v>
      </c>
      <c r="CQ100" s="1668">
        <v>0</v>
      </c>
    </row>
    <row r="101" spans="2:95" ht="16.5" customHeight="1">
      <c r="B101" s="3313"/>
      <c r="C101" s="3314"/>
      <c r="D101" s="201" t="s">
        <v>681</v>
      </c>
      <c r="E101" s="407">
        <f t="shared" si="191"/>
        <v>26318.878744961792</v>
      </c>
      <c r="F101" s="69">
        <v>26318.878744961792</v>
      </c>
      <c r="G101" s="69">
        <v>26318.878744961792</v>
      </c>
      <c r="H101" s="69">
        <v>26318.878744961792</v>
      </c>
      <c r="I101" s="69">
        <v>26318.878744961792</v>
      </c>
      <c r="J101" s="69">
        <v>26318.878744961792</v>
      </c>
      <c r="K101" s="69">
        <v>26318.878744961792</v>
      </c>
      <c r="L101" s="69">
        <v>26318.878744961792</v>
      </c>
      <c r="M101" s="69">
        <v>26318.878744961792</v>
      </c>
      <c r="N101" s="69">
        <v>26318.878744961792</v>
      </c>
      <c r="O101" s="69">
        <v>26318.878744961792</v>
      </c>
      <c r="P101" s="69">
        <v>26318.878744961792</v>
      </c>
      <c r="Q101" s="223">
        <v>26318.878744961792</v>
      </c>
      <c r="R101" s="407">
        <f t="shared" si="192"/>
        <v>26318.878744961792</v>
      </c>
      <c r="S101" s="69">
        <f t="shared" si="193"/>
        <v>26318.878744961792</v>
      </c>
      <c r="T101" s="69">
        <f t="shared" si="194"/>
        <v>26318.878744961792</v>
      </c>
      <c r="U101" s="69">
        <f t="shared" si="194"/>
        <v>26318.878744961792</v>
      </c>
      <c r="V101" s="69">
        <f t="shared" si="194"/>
        <v>26318.878744961792</v>
      </c>
      <c r="W101" s="69">
        <f t="shared" si="194"/>
        <v>26318.878744961792</v>
      </c>
      <c r="X101" s="69">
        <f t="shared" si="194"/>
        <v>26318.878744961792</v>
      </c>
      <c r="Y101" s="69">
        <f t="shared" si="194"/>
        <v>26318.878744961792</v>
      </c>
      <c r="Z101" s="69">
        <f t="shared" si="194"/>
        <v>26318.878744961792</v>
      </c>
      <c r="AA101" s="69">
        <f t="shared" si="194"/>
        <v>26318.878744961792</v>
      </c>
      <c r="AB101" s="69">
        <f t="shared" si="194"/>
        <v>26318.878744961792</v>
      </c>
      <c r="AC101" s="69">
        <f t="shared" si="194"/>
        <v>26318.878744961792</v>
      </c>
      <c r="AD101" s="223">
        <f t="shared" si="194"/>
        <v>26318.878744961792</v>
      </c>
      <c r="AE101" s="407">
        <f t="shared" si="195"/>
        <v>26318.878744961792</v>
      </c>
      <c r="AF101" s="1241">
        <f t="shared" si="196"/>
        <v>26318.878744961792</v>
      </c>
      <c r="AG101" s="1242">
        <f t="shared" si="197"/>
        <v>26318.878744961792</v>
      </c>
      <c r="AH101" s="1242">
        <f t="shared" si="198"/>
        <v>26318.878744961792</v>
      </c>
      <c r="AI101" s="1242">
        <f t="shared" si="199"/>
        <v>26318.878744961792</v>
      </c>
      <c r="AJ101" s="1242">
        <f t="shared" si="200"/>
        <v>26318.878744961792</v>
      </c>
      <c r="AK101" s="1242">
        <f t="shared" si="201"/>
        <v>26318.878744961792</v>
      </c>
      <c r="AL101" s="1242">
        <f t="shared" si="202"/>
        <v>26318.878744961792</v>
      </c>
      <c r="AM101" s="1242">
        <f t="shared" si="203"/>
        <v>26318.878744961792</v>
      </c>
      <c r="AN101" s="1242">
        <f t="shared" si="204"/>
        <v>26318.878744961792</v>
      </c>
      <c r="AO101" s="1242">
        <f t="shared" si="205"/>
        <v>26318.878744961792</v>
      </c>
      <c r="AP101" s="1242">
        <f t="shared" si="206"/>
        <v>26318.878744961792</v>
      </c>
      <c r="AQ101" s="1243">
        <f t="shared" si="207"/>
        <v>26318.878744961792</v>
      </c>
      <c r="AR101" s="407">
        <f t="shared" si="208"/>
        <v>26318.878744961792</v>
      </c>
      <c r="AS101" s="907">
        <f t="shared" si="209"/>
        <v>26318.878744961792</v>
      </c>
      <c r="AT101" s="907">
        <f t="shared" si="210"/>
        <v>26318.878744961792</v>
      </c>
      <c r="AU101" s="907">
        <f t="shared" si="211"/>
        <v>26318.878744961792</v>
      </c>
      <c r="AV101" s="907">
        <f t="shared" si="212"/>
        <v>26318.878744961792</v>
      </c>
      <c r="AW101" s="907">
        <f t="shared" si="213"/>
        <v>26318.878744961792</v>
      </c>
      <c r="AX101" s="907">
        <f t="shared" si="214"/>
        <v>26318.878744961792</v>
      </c>
      <c r="AY101" s="907">
        <f t="shared" si="215"/>
        <v>26318.878744961792</v>
      </c>
      <c r="AZ101" s="907">
        <f t="shared" si="216"/>
        <v>26318.878744961792</v>
      </c>
      <c r="BA101" s="907">
        <f t="shared" si="217"/>
        <v>26318.878744961792</v>
      </c>
      <c r="BB101" s="907">
        <f t="shared" si="218"/>
        <v>26318.878744961792</v>
      </c>
      <c r="BC101" s="907">
        <f t="shared" si="219"/>
        <v>26318.878744961792</v>
      </c>
      <c r="BD101" s="908">
        <f t="shared" si="220"/>
        <v>26318.878744961792</v>
      </c>
      <c r="BE101" s="947" t="e">
        <f t="shared" si="221"/>
        <v>#DIV/0!</v>
      </c>
      <c r="BF101" s="1810"/>
      <c r="BG101" s="1811"/>
      <c r="BH101" s="1811"/>
      <c r="BI101" s="1811"/>
      <c r="BJ101" s="1811"/>
      <c r="BK101" s="1811"/>
      <c r="BL101" s="1811"/>
      <c r="BM101" s="1811"/>
      <c r="BN101" s="1812"/>
      <c r="BO101" s="1811"/>
      <c r="BP101" s="1811"/>
      <c r="BQ101" s="1813"/>
      <c r="BR101" s="947" t="e">
        <f t="shared" si="222"/>
        <v>#DIV/0!</v>
      </c>
      <c r="BS101" s="3195"/>
      <c r="BT101" s="3196"/>
      <c r="BU101" s="3196"/>
      <c r="BV101" s="3196"/>
      <c r="BW101" s="3196"/>
      <c r="BX101" s="3196"/>
      <c r="BY101" s="3196"/>
      <c r="BZ101" s="3196"/>
      <c r="CA101" s="3196"/>
      <c r="CB101" s="3196"/>
      <c r="CC101" s="3196"/>
      <c r="CD101" s="3197"/>
      <c r="CE101" s="947" t="e">
        <f t="shared" si="223"/>
        <v>#DIV/0!</v>
      </c>
      <c r="CF101" s="1810"/>
      <c r="CG101" s="1811"/>
      <c r="CH101" s="1811"/>
      <c r="CI101" s="1811"/>
      <c r="CJ101" s="1811"/>
      <c r="CK101" s="1811"/>
      <c r="CL101" s="1811"/>
      <c r="CM101" s="1811"/>
      <c r="CN101" s="1812"/>
      <c r="CO101" s="1811"/>
      <c r="CP101" s="1811"/>
      <c r="CQ101" s="1813"/>
    </row>
    <row r="102" spans="2:95" ht="16.5" hidden="1" customHeight="1">
      <c r="B102" s="3313"/>
      <c r="C102" s="3314"/>
      <c r="D102" s="201" t="s">
        <v>333</v>
      </c>
      <c r="E102" s="407">
        <f t="shared" si="191"/>
        <v>28862.247884938664</v>
      </c>
      <c r="F102" s="69">
        <v>28862.247884938664</v>
      </c>
      <c r="G102" s="69">
        <v>28862.247884938664</v>
      </c>
      <c r="H102" s="69">
        <v>28862.247884938664</v>
      </c>
      <c r="I102" s="69">
        <v>28862.247884938664</v>
      </c>
      <c r="J102" s="69">
        <v>28862.247884938664</v>
      </c>
      <c r="K102" s="69">
        <v>28862.247884938664</v>
      </c>
      <c r="L102" s="69">
        <v>28862.247884938664</v>
      </c>
      <c r="M102" s="69">
        <v>28862.247884938664</v>
      </c>
      <c r="N102" s="69">
        <v>28862.247884938664</v>
      </c>
      <c r="O102" s="69">
        <v>28862.247884938664</v>
      </c>
      <c r="P102" s="69">
        <v>28862.247884938664</v>
      </c>
      <c r="Q102" s="223">
        <v>28862.247884938664</v>
      </c>
      <c r="R102" s="407">
        <f t="shared" si="192"/>
        <v>28862.247884938664</v>
      </c>
      <c r="S102" s="69">
        <f t="shared" si="193"/>
        <v>28862.247884938664</v>
      </c>
      <c r="T102" s="69">
        <f t="shared" si="194"/>
        <v>28862.247884938664</v>
      </c>
      <c r="U102" s="69">
        <f t="shared" si="194"/>
        <v>28862.247884938664</v>
      </c>
      <c r="V102" s="69">
        <f t="shared" si="194"/>
        <v>28862.247884938664</v>
      </c>
      <c r="W102" s="69">
        <f t="shared" si="194"/>
        <v>28862.247884938664</v>
      </c>
      <c r="X102" s="69">
        <f t="shared" si="194"/>
        <v>28862.247884938664</v>
      </c>
      <c r="Y102" s="69">
        <f t="shared" si="194"/>
        <v>28862.247884938664</v>
      </c>
      <c r="Z102" s="69">
        <f t="shared" si="194"/>
        <v>28862.247884938664</v>
      </c>
      <c r="AA102" s="69">
        <f t="shared" si="194"/>
        <v>28862.247884938664</v>
      </c>
      <c r="AB102" s="69">
        <f t="shared" si="194"/>
        <v>28862.247884938664</v>
      </c>
      <c r="AC102" s="69">
        <f t="shared" si="194"/>
        <v>28862.247884938664</v>
      </c>
      <c r="AD102" s="223">
        <f t="shared" si="194"/>
        <v>28862.247884938664</v>
      </c>
      <c r="AE102" s="407">
        <f t="shared" si="195"/>
        <v>28862.247884938664</v>
      </c>
      <c r="AF102" s="1241">
        <f t="shared" si="196"/>
        <v>28862.247884938664</v>
      </c>
      <c r="AG102" s="1242">
        <f t="shared" si="197"/>
        <v>28862.247884938664</v>
      </c>
      <c r="AH102" s="1242">
        <f t="shared" si="198"/>
        <v>28862.247884938664</v>
      </c>
      <c r="AI102" s="1242">
        <f t="shared" si="199"/>
        <v>28862.247884938664</v>
      </c>
      <c r="AJ102" s="1242">
        <f t="shared" si="200"/>
        <v>28862.247884938664</v>
      </c>
      <c r="AK102" s="1242">
        <f t="shared" si="201"/>
        <v>28862.247884938664</v>
      </c>
      <c r="AL102" s="1242">
        <f t="shared" si="202"/>
        <v>28862.247884938664</v>
      </c>
      <c r="AM102" s="1242">
        <f t="shared" si="203"/>
        <v>28862.247884938664</v>
      </c>
      <c r="AN102" s="1242">
        <f t="shared" si="204"/>
        <v>28862.247884938664</v>
      </c>
      <c r="AO102" s="1242">
        <f t="shared" si="205"/>
        <v>28862.247884938664</v>
      </c>
      <c r="AP102" s="1242">
        <f t="shared" si="206"/>
        <v>28862.247884938664</v>
      </c>
      <c r="AQ102" s="1243">
        <f t="shared" si="207"/>
        <v>28862.247884938664</v>
      </c>
      <c r="AR102" s="407">
        <f t="shared" si="208"/>
        <v>28862.247884938664</v>
      </c>
      <c r="AS102" s="907">
        <f t="shared" si="209"/>
        <v>28862.247884938664</v>
      </c>
      <c r="AT102" s="907">
        <f t="shared" si="210"/>
        <v>28862.247884938664</v>
      </c>
      <c r="AU102" s="907">
        <f t="shared" si="211"/>
        <v>28862.247884938664</v>
      </c>
      <c r="AV102" s="907">
        <f t="shared" si="212"/>
        <v>28862.247884938664</v>
      </c>
      <c r="AW102" s="907">
        <f t="shared" si="213"/>
        <v>28862.247884938664</v>
      </c>
      <c r="AX102" s="907">
        <f t="shared" si="214"/>
        <v>28862.247884938664</v>
      </c>
      <c r="AY102" s="907">
        <f t="shared" si="215"/>
        <v>28862.247884938664</v>
      </c>
      <c r="AZ102" s="907">
        <f t="shared" si="216"/>
        <v>28862.247884938664</v>
      </c>
      <c r="BA102" s="907">
        <f t="shared" si="217"/>
        <v>28862.247884938664</v>
      </c>
      <c r="BB102" s="907">
        <f t="shared" si="218"/>
        <v>28862.247884938664</v>
      </c>
      <c r="BC102" s="907">
        <f t="shared" si="219"/>
        <v>28862.247884938664</v>
      </c>
      <c r="BD102" s="908">
        <f t="shared" si="220"/>
        <v>28862.247884938664</v>
      </c>
      <c r="BE102" s="947" t="e">
        <f t="shared" si="221"/>
        <v>#DIV/0!</v>
      </c>
      <c r="BF102" s="1810"/>
      <c r="BG102" s="1811"/>
      <c r="BH102" s="1811"/>
      <c r="BI102" s="1811"/>
      <c r="BJ102" s="1811"/>
      <c r="BK102" s="1811"/>
      <c r="BL102" s="1811"/>
      <c r="BM102" s="1811"/>
      <c r="BN102" s="1812"/>
      <c r="BO102" s="1811"/>
      <c r="BP102" s="1811"/>
      <c r="BQ102" s="1813"/>
      <c r="BR102" s="947"/>
      <c r="BS102" s="3195"/>
      <c r="BT102" s="3198"/>
      <c r="BU102" s="3198"/>
      <c r="BV102" s="3198"/>
      <c r="BW102" s="3198"/>
      <c r="BX102" s="3198"/>
      <c r="BY102" s="3198"/>
      <c r="BZ102" s="3198"/>
      <c r="CA102" s="3198"/>
      <c r="CB102" s="3198"/>
      <c r="CC102" s="3198"/>
      <c r="CD102" s="2801"/>
      <c r="CE102" s="947"/>
      <c r="CF102" s="957">
        <v>0</v>
      </c>
      <c r="CG102" s="879">
        <v>0</v>
      </c>
      <c r="CH102" s="879">
        <v>0</v>
      </c>
      <c r="CI102" s="879">
        <v>0</v>
      </c>
      <c r="CJ102" s="879">
        <v>0</v>
      </c>
      <c r="CK102" s="879">
        <v>0</v>
      </c>
      <c r="CL102" s="879">
        <v>0</v>
      </c>
      <c r="CM102" s="879">
        <v>0</v>
      </c>
      <c r="CN102" s="879">
        <v>0</v>
      </c>
      <c r="CO102" s="879">
        <v>0</v>
      </c>
      <c r="CP102" s="879">
        <v>0</v>
      </c>
      <c r="CQ102" s="1668">
        <v>0</v>
      </c>
    </row>
    <row r="103" spans="2:95" ht="16.5" customHeight="1">
      <c r="B103" s="3313"/>
      <c r="C103" s="3314"/>
      <c r="D103" s="201" t="s">
        <v>248</v>
      </c>
      <c r="E103" s="407">
        <f t="shared" si="191"/>
        <v>5595.8170452198619</v>
      </c>
      <c r="F103" s="69">
        <v>5595.8170452198619</v>
      </c>
      <c r="G103" s="69">
        <v>5595.8170452198619</v>
      </c>
      <c r="H103" s="69">
        <v>5595.8170452198619</v>
      </c>
      <c r="I103" s="69">
        <v>5595.8170452198619</v>
      </c>
      <c r="J103" s="69">
        <v>5595.8170452198619</v>
      </c>
      <c r="K103" s="69">
        <v>5595.8170452198619</v>
      </c>
      <c r="L103" s="69">
        <v>5595.8170452198619</v>
      </c>
      <c r="M103" s="69">
        <v>5595.8170452198619</v>
      </c>
      <c r="N103" s="69">
        <v>5595.8170452198619</v>
      </c>
      <c r="O103" s="69">
        <v>5595.8170452198619</v>
      </c>
      <c r="P103" s="69">
        <v>5595.8170452198619</v>
      </c>
      <c r="Q103" s="223">
        <v>5595.8170452198619</v>
      </c>
      <c r="R103" s="407">
        <f t="shared" si="192"/>
        <v>5595.8170452198619</v>
      </c>
      <c r="S103" s="69">
        <f t="shared" si="193"/>
        <v>5595.8170452198619</v>
      </c>
      <c r="T103" s="69">
        <f t="shared" si="194"/>
        <v>5595.8170452198619</v>
      </c>
      <c r="U103" s="69">
        <f t="shared" si="194"/>
        <v>5595.8170452198619</v>
      </c>
      <c r="V103" s="69">
        <f t="shared" si="194"/>
        <v>5595.8170452198619</v>
      </c>
      <c r="W103" s="69">
        <f t="shared" si="194"/>
        <v>5595.8170452198619</v>
      </c>
      <c r="X103" s="69">
        <f t="shared" si="194"/>
        <v>5595.8170452198619</v>
      </c>
      <c r="Y103" s="69">
        <f t="shared" si="194"/>
        <v>5595.8170452198619</v>
      </c>
      <c r="Z103" s="69">
        <f t="shared" si="194"/>
        <v>5595.8170452198619</v>
      </c>
      <c r="AA103" s="69">
        <f t="shared" si="194"/>
        <v>5595.8170452198619</v>
      </c>
      <c r="AB103" s="69">
        <f t="shared" si="194"/>
        <v>5595.8170452198619</v>
      </c>
      <c r="AC103" s="69">
        <f t="shared" si="194"/>
        <v>5595.8170452198619</v>
      </c>
      <c r="AD103" s="223">
        <f t="shared" si="194"/>
        <v>5595.8170452198619</v>
      </c>
      <c r="AE103" s="407">
        <f t="shared" si="195"/>
        <v>5595.8170452198619</v>
      </c>
      <c r="AF103" s="1241">
        <f t="shared" si="196"/>
        <v>5595.8170452198619</v>
      </c>
      <c r="AG103" s="1242">
        <f t="shared" si="197"/>
        <v>5595.8170452198619</v>
      </c>
      <c r="AH103" s="1242">
        <f t="shared" si="198"/>
        <v>5595.8170452198619</v>
      </c>
      <c r="AI103" s="1242">
        <f t="shared" si="199"/>
        <v>5595.8170452198619</v>
      </c>
      <c r="AJ103" s="1242">
        <f t="shared" si="200"/>
        <v>5595.8170452198619</v>
      </c>
      <c r="AK103" s="1242">
        <f t="shared" si="201"/>
        <v>5595.8170452198619</v>
      </c>
      <c r="AL103" s="1242">
        <f t="shared" si="202"/>
        <v>5595.8170452198619</v>
      </c>
      <c r="AM103" s="1242">
        <f t="shared" si="203"/>
        <v>5595.8170452198619</v>
      </c>
      <c r="AN103" s="1242">
        <f t="shared" si="204"/>
        <v>5595.8170452198619</v>
      </c>
      <c r="AO103" s="1242">
        <f t="shared" si="205"/>
        <v>5595.8170452198619</v>
      </c>
      <c r="AP103" s="1242">
        <f t="shared" si="206"/>
        <v>5595.8170452198619</v>
      </c>
      <c r="AQ103" s="1243">
        <f t="shared" si="207"/>
        <v>5595.8170452198619</v>
      </c>
      <c r="AR103" s="407">
        <f t="shared" si="208"/>
        <v>5595.8170452198619</v>
      </c>
      <c r="AS103" s="907">
        <f t="shared" si="209"/>
        <v>5595.8170452198619</v>
      </c>
      <c r="AT103" s="907">
        <f t="shared" si="210"/>
        <v>5595.8170452198619</v>
      </c>
      <c r="AU103" s="907">
        <f t="shared" si="211"/>
        <v>5595.8170452198619</v>
      </c>
      <c r="AV103" s="907">
        <f t="shared" si="212"/>
        <v>5595.8170452198619</v>
      </c>
      <c r="AW103" s="907">
        <f t="shared" si="213"/>
        <v>5595.8170452198619</v>
      </c>
      <c r="AX103" s="907">
        <f t="shared" si="214"/>
        <v>5595.8170452198619</v>
      </c>
      <c r="AY103" s="907">
        <f t="shared" si="215"/>
        <v>5595.8170452198619</v>
      </c>
      <c r="AZ103" s="907">
        <f t="shared" si="216"/>
        <v>5595.8170452198619</v>
      </c>
      <c r="BA103" s="907">
        <f t="shared" si="217"/>
        <v>5595.8170452198619</v>
      </c>
      <c r="BB103" s="907">
        <f t="shared" si="218"/>
        <v>5595.8170452198619</v>
      </c>
      <c r="BC103" s="907">
        <f t="shared" si="219"/>
        <v>5595.8170452198619</v>
      </c>
      <c r="BD103" s="908">
        <f t="shared" si="220"/>
        <v>5595.8170452198619</v>
      </c>
      <c r="BE103" s="947" t="e">
        <f t="shared" si="221"/>
        <v>#DIV/0!</v>
      </c>
      <c r="BF103" s="1810"/>
      <c r="BG103" s="1811"/>
      <c r="BH103" s="1811"/>
      <c r="BI103" s="1811"/>
      <c r="BJ103" s="1811"/>
      <c r="BK103" s="1811"/>
      <c r="BL103" s="1811"/>
      <c r="BM103" s="1811"/>
      <c r="BN103" s="1812"/>
      <c r="BO103" s="1811"/>
      <c r="BP103" s="1811"/>
      <c r="BQ103" s="1813"/>
      <c r="BR103" s="947" t="e">
        <f t="shared" si="222"/>
        <v>#DIV/0!</v>
      </c>
      <c r="BS103" s="3195"/>
      <c r="BT103" s="3196"/>
      <c r="BU103" s="3196"/>
      <c r="BV103" s="3196"/>
      <c r="BW103" s="3196"/>
      <c r="BX103" s="3196"/>
      <c r="BY103" s="3196"/>
      <c r="BZ103" s="3196"/>
      <c r="CA103" s="3196"/>
      <c r="CB103" s="3196"/>
      <c r="CC103" s="3196"/>
      <c r="CD103" s="2804"/>
      <c r="CE103" s="947">
        <f t="shared" ref="CE103:CE104" si="224">AVERAGE(CF103:CQ103)</f>
        <v>44000</v>
      </c>
      <c r="CF103" s="1810">
        <v>44000</v>
      </c>
      <c r="CG103" s="1811">
        <v>44000</v>
      </c>
      <c r="CH103" s="1811">
        <v>44000</v>
      </c>
      <c r="CI103" s="1811">
        <v>44000</v>
      </c>
      <c r="CJ103" s="1811">
        <v>44000</v>
      </c>
      <c r="CK103" s="1811">
        <v>44000</v>
      </c>
      <c r="CL103" s="1811">
        <v>44000</v>
      </c>
      <c r="CM103" s="1811">
        <v>44000</v>
      </c>
      <c r="CN103" s="1812">
        <v>44000</v>
      </c>
      <c r="CO103" s="1811">
        <v>44000</v>
      </c>
      <c r="CP103" s="1811">
        <v>44000</v>
      </c>
      <c r="CQ103" s="1813">
        <v>44000</v>
      </c>
    </row>
    <row r="104" spans="2:95" ht="16.5" customHeight="1">
      <c r="B104" s="3313"/>
      <c r="C104" s="3314"/>
      <c r="D104" s="203" t="s">
        <v>57</v>
      </c>
      <c r="E104" s="408">
        <f t="shared" si="191"/>
        <v>20057.796846955203</v>
      </c>
      <c r="F104" s="136">
        <v>20057.796846955207</v>
      </c>
      <c r="G104" s="136">
        <v>20057.796846955207</v>
      </c>
      <c r="H104" s="136">
        <v>20057.796846955207</v>
      </c>
      <c r="I104" s="136">
        <v>20057.796846955207</v>
      </c>
      <c r="J104" s="136">
        <v>20057.796846955207</v>
      </c>
      <c r="K104" s="136">
        <v>20057.796846955207</v>
      </c>
      <c r="L104" s="136">
        <v>20057.796846955207</v>
      </c>
      <c r="M104" s="136">
        <v>20057.796846955207</v>
      </c>
      <c r="N104" s="136">
        <v>20057.796846955207</v>
      </c>
      <c r="O104" s="136">
        <v>20057.796846955207</v>
      </c>
      <c r="P104" s="136">
        <v>20057.796846955207</v>
      </c>
      <c r="Q104" s="224">
        <v>20057.796846955207</v>
      </c>
      <c r="R104" s="408">
        <f t="shared" si="192"/>
        <v>20057.796846955203</v>
      </c>
      <c r="S104" s="136">
        <f t="shared" si="193"/>
        <v>20057.796846955207</v>
      </c>
      <c r="T104" s="136">
        <f t="shared" si="194"/>
        <v>20057.796846955207</v>
      </c>
      <c r="U104" s="136">
        <f t="shared" si="194"/>
        <v>20057.796846955207</v>
      </c>
      <c r="V104" s="136">
        <f t="shared" si="194"/>
        <v>20057.796846955207</v>
      </c>
      <c r="W104" s="136">
        <f t="shared" si="194"/>
        <v>20057.796846955207</v>
      </c>
      <c r="X104" s="136">
        <f t="shared" si="194"/>
        <v>20057.796846955207</v>
      </c>
      <c r="Y104" s="136">
        <f t="shared" si="194"/>
        <v>20057.796846955207</v>
      </c>
      <c r="Z104" s="136">
        <f t="shared" si="194"/>
        <v>20057.796846955207</v>
      </c>
      <c r="AA104" s="136">
        <f t="shared" si="194"/>
        <v>20057.796846955207</v>
      </c>
      <c r="AB104" s="136">
        <f t="shared" si="194"/>
        <v>20057.796846955207</v>
      </c>
      <c r="AC104" s="136">
        <f t="shared" si="194"/>
        <v>20057.796846955207</v>
      </c>
      <c r="AD104" s="224">
        <f t="shared" si="194"/>
        <v>20057.796846955207</v>
      </c>
      <c r="AE104" s="408">
        <f t="shared" si="195"/>
        <v>20057.796846955203</v>
      </c>
      <c r="AF104" s="1244">
        <f t="shared" si="196"/>
        <v>20057.796846955207</v>
      </c>
      <c r="AG104" s="1245">
        <f t="shared" si="197"/>
        <v>20057.796846955207</v>
      </c>
      <c r="AH104" s="1245">
        <f t="shared" si="198"/>
        <v>20057.796846955207</v>
      </c>
      <c r="AI104" s="1245">
        <f t="shared" si="199"/>
        <v>20057.796846955207</v>
      </c>
      <c r="AJ104" s="1245">
        <f t="shared" si="200"/>
        <v>20057.796846955207</v>
      </c>
      <c r="AK104" s="1245">
        <f t="shared" si="201"/>
        <v>20057.796846955207</v>
      </c>
      <c r="AL104" s="1245">
        <f t="shared" si="202"/>
        <v>20057.796846955207</v>
      </c>
      <c r="AM104" s="1245">
        <f t="shared" si="203"/>
        <v>20057.796846955207</v>
      </c>
      <c r="AN104" s="1245">
        <f t="shared" si="204"/>
        <v>20057.796846955207</v>
      </c>
      <c r="AO104" s="1245">
        <f t="shared" si="205"/>
        <v>20057.796846955207</v>
      </c>
      <c r="AP104" s="1245">
        <f t="shared" si="206"/>
        <v>20057.796846955207</v>
      </c>
      <c r="AQ104" s="1246">
        <f t="shared" si="207"/>
        <v>20057.796846955207</v>
      </c>
      <c r="AR104" s="408">
        <f t="shared" si="208"/>
        <v>20057.796846955203</v>
      </c>
      <c r="AS104" s="909">
        <f t="shared" si="209"/>
        <v>20057.796846955207</v>
      </c>
      <c r="AT104" s="909">
        <f t="shared" si="210"/>
        <v>20057.796846955207</v>
      </c>
      <c r="AU104" s="909">
        <f t="shared" si="211"/>
        <v>20057.796846955207</v>
      </c>
      <c r="AV104" s="909">
        <f t="shared" si="212"/>
        <v>20057.796846955207</v>
      </c>
      <c r="AW104" s="909">
        <f t="shared" si="213"/>
        <v>20057.796846955207</v>
      </c>
      <c r="AX104" s="909">
        <f t="shared" si="214"/>
        <v>20057.796846955207</v>
      </c>
      <c r="AY104" s="909">
        <f t="shared" si="215"/>
        <v>20057.796846955207</v>
      </c>
      <c r="AZ104" s="909">
        <f t="shared" si="216"/>
        <v>20057.796846955207</v>
      </c>
      <c r="BA104" s="909">
        <f t="shared" si="217"/>
        <v>20057.796846955207</v>
      </c>
      <c r="BB104" s="909">
        <f t="shared" si="218"/>
        <v>20057.796846955207</v>
      </c>
      <c r="BC104" s="909">
        <f t="shared" si="219"/>
        <v>20057.796846955207</v>
      </c>
      <c r="BD104" s="910">
        <f t="shared" si="220"/>
        <v>20057.796846955207</v>
      </c>
      <c r="BE104" s="948" t="e">
        <f t="shared" si="221"/>
        <v>#DIV/0!</v>
      </c>
      <c r="BF104" s="1814"/>
      <c r="BG104" s="1815"/>
      <c r="BH104" s="1815"/>
      <c r="BI104" s="1815"/>
      <c r="BJ104" s="1815"/>
      <c r="BK104" s="1815"/>
      <c r="BL104" s="1815"/>
      <c r="BM104" s="1815"/>
      <c r="BN104" s="1816"/>
      <c r="BO104" s="1815"/>
      <c r="BP104" s="1815"/>
      <c r="BQ104" s="1817"/>
      <c r="BR104" s="948" t="e">
        <f t="shared" si="222"/>
        <v>#DIV/0!</v>
      </c>
      <c r="BS104" s="3199"/>
      <c r="BT104" s="3200"/>
      <c r="BU104" s="3200"/>
      <c r="BV104" s="3200"/>
      <c r="BW104" s="3200"/>
      <c r="BX104" s="3200"/>
      <c r="BY104" s="3200"/>
      <c r="BZ104" s="3200"/>
      <c r="CA104" s="3200"/>
      <c r="CB104" s="3200"/>
      <c r="CC104" s="3200"/>
      <c r="CD104" s="2805"/>
      <c r="CE104" s="948">
        <f t="shared" si="224"/>
        <v>25000</v>
      </c>
      <c r="CF104" s="1814">
        <v>25000</v>
      </c>
      <c r="CG104" s="1815">
        <v>25000</v>
      </c>
      <c r="CH104" s="1815">
        <v>25000</v>
      </c>
      <c r="CI104" s="1815">
        <v>25000</v>
      </c>
      <c r="CJ104" s="1815">
        <v>25000</v>
      </c>
      <c r="CK104" s="1815">
        <v>25000</v>
      </c>
      <c r="CL104" s="1815">
        <v>25000</v>
      </c>
      <c r="CM104" s="1815">
        <v>25000</v>
      </c>
      <c r="CN104" s="1816">
        <v>25000</v>
      </c>
      <c r="CO104" s="1815">
        <v>25000</v>
      </c>
      <c r="CP104" s="1815">
        <v>25000</v>
      </c>
      <c r="CQ104" s="1817">
        <v>25000</v>
      </c>
    </row>
    <row r="105" spans="2:95" ht="16.5" hidden="1" customHeight="1">
      <c r="B105" s="3315"/>
      <c r="C105" s="3316"/>
      <c r="D105" s="215" t="s">
        <v>300</v>
      </c>
      <c r="E105" s="409"/>
      <c r="F105" s="301"/>
      <c r="G105" s="301"/>
      <c r="H105" s="301"/>
      <c r="I105" s="301"/>
      <c r="J105" s="301"/>
      <c r="K105" s="301"/>
      <c r="L105" s="301"/>
      <c r="M105" s="301"/>
      <c r="N105" s="301"/>
      <c r="O105" s="301"/>
      <c r="P105" s="301"/>
      <c r="Q105" s="302"/>
      <c r="R105" s="409"/>
      <c r="S105" s="301"/>
      <c r="T105" s="301"/>
      <c r="U105" s="301"/>
      <c r="V105" s="301"/>
      <c r="W105" s="301"/>
      <c r="X105" s="301"/>
      <c r="Y105" s="301"/>
      <c r="Z105" s="301"/>
      <c r="AA105" s="301"/>
      <c r="AB105" s="301"/>
      <c r="AC105" s="301"/>
      <c r="AD105" s="302"/>
      <c r="AE105" s="409"/>
      <c r="AF105" s="1247"/>
      <c r="AG105" s="1248"/>
      <c r="AH105" s="1248"/>
      <c r="AI105" s="1248"/>
      <c r="AJ105" s="1248"/>
      <c r="AK105" s="1248"/>
      <c r="AL105" s="1248"/>
      <c r="AM105" s="1248"/>
      <c r="AN105" s="1248"/>
      <c r="AO105" s="1248"/>
      <c r="AP105" s="1248"/>
      <c r="AQ105" s="1249"/>
      <c r="AR105" s="409"/>
      <c r="AS105" s="911"/>
      <c r="AT105" s="911"/>
      <c r="AU105" s="911"/>
      <c r="AV105" s="911"/>
      <c r="AW105" s="911"/>
      <c r="AX105" s="911"/>
      <c r="AY105" s="911"/>
      <c r="AZ105" s="911"/>
      <c r="BA105" s="911"/>
      <c r="BB105" s="911"/>
      <c r="BC105" s="911"/>
      <c r="BD105" s="912"/>
      <c r="BE105" s="949"/>
      <c r="BF105" s="1818"/>
      <c r="BG105" s="1819"/>
      <c r="BH105" s="1819"/>
      <c r="BI105" s="1819"/>
      <c r="BJ105" s="1819"/>
      <c r="BK105" s="1819"/>
      <c r="BL105" s="1819"/>
      <c r="BM105" s="1819"/>
      <c r="BN105" s="1820"/>
      <c r="BO105" s="1819"/>
      <c r="BP105" s="1819"/>
      <c r="BQ105" s="1821"/>
      <c r="BR105" s="949"/>
      <c r="BS105" s="1818"/>
      <c r="BT105" s="1819"/>
      <c r="BU105" s="1819"/>
      <c r="BV105" s="1819"/>
      <c r="BW105" s="1819"/>
      <c r="BX105" s="1819"/>
      <c r="BY105" s="1819"/>
      <c r="BZ105" s="1819"/>
      <c r="CA105" s="1820"/>
      <c r="CB105" s="1819"/>
      <c r="CC105" s="1819"/>
      <c r="CD105" s="1821"/>
      <c r="CE105" s="949"/>
      <c r="CF105" s="1818"/>
      <c r="CG105" s="1819"/>
      <c r="CH105" s="1819"/>
      <c r="CI105" s="1819"/>
      <c r="CJ105" s="1819"/>
      <c r="CK105" s="1819"/>
      <c r="CL105" s="1819"/>
      <c r="CM105" s="1819"/>
      <c r="CN105" s="1820"/>
      <c r="CO105" s="1819"/>
      <c r="CP105" s="1819"/>
      <c r="CQ105" s="1821"/>
    </row>
    <row r="106" spans="2:95" ht="16.5" customHeight="1">
      <c r="B106" s="3311" t="s">
        <v>203</v>
      </c>
      <c r="C106" s="3312"/>
      <c r="D106" s="210" t="s">
        <v>204</v>
      </c>
      <c r="E106" s="410">
        <f>AVERAGE(F106:Q106)</f>
        <v>1862.0454512593326</v>
      </c>
      <c r="F106" s="360">
        <v>1726.6254941170182</v>
      </c>
      <c r="G106" s="360">
        <v>1802.3387518424779</v>
      </c>
      <c r="H106" s="360">
        <v>1932.8233351591614</v>
      </c>
      <c r="I106" s="360">
        <v>1814.807303979489</v>
      </c>
      <c r="J106" s="360">
        <v>1973.642735447685</v>
      </c>
      <c r="K106" s="360">
        <v>1831.946143768062</v>
      </c>
      <c r="L106" s="360">
        <v>1850.6598007442722</v>
      </c>
      <c r="M106" s="360">
        <v>1928.2394681380094</v>
      </c>
      <c r="N106" s="360">
        <v>1827.0557985877022</v>
      </c>
      <c r="O106" s="360">
        <v>1869.4975708514803</v>
      </c>
      <c r="P106" s="360">
        <v>1868.2168044734319</v>
      </c>
      <c r="Q106" s="360">
        <v>1918.692208003202</v>
      </c>
      <c r="R106" s="410">
        <f>AVERAGE(S106:AD106)</f>
        <v>1987.5545880191021</v>
      </c>
      <c r="S106" s="410">
        <f>(S116-S125)*1000000/S40</f>
        <v>1913.3843092319826</v>
      </c>
      <c r="T106" s="410">
        <f t="shared" ref="T106:U106" si="225">(T116-T125)*1000000/T40</f>
        <v>1854.7513637544507</v>
      </c>
      <c r="U106" s="410">
        <f t="shared" si="225"/>
        <v>2022.5891023994579</v>
      </c>
      <c r="V106" s="410">
        <f t="shared" ref="V106:Y106" si="226">(V116-V125)*1000000/V40</f>
        <v>1903.4297624505957</v>
      </c>
      <c r="W106" s="410">
        <f t="shared" si="226"/>
        <v>1976.2071516818119</v>
      </c>
      <c r="X106" s="410">
        <f t="shared" si="226"/>
        <v>1990.3731246086581</v>
      </c>
      <c r="Y106" s="410">
        <f t="shared" si="226"/>
        <v>1989.4221588319369</v>
      </c>
      <c r="Z106" s="410">
        <f t="shared" ref="Z106" si="227">(Z116-Z125)*1000000/Z40</f>
        <v>2060.7725631939056</v>
      </c>
      <c r="AA106" s="410">
        <f t="shared" ref="AA106" si="228">(AA116-AA125)*1000000/AA40</f>
        <v>1989.299110849922</v>
      </c>
      <c r="AB106" s="410">
        <f t="shared" ref="AB106:AC106" si="229">(AB116-AB125)*1000000/AB40</f>
        <v>2068.0573101961263</v>
      </c>
      <c r="AC106" s="410">
        <f t="shared" si="229"/>
        <v>2106.161086214543</v>
      </c>
      <c r="AD106" s="410">
        <f t="shared" ref="AD106:AF106" si="230">(AD116-AD125)*1000000/AD40</f>
        <v>1976.20801281583</v>
      </c>
      <c r="AE106" s="410">
        <f>AVERAGE(AF106:AQ106)</f>
        <v>2581.1882021700549</v>
      </c>
      <c r="AF106" s="1250">
        <f t="shared" si="230"/>
        <v>2074.2695010494804</v>
      </c>
      <c r="AG106" s="1236">
        <f t="shared" ref="AG106" si="231">(AG116-AG125)*1000000/AG40</f>
        <v>2142.2977381988762</v>
      </c>
      <c r="AH106" s="1236">
        <f t="shared" ref="AH106:AI106" si="232">(AH116-AH125)*1000000/AH40</f>
        <v>2149.1964490222085</v>
      </c>
      <c r="AI106" s="1236">
        <f t="shared" si="232"/>
        <v>2684.1161763558325</v>
      </c>
      <c r="AJ106" s="1236">
        <f t="shared" ref="AJ106:AK106" si="233">(AJ116-AJ125)*1000000/AJ40</f>
        <v>2721.748966269377</v>
      </c>
      <c r="AK106" s="1236">
        <f t="shared" si="233"/>
        <v>2639.5739264069734</v>
      </c>
      <c r="AL106" s="1236">
        <f t="shared" ref="AL106:AQ106" si="234">(AL116-AL125)*1000000/AL40</f>
        <v>2736.9123041432858</v>
      </c>
      <c r="AM106" s="1236">
        <f t="shared" si="234"/>
        <v>2776.831229239624</v>
      </c>
      <c r="AN106" s="1236">
        <f t="shared" si="234"/>
        <v>2677.210299055323</v>
      </c>
      <c r="AO106" s="1236">
        <f t="shared" si="234"/>
        <v>2792.500894225358</v>
      </c>
      <c r="AP106" s="1236">
        <f t="shared" si="234"/>
        <v>2824.5358112499093</v>
      </c>
      <c r="AQ106" s="1237">
        <f t="shared" si="234"/>
        <v>2755.0651308244069</v>
      </c>
      <c r="AR106" s="410">
        <f>AVERAGE(AS106:BD106)</f>
        <v>2740.4155217467792</v>
      </c>
      <c r="AS106" s="903">
        <f t="shared" ref="AS106:AX106" si="235">(AS116-AS125)*1000000/AS40</f>
        <v>2737.8678089302048</v>
      </c>
      <c r="AT106" s="903">
        <f t="shared" si="235"/>
        <v>2728.6216369723888</v>
      </c>
      <c r="AU106" s="903">
        <f t="shared" si="235"/>
        <v>2763.2503147955881</v>
      </c>
      <c r="AV106" s="903">
        <f t="shared" si="235"/>
        <v>2674.6007587270019</v>
      </c>
      <c r="AW106" s="903">
        <f t="shared" si="235"/>
        <v>2720.0734775816645</v>
      </c>
      <c r="AX106" s="903">
        <f t="shared" si="235"/>
        <v>2739.4810523055007</v>
      </c>
      <c r="AY106" s="903">
        <f t="shared" ref="AY106:BD106" si="236">(AY116-AY125)*1000000/AY40</f>
        <v>2724.1951896028281</v>
      </c>
      <c r="AZ106" s="903">
        <f t="shared" si="236"/>
        <v>2739.4482212202965</v>
      </c>
      <c r="BA106" s="903">
        <f t="shared" si="236"/>
        <v>2736.8401253340257</v>
      </c>
      <c r="BB106" s="903">
        <f t="shared" si="236"/>
        <v>2761.9894979314208</v>
      </c>
      <c r="BC106" s="903">
        <f t="shared" si="236"/>
        <v>2770.8340098566036</v>
      </c>
      <c r="BD106" s="904">
        <f t="shared" si="236"/>
        <v>2787.7841677038232</v>
      </c>
      <c r="BE106" s="761">
        <f>AVERAGE(BF106:BQ106)</f>
        <v>3330.5095941163941</v>
      </c>
      <c r="BF106" s="410">
        <f t="shared" ref="BF106:BK106" si="237">(BF116-BF125)*1000000/BF40</f>
        <v>3262.5064809347282</v>
      </c>
      <c r="BG106" s="903">
        <f t="shared" si="237"/>
        <v>3323.7991542257973</v>
      </c>
      <c r="BH106" s="903">
        <f t="shared" si="237"/>
        <v>3284.255601886</v>
      </c>
      <c r="BI106" s="903">
        <f t="shared" si="237"/>
        <v>3327.6869307191278</v>
      </c>
      <c r="BJ106" s="903">
        <f t="shared" si="237"/>
        <v>3328.877409323436</v>
      </c>
      <c r="BK106" s="903">
        <f t="shared" si="237"/>
        <v>3360.2180012226659</v>
      </c>
      <c r="BL106" s="903">
        <f t="shared" ref="BL106:BQ106" si="238">(BL116-BL125)*1000000/BL40</f>
        <v>3354.3540074869275</v>
      </c>
      <c r="BM106" s="903">
        <f t="shared" si="238"/>
        <v>3337.3035416302873</v>
      </c>
      <c r="BN106" s="1734">
        <f t="shared" si="238"/>
        <v>3365.9214583968942</v>
      </c>
      <c r="BO106" s="903">
        <f t="shared" si="238"/>
        <v>3346.2826232291818</v>
      </c>
      <c r="BP106" s="903">
        <f t="shared" si="238"/>
        <v>3336.2192261871051</v>
      </c>
      <c r="BQ106" s="1749">
        <f t="shared" si="238"/>
        <v>3338.6906941545767</v>
      </c>
      <c r="BR106" s="761">
        <f>AVERAGE(BS106:CD106)</f>
        <v>3021.1138586812249</v>
      </c>
      <c r="BS106" s="410">
        <f t="shared" ref="BS106:CD106" si="239">(BS116-BS125)*1000000/BS40</f>
        <v>3012.2244607089992</v>
      </c>
      <c r="BT106" s="903">
        <f t="shared" si="239"/>
        <v>3005.8241990339238</v>
      </c>
      <c r="BU106" s="903">
        <f t="shared" si="239"/>
        <v>2993.307437030302</v>
      </c>
      <c r="BV106" s="903">
        <f t="shared" si="239"/>
        <v>2982.0662448939042</v>
      </c>
      <c r="BW106" s="903">
        <f t="shared" si="239"/>
        <v>2938.0160465488534</v>
      </c>
      <c r="BX106" s="903">
        <f t="shared" si="239"/>
        <v>3105.8152006928094</v>
      </c>
      <c r="BY106" s="903">
        <f t="shared" si="239"/>
        <v>3186.4584337535866</v>
      </c>
      <c r="BZ106" s="903">
        <f t="shared" si="239"/>
        <v>3042.9536190927593</v>
      </c>
      <c r="CA106" s="1734">
        <f t="shared" si="239"/>
        <v>2984.883438022367</v>
      </c>
      <c r="CB106" s="903">
        <f t="shared" si="239"/>
        <v>3021.8791391498044</v>
      </c>
      <c r="CC106" s="903">
        <f t="shared" si="239"/>
        <v>3003.6603086442328</v>
      </c>
      <c r="CD106" s="1749">
        <f t="shared" si="239"/>
        <v>2976.2777766031604</v>
      </c>
      <c r="CE106" s="761">
        <f>AVERAGE(CF106:CQ106)</f>
        <v>2855.0831616873024</v>
      </c>
      <c r="CF106" s="410">
        <f t="shared" ref="CF106:CQ106" si="240">(CF116-CF125)*1000000/CF40</f>
        <v>2898.0212866626271</v>
      </c>
      <c r="CG106" s="903">
        <f t="shared" si="240"/>
        <v>2890.0318085219606</v>
      </c>
      <c r="CH106" s="903">
        <f t="shared" si="240"/>
        <v>2880.1369491133978</v>
      </c>
      <c r="CI106" s="903">
        <f t="shared" si="240"/>
        <v>2872.1971446073626</v>
      </c>
      <c r="CJ106" s="903">
        <f t="shared" si="240"/>
        <v>2864.4269605851537</v>
      </c>
      <c r="CK106" s="903">
        <f t="shared" si="240"/>
        <v>2857.2734153375009</v>
      </c>
      <c r="CL106" s="903">
        <f t="shared" si="240"/>
        <v>2848.7970385629778</v>
      </c>
      <c r="CM106" s="903">
        <f t="shared" si="240"/>
        <v>2841.8536467155391</v>
      </c>
      <c r="CN106" s="1734">
        <f t="shared" si="240"/>
        <v>2835.0819636583624</v>
      </c>
      <c r="CO106" s="903">
        <f t="shared" si="240"/>
        <v>2830.2495532861808</v>
      </c>
      <c r="CP106" s="903">
        <f t="shared" si="240"/>
        <v>2824.2596797034462</v>
      </c>
      <c r="CQ106" s="1749">
        <f t="shared" si="240"/>
        <v>2818.6684934931277</v>
      </c>
    </row>
    <row r="107" spans="2:95" ht="16.5" customHeight="1">
      <c r="B107" s="3313"/>
      <c r="C107" s="3314"/>
      <c r="D107" s="201" t="s">
        <v>15</v>
      </c>
      <c r="E107" s="398">
        <f>AVERAGE(F107:Q107)</f>
        <v>2822.4183530342448</v>
      </c>
      <c r="F107" s="635">
        <v>2921.2543097482426</v>
      </c>
      <c r="G107" s="635">
        <v>2843.6911252392424</v>
      </c>
      <c r="H107" s="635">
        <v>2864.9830975191094</v>
      </c>
      <c r="I107" s="635">
        <v>2897.6644635709781</v>
      </c>
      <c r="J107" s="635">
        <v>2870.2189471035604</v>
      </c>
      <c r="K107" s="635">
        <v>2847.0496215944067</v>
      </c>
      <c r="L107" s="635">
        <v>2838.1465144607928</v>
      </c>
      <c r="M107" s="635">
        <v>2746.8071261353407</v>
      </c>
      <c r="N107" s="635">
        <v>2751.4760157678134</v>
      </c>
      <c r="O107" s="635">
        <v>2824.9896315514889</v>
      </c>
      <c r="P107" s="635">
        <v>2741.1973631909891</v>
      </c>
      <c r="Q107" s="635">
        <v>2721.5420205289702</v>
      </c>
      <c r="R107" s="398">
        <f>AVERAGE(S107:AD107)</f>
        <v>2479.0919084390293</v>
      </c>
      <c r="S107" s="692">
        <f>S117*1000000/S41</f>
        <v>2740.6139360803722</v>
      </c>
      <c r="T107" s="692">
        <f t="shared" ref="T107:U107" si="241">T117*1000000/T41</f>
        <v>2745.0156530602344</v>
      </c>
      <c r="U107" s="692">
        <f t="shared" si="241"/>
        <v>2926.0778358052439</v>
      </c>
      <c r="V107" s="692">
        <f t="shared" ref="V107:W107" si="242">V117*1000000/V41</f>
        <v>2845.4619150556928</v>
      </c>
      <c r="W107" s="692">
        <f t="shared" si="242"/>
        <v>2895.5649280536295</v>
      </c>
      <c r="X107" s="692">
        <f t="shared" ref="X107:Y107" si="243">X117*1000000/X41</f>
        <v>2743.4672213566682</v>
      </c>
      <c r="Y107" s="692">
        <f t="shared" si="243"/>
        <v>2661.6909303297502</v>
      </c>
      <c r="Z107" s="692">
        <f t="shared" ref="Z107:AA107" si="244">Z117*1000000/Z41</f>
        <v>2865.6305309820768</v>
      </c>
      <c r="AA107" s="692">
        <f t="shared" si="244"/>
        <v>1654.2865483797723</v>
      </c>
      <c r="AB107" s="692">
        <f t="shared" ref="AB107:AC107" si="245">AB117*1000000/AB41</f>
        <v>1935.2112456126031</v>
      </c>
      <c r="AC107" s="692">
        <f t="shared" si="245"/>
        <v>2040.8180393143025</v>
      </c>
      <c r="AD107" s="692">
        <f>AD117*1000000/AD41</f>
        <v>1695.2641172380049</v>
      </c>
      <c r="AE107" s="398">
        <f>AVERAGE(AF107:AQ107)</f>
        <v>3000.4903820031686</v>
      </c>
      <c r="AF107" s="1203">
        <f t="shared" ref="AF107:AG107" si="246">AF117*1000000/AF41</f>
        <v>1082.5106971510918</v>
      </c>
      <c r="AG107" s="1044">
        <f t="shared" si="246"/>
        <v>774.53775282149161</v>
      </c>
      <c r="AH107" s="1044">
        <f t="shared" ref="AH107:AI107" si="247">AH117*1000000/AH41</f>
        <v>2390.9868704076512</v>
      </c>
      <c r="AI107" s="1044">
        <f t="shared" si="247"/>
        <v>2580.0363825757568</v>
      </c>
      <c r="AJ107" s="1044">
        <f t="shared" ref="AJ107:AK107" si="248">AJ117*1000000/AJ41</f>
        <v>2813.0197885835082</v>
      </c>
      <c r="AK107" s="1044">
        <f t="shared" si="248"/>
        <v>1726.4880549737113</v>
      </c>
      <c r="AL107" s="1251">
        <f t="shared" ref="AL107:AQ107" si="249">AL117*1000000/AL41</f>
        <v>3302.5066715802732</v>
      </c>
      <c r="AM107" s="1251">
        <f t="shared" si="249"/>
        <v>4143.7707607489619</v>
      </c>
      <c r="AN107" s="1251">
        <f t="shared" si="249"/>
        <v>3384.0458234592847</v>
      </c>
      <c r="AO107" s="1251">
        <f t="shared" si="249"/>
        <v>5144.381765850113</v>
      </c>
      <c r="AP107" s="1251">
        <f t="shared" si="249"/>
        <v>4952.6022045454511</v>
      </c>
      <c r="AQ107" s="1252">
        <f t="shared" si="249"/>
        <v>3710.9978113407233</v>
      </c>
      <c r="AR107" s="398">
        <f>AVERAGE(AS107:BD107)</f>
        <v>5112.2955608772181</v>
      </c>
      <c r="AS107" s="1126">
        <f t="shared" ref="AS107:AX107" si="250">AS117*1000000/AS41</f>
        <v>5002.7897963730056</v>
      </c>
      <c r="AT107" s="1126">
        <f t="shared" si="250"/>
        <v>5326.4032470902321</v>
      </c>
      <c r="AU107" s="1126">
        <f t="shared" si="250"/>
        <v>4880.0305117379839</v>
      </c>
      <c r="AV107" s="1126">
        <f t="shared" si="250"/>
        <v>5044.4795969906854</v>
      </c>
      <c r="AW107" s="1126">
        <f t="shared" si="250"/>
        <v>4865.8744569482515</v>
      </c>
      <c r="AX107" s="1126">
        <f t="shared" si="250"/>
        <v>5040.1734292244846</v>
      </c>
      <c r="AY107" s="1126">
        <f t="shared" ref="AY107:BD107" si="251">AY117*1000000/AY41</f>
        <v>5157.1032046960609</v>
      </c>
      <c r="AZ107" s="1126">
        <f t="shared" si="251"/>
        <v>5069.4680880902633</v>
      </c>
      <c r="BA107" s="1126">
        <f t="shared" si="251"/>
        <v>5094.4033802363574</v>
      </c>
      <c r="BB107" s="1126">
        <f t="shared" si="251"/>
        <v>5251.962247666348</v>
      </c>
      <c r="BC107" s="1126">
        <f t="shared" si="251"/>
        <v>5257.2799561277197</v>
      </c>
      <c r="BD107" s="1127">
        <f t="shared" si="251"/>
        <v>5357.5788153452286</v>
      </c>
      <c r="BE107" s="937">
        <f>AVERAGE(BF107:BQ107)</f>
        <v>5248.9127253032248</v>
      </c>
      <c r="BF107" s="1802">
        <f t="shared" ref="BF107:BK107" si="252">BF117*1000000/BF41</f>
        <v>5079.703509323419</v>
      </c>
      <c r="BG107" s="1803">
        <f t="shared" si="252"/>
        <v>5150.0880138592802</v>
      </c>
      <c r="BH107" s="1803">
        <f t="shared" si="252"/>
        <v>5225.2681905195122</v>
      </c>
      <c r="BI107" s="1803">
        <f t="shared" si="252"/>
        <v>5312.8677831079676</v>
      </c>
      <c r="BJ107" s="1803">
        <f t="shared" si="252"/>
        <v>5398.2101306670802</v>
      </c>
      <c r="BK107" s="1803">
        <f t="shared" si="252"/>
        <v>5475.4513424609395</v>
      </c>
      <c r="BL107" s="1803">
        <f>BL117*1000000/BL41</f>
        <v>5400.8109324746665</v>
      </c>
      <c r="BM107" s="1803">
        <f t="shared" ref="BM107:BQ107" si="253">BM117*1000000/BM41</f>
        <v>5078.771586995299</v>
      </c>
      <c r="BN107" s="1803">
        <f t="shared" si="253"/>
        <v>5120.7045457900113</v>
      </c>
      <c r="BO107" s="1803">
        <f t="shared" si="253"/>
        <v>5198.246750319996</v>
      </c>
      <c r="BP107" s="1803">
        <f t="shared" si="253"/>
        <v>5239.469677033725</v>
      </c>
      <c r="BQ107" s="1822">
        <f t="shared" si="253"/>
        <v>5307.3602410867989</v>
      </c>
      <c r="BR107" s="937">
        <f>AVERAGE(BS107:CD107)</f>
        <v>4642.1352207212676</v>
      </c>
      <c r="BS107" s="1802">
        <f t="shared" ref="BS107:BX107" si="254">BS117*1000000/BS41</f>
        <v>5244.4162187383072</v>
      </c>
      <c r="BT107" s="1803">
        <f t="shared" si="254"/>
        <v>5305.5818689029174</v>
      </c>
      <c r="BU107" s="1803">
        <f t="shared" si="254"/>
        <v>5135.9176505275027</v>
      </c>
      <c r="BV107" s="1803">
        <f t="shared" si="254"/>
        <v>5077.4793374974925</v>
      </c>
      <c r="BW107" s="1803">
        <f t="shared" si="254"/>
        <v>4965.0611953403823</v>
      </c>
      <c r="BX107" s="1803">
        <f t="shared" si="254"/>
        <v>5078.8537183414201</v>
      </c>
      <c r="BY107" s="1803">
        <f>BY117*1000000/BY41</f>
        <v>5233.5840936686045</v>
      </c>
      <c r="BZ107" s="1803">
        <f t="shared" ref="BZ107:CD107" si="255">BZ117*1000000/BZ41</f>
        <v>5346.6628206260921</v>
      </c>
      <c r="CA107" s="1803">
        <f t="shared" si="255"/>
        <v>3687.9973969035973</v>
      </c>
      <c r="CB107" s="1803">
        <f t="shared" si="255"/>
        <v>3734.9667587958465</v>
      </c>
      <c r="CC107" s="1803">
        <f t="shared" si="255"/>
        <v>3813.082686698061</v>
      </c>
      <c r="CD107" s="1822">
        <f t="shared" si="255"/>
        <v>3082.0189026149847</v>
      </c>
      <c r="CE107" s="937">
        <f t="shared" ref="CE107:CE112" si="256">AVERAGE(CF107:CQ107)</f>
        <v>5100</v>
      </c>
      <c r="CF107" s="957">
        <v>5100</v>
      </c>
      <c r="CG107" s="879">
        <f>CF107</f>
        <v>5100</v>
      </c>
      <c r="CH107" s="879">
        <f t="shared" ref="CH107:CQ107" si="257">CG107</f>
        <v>5100</v>
      </c>
      <c r="CI107" s="879">
        <f t="shared" si="257"/>
        <v>5100</v>
      </c>
      <c r="CJ107" s="879">
        <f t="shared" si="257"/>
        <v>5100</v>
      </c>
      <c r="CK107" s="879">
        <f t="shared" si="257"/>
        <v>5100</v>
      </c>
      <c r="CL107" s="879">
        <f t="shared" si="257"/>
        <v>5100</v>
      </c>
      <c r="CM107" s="879">
        <f t="shared" si="257"/>
        <v>5100</v>
      </c>
      <c r="CN107" s="879">
        <f t="shared" si="257"/>
        <v>5100</v>
      </c>
      <c r="CO107" s="879">
        <f t="shared" si="257"/>
        <v>5100</v>
      </c>
      <c r="CP107" s="879">
        <f t="shared" si="257"/>
        <v>5100</v>
      </c>
      <c r="CQ107" s="1668">
        <f t="shared" si="257"/>
        <v>5100</v>
      </c>
    </row>
    <row r="108" spans="2:95" ht="16.5" customHeight="1">
      <c r="B108" s="3313"/>
      <c r="C108" s="3314"/>
      <c r="D108" s="201" t="s">
        <v>16</v>
      </c>
      <c r="E108" s="398">
        <f t="shared" ref="E108:E114" si="258">AVERAGE(F108:Q108)</f>
        <v>2583.7832950722263</v>
      </c>
      <c r="F108" s="636">
        <v>2479.8546438855092</v>
      </c>
      <c r="G108" s="636">
        <v>2467.3105664248224</v>
      </c>
      <c r="H108" s="636">
        <v>2573.5581612543906</v>
      </c>
      <c r="I108" s="636">
        <v>2550.130818037951</v>
      </c>
      <c r="J108" s="636">
        <v>2614.2996312650789</v>
      </c>
      <c r="K108" s="636">
        <v>2572.3943338179115</v>
      </c>
      <c r="L108" s="636">
        <v>2539.6512208106692</v>
      </c>
      <c r="M108" s="636">
        <v>2572.0333841999427</v>
      </c>
      <c r="N108" s="636">
        <v>2583.2884276352988</v>
      </c>
      <c r="O108" s="636">
        <v>2698.8956728812695</v>
      </c>
      <c r="P108" s="636">
        <v>2648.916687838595</v>
      </c>
      <c r="Q108" s="636">
        <v>2705.0659928152782</v>
      </c>
      <c r="R108" s="398">
        <f t="shared" ref="R108:R112" si="259">AVERAGE(S108:AD108)</f>
        <v>2667.0715761340675</v>
      </c>
      <c r="S108" s="693">
        <f>S118*1000000/S42</f>
        <v>2704.084295658728</v>
      </c>
      <c r="T108" s="693">
        <f t="shared" ref="T108:U108" si="260">T118*1000000/T42</f>
        <v>2581.7851824000973</v>
      </c>
      <c r="U108" s="693">
        <f t="shared" si="260"/>
        <v>2710.7244856667207</v>
      </c>
      <c r="V108" s="693">
        <f t="shared" ref="V108:W108" si="261">V118*1000000/V42</f>
        <v>2548.8868566159754</v>
      </c>
      <c r="W108" s="693">
        <f t="shared" si="261"/>
        <v>2631.4943442067065</v>
      </c>
      <c r="X108" s="693">
        <f t="shared" ref="X108:Y108" si="262">X118*1000000/X42</f>
        <v>2650.7105221054262</v>
      </c>
      <c r="Y108" s="693">
        <f t="shared" si="262"/>
        <v>2647.3591523377831</v>
      </c>
      <c r="Z108" s="693">
        <f t="shared" ref="Z108:AA108" si="263">Z118*1000000/Z42</f>
        <v>2724.0689992003113</v>
      </c>
      <c r="AA108" s="693">
        <f t="shared" si="263"/>
        <v>2660.6575912681287</v>
      </c>
      <c r="AB108" s="693">
        <f t="shared" ref="AB108:AC108" si="264">AB118*1000000/AB42</f>
        <v>2775.9025093056111</v>
      </c>
      <c r="AC108" s="693">
        <f t="shared" si="264"/>
        <v>2735.5830774649839</v>
      </c>
      <c r="AD108" s="693">
        <f t="shared" ref="AD108:AF108" si="265">AD118*1000000/AD42</f>
        <v>2633.6018973783398</v>
      </c>
      <c r="AE108" s="398">
        <f t="shared" ref="AE108:AE112" si="266">AVERAGE(AF108:AQ108)</f>
        <v>2834.8473602107006</v>
      </c>
      <c r="AF108" s="1203">
        <f t="shared" si="265"/>
        <v>2812.9924052273504</v>
      </c>
      <c r="AG108" s="1044">
        <f t="shared" ref="AG108:AH108" si="267">AG118*1000000/AG42</f>
        <v>2972.3675346824289</v>
      </c>
      <c r="AH108" s="1044">
        <f t="shared" si="267"/>
        <v>2850.1143451902622</v>
      </c>
      <c r="AI108" s="1044">
        <f t="shared" ref="AI108:AJ108" si="268">AI118*1000000/AI42</f>
        <v>2799.234653651652</v>
      </c>
      <c r="AJ108" s="1044">
        <f t="shared" si="268"/>
        <v>2806.3695536762971</v>
      </c>
      <c r="AK108" s="1044">
        <f t="shared" ref="AK108" si="269">AK118*1000000/AK42</f>
        <v>2759.5161481041669</v>
      </c>
      <c r="AL108" s="1253">
        <f t="shared" ref="AL108:AQ108" si="270">AL118*1000000/AL42</f>
        <v>2827.9354043815424</v>
      </c>
      <c r="AM108" s="1253">
        <f t="shared" si="270"/>
        <v>2838.3588014473089</v>
      </c>
      <c r="AN108" s="1253">
        <f t="shared" si="270"/>
        <v>2746.5367913504028</v>
      </c>
      <c r="AO108" s="1253">
        <f t="shared" si="270"/>
        <v>2863.3807672736548</v>
      </c>
      <c r="AP108" s="1253">
        <f t="shared" si="270"/>
        <v>2884.1506782627721</v>
      </c>
      <c r="AQ108" s="1254">
        <f t="shared" si="270"/>
        <v>2857.2112392805643</v>
      </c>
      <c r="AR108" s="398">
        <f t="shared" ref="AR108:AR112" si="271">AVERAGE(AS108:BD108)</f>
        <v>2625.6147444072872</v>
      </c>
      <c r="AS108" s="1126">
        <f t="shared" ref="AS108:AW108" si="272">AS118*1000000/AS42</f>
        <v>2609.0830641844609</v>
      </c>
      <c r="AT108" s="1126">
        <f t="shared" si="272"/>
        <v>2614.9552201895081</v>
      </c>
      <c r="AU108" s="1126">
        <f t="shared" si="272"/>
        <v>2647.5701202504883</v>
      </c>
      <c r="AV108" s="1126">
        <f t="shared" si="272"/>
        <v>2558.2791970933131</v>
      </c>
      <c r="AW108" s="1126">
        <f t="shared" si="272"/>
        <v>2588.8809529276687</v>
      </c>
      <c r="AX108" s="1126">
        <f>AX118*1000000/AX42</f>
        <v>2628.4829738766975</v>
      </c>
      <c r="AY108" s="1126">
        <f t="shared" ref="AY108:BD108" si="273">AY118*1000000/AY42</f>
        <v>2584.3252310546773</v>
      </c>
      <c r="AZ108" s="1126">
        <f t="shared" si="273"/>
        <v>2626.8238909443462</v>
      </c>
      <c r="BA108" s="1126">
        <f t="shared" si="273"/>
        <v>2630.0268074650853</v>
      </c>
      <c r="BB108" s="1126">
        <f t="shared" si="273"/>
        <v>2657.2531446057737</v>
      </c>
      <c r="BC108" s="1126">
        <f t="shared" si="273"/>
        <v>2672.9529295916986</v>
      </c>
      <c r="BD108" s="1127">
        <f t="shared" si="273"/>
        <v>2688.7434007037259</v>
      </c>
      <c r="BE108" s="937">
        <f t="shared" ref="BE108:BE112" si="274">AVERAGE(BF108:BQ108)</f>
        <v>2967.3579794776069</v>
      </c>
      <c r="BF108" s="1802">
        <f t="shared" ref="BF108:BK108" si="275">BF118*1000000/BF42</f>
        <v>2949.2970198684266</v>
      </c>
      <c r="BG108" s="1803">
        <f t="shared" si="275"/>
        <v>3019.0586047059819</v>
      </c>
      <c r="BH108" s="1803">
        <f t="shared" si="275"/>
        <v>2941.4949819845506</v>
      </c>
      <c r="BI108" s="1803">
        <f t="shared" si="275"/>
        <v>2988.4503349265246</v>
      </c>
      <c r="BJ108" s="1803">
        <f t="shared" si="275"/>
        <v>2973.8884066831965</v>
      </c>
      <c r="BK108" s="1803">
        <f t="shared" si="275"/>
        <v>3008.1462657190573</v>
      </c>
      <c r="BL108" s="1803">
        <f t="shared" ref="BL108:BQ108" si="276">BL118*1000000/BL42</f>
        <v>2993.8318394848329</v>
      </c>
      <c r="BM108" s="1803">
        <f t="shared" si="276"/>
        <v>2983.2978273447111</v>
      </c>
      <c r="BN108" s="1803">
        <f t="shared" si="276"/>
        <v>3005.752054850544</v>
      </c>
      <c r="BO108" s="1803">
        <f t="shared" si="276"/>
        <v>2948.9553351767909</v>
      </c>
      <c r="BP108" s="1803">
        <f t="shared" si="276"/>
        <v>2904.8555579964554</v>
      </c>
      <c r="BQ108" s="1822">
        <f t="shared" si="276"/>
        <v>2891.2675249902063</v>
      </c>
      <c r="BR108" s="937">
        <f t="shared" ref="BR108:BR112" si="277">AVERAGE(BS108:CD108)</f>
        <v>2745.1314337927038</v>
      </c>
      <c r="BS108" s="1802">
        <f t="shared" ref="BS108:BX109" si="278">BS118*1000000/BS42</f>
        <v>2713.2452629579466</v>
      </c>
      <c r="BT108" s="1803">
        <f t="shared" si="278"/>
        <v>2682.6202750453981</v>
      </c>
      <c r="BU108" s="1803">
        <f t="shared" si="278"/>
        <v>2671.6341578842525</v>
      </c>
      <c r="BV108" s="1803">
        <f t="shared" si="278"/>
        <v>2651.7722771685872</v>
      </c>
      <c r="BW108" s="1803">
        <f t="shared" si="278"/>
        <v>2595.5012085568387</v>
      </c>
      <c r="BX108" s="1803">
        <f t="shared" si="278"/>
        <v>2809.5709663141924</v>
      </c>
      <c r="BY108" s="1803">
        <f>BY118*1000000/BY42</f>
        <v>2943.6307788691693</v>
      </c>
      <c r="BZ108" s="1803">
        <f t="shared" ref="BZ108:CD109" si="279">BZ118*1000000/BZ42</f>
        <v>2739.0690478897741</v>
      </c>
      <c r="CA108" s="1803">
        <f t="shared" si="279"/>
        <v>2756.169897364794</v>
      </c>
      <c r="CB108" s="1803">
        <f t="shared" si="279"/>
        <v>2775.8355667266142</v>
      </c>
      <c r="CC108" s="1803">
        <f t="shared" si="279"/>
        <v>2795.7613086520223</v>
      </c>
      <c r="CD108" s="1822">
        <f t="shared" si="279"/>
        <v>2806.7664580828546</v>
      </c>
      <c r="CE108" s="937">
        <f t="shared" si="256"/>
        <v>2635</v>
      </c>
      <c r="CF108" s="957">
        <f>CF98*8.5%</f>
        <v>2635</v>
      </c>
      <c r="CG108" s="879">
        <f t="shared" ref="CG108:CQ108" si="280">CG98*8.5%</f>
        <v>2635</v>
      </c>
      <c r="CH108" s="879">
        <f t="shared" si="280"/>
        <v>2635</v>
      </c>
      <c r="CI108" s="879">
        <f t="shared" si="280"/>
        <v>2635</v>
      </c>
      <c r="CJ108" s="879">
        <f t="shared" si="280"/>
        <v>2635</v>
      </c>
      <c r="CK108" s="879">
        <f t="shared" si="280"/>
        <v>2635</v>
      </c>
      <c r="CL108" s="879">
        <f t="shared" si="280"/>
        <v>2635</v>
      </c>
      <c r="CM108" s="879">
        <f t="shared" si="280"/>
        <v>2635</v>
      </c>
      <c r="CN108" s="879">
        <f t="shared" si="280"/>
        <v>2635</v>
      </c>
      <c r="CO108" s="879">
        <f t="shared" si="280"/>
        <v>2635</v>
      </c>
      <c r="CP108" s="879">
        <f t="shared" si="280"/>
        <v>2635</v>
      </c>
      <c r="CQ108" s="1668">
        <f t="shared" si="280"/>
        <v>2635</v>
      </c>
    </row>
    <row r="109" spans="2:95" ht="16.5" customHeight="1">
      <c r="B109" s="3313"/>
      <c r="C109" s="3314"/>
      <c r="D109" s="201" t="s">
        <v>575</v>
      </c>
      <c r="E109" s="398"/>
      <c r="F109" s="636"/>
      <c r="G109" s="636"/>
      <c r="H109" s="636"/>
      <c r="I109" s="636"/>
      <c r="J109" s="636"/>
      <c r="K109" s="636"/>
      <c r="L109" s="636"/>
      <c r="M109" s="636"/>
      <c r="N109" s="636"/>
      <c r="O109" s="636"/>
      <c r="P109" s="636"/>
      <c r="Q109" s="636"/>
      <c r="R109" s="398"/>
      <c r="S109" s="693"/>
      <c r="T109" s="693"/>
      <c r="U109" s="693"/>
      <c r="V109" s="693"/>
      <c r="W109" s="693"/>
      <c r="X109" s="693"/>
      <c r="Y109" s="693"/>
      <c r="Z109" s="693"/>
      <c r="AA109" s="693"/>
      <c r="AB109" s="693"/>
      <c r="AC109" s="693"/>
      <c r="AD109" s="693"/>
      <c r="AE109" s="398"/>
      <c r="AF109" s="1203"/>
      <c r="AG109" s="1044"/>
      <c r="AH109" s="1044"/>
      <c r="AI109" s="1044"/>
      <c r="AJ109" s="1044"/>
      <c r="AK109" s="1044"/>
      <c r="AL109" s="1253"/>
      <c r="AM109" s="1253"/>
      <c r="AN109" s="1253"/>
      <c r="AO109" s="1253"/>
      <c r="AP109" s="1253"/>
      <c r="AQ109" s="1254"/>
      <c r="AR109" s="398"/>
      <c r="AS109" s="1126"/>
      <c r="AT109" s="1126"/>
      <c r="AU109" s="1126"/>
      <c r="AV109" s="1126"/>
      <c r="AW109" s="1126"/>
      <c r="AX109" s="1126"/>
      <c r="AY109" s="1126"/>
      <c r="AZ109" s="1126"/>
      <c r="BA109" s="1126"/>
      <c r="BB109" s="1126"/>
      <c r="BC109" s="1126"/>
      <c r="BD109" s="1127"/>
      <c r="BE109" s="937"/>
      <c r="BF109" s="1802"/>
      <c r="BG109" s="1803"/>
      <c r="BH109" s="1803"/>
      <c r="BI109" s="1803"/>
      <c r="BJ109" s="1803"/>
      <c r="BK109" s="1803"/>
      <c r="BL109" s="1803"/>
      <c r="BM109" s="1803"/>
      <c r="BN109" s="1803"/>
      <c r="BO109" s="1803"/>
      <c r="BP109" s="1803"/>
      <c r="BQ109" s="1822"/>
      <c r="BR109" s="937">
        <f t="shared" si="277"/>
        <v>1770.5065857218822</v>
      </c>
      <c r="BS109" s="1802">
        <f t="shared" si="278"/>
        <v>1559.9465161194473</v>
      </c>
      <c r="BT109" s="1803">
        <f t="shared" si="278"/>
        <v>1587.5415784699123</v>
      </c>
      <c r="BU109" s="1803">
        <f t="shared" si="278"/>
        <v>1639.6642592231115</v>
      </c>
      <c r="BV109" s="1803">
        <f t="shared" si="278"/>
        <v>1670.9102482495225</v>
      </c>
      <c r="BW109" s="1803">
        <f t="shared" si="278"/>
        <v>1705.7915685159614</v>
      </c>
      <c r="BX109" s="1803">
        <f t="shared" si="278"/>
        <v>1744.6207526792391</v>
      </c>
      <c r="BY109" s="1803">
        <f>BY119*1000000/BY43</f>
        <v>1760.7848069425229</v>
      </c>
      <c r="BZ109" s="1803">
        <f t="shared" si="279"/>
        <v>1811.2035879080599</v>
      </c>
      <c r="CA109" s="1803">
        <f t="shared" si="279"/>
        <v>1863.6847710330139</v>
      </c>
      <c r="CB109" s="1803">
        <f t="shared" si="279"/>
        <v>1920.3511499245576</v>
      </c>
      <c r="CC109" s="1803">
        <f t="shared" si="279"/>
        <v>1982.7219940518339</v>
      </c>
      <c r="CD109" s="1822">
        <f t="shared" si="279"/>
        <v>1998.8577955454027</v>
      </c>
      <c r="CE109" s="937">
        <f t="shared" si="256"/>
        <v>2125</v>
      </c>
      <c r="CF109" s="957">
        <f>CF99*8.5%</f>
        <v>2125</v>
      </c>
      <c r="CG109" s="879">
        <f t="shared" ref="CG109:CQ109" si="281">CG99*8.5%</f>
        <v>2125</v>
      </c>
      <c r="CH109" s="879">
        <f t="shared" si="281"/>
        <v>2125</v>
      </c>
      <c r="CI109" s="879">
        <f t="shared" si="281"/>
        <v>2125</v>
      </c>
      <c r="CJ109" s="879">
        <f t="shared" si="281"/>
        <v>2125</v>
      </c>
      <c r="CK109" s="879">
        <f t="shared" si="281"/>
        <v>2125</v>
      </c>
      <c r="CL109" s="879">
        <f t="shared" si="281"/>
        <v>2125</v>
      </c>
      <c r="CM109" s="879">
        <f t="shared" si="281"/>
        <v>2125</v>
      </c>
      <c r="CN109" s="879">
        <f t="shared" si="281"/>
        <v>2125</v>
      </c>
      <c r="CO109" s="879">
        <f t="shared" si="281"/>
        <v>2125</v>
      </c>
      <c r="CP109" s="879">
        <f t="shared" si="281"/>
        <v>2125</v>
      </c>
      <c r="CQ109" s="1668">
        <f t="shared" si="281"/>
        <v>2125</v>
      </c>
    </row>
    <row r="110" spans="2:95" ht="16.5" hidden="1" customHeight="1">
      <c r="B110" s="3313"/>
      <c r="C110" s="3314"/>
      <c r="D110" s="201" t="s">
        <v>245</v>
      </c>
      <c r="E110" s="398">
        <f t="shared" si="258"/>
        <v>2034.6555281617391</v>
      </c>
      <c r="F110" s="636">
        <v>2019.2072113413499</v>
      </c>
      <c r="G110" s="636">
        <v>2063.1289277317383</v>
      </c>
      <c r="H110" s="636">
        <v>2117.523815503097</v>
      </c>
      <c r="I110" s="636">
        <v>2154.3900924155791</v>
      </c>
      <c r="J110" s="636">
        <v>2183.0598934932509</v>
      </c>
      <c r="K110" s="636">
        <v>2171.7686869821937</v>
      </c>
      <c r="L110" s="636">
        <v>2177.7756943372087</v>
      </c>
      <c r="M110" s="636">
        <v>2101.3217237687986</v>
      </c>
      <c r="N110" s="636">
        <v>2105.675379860932</v>
      </c>
      <c r="O110" s="636">
        <v>2144.4340225814831</v>
      </c>
      <c r="P110" s="636">
        <v>1062.9697932854876</v>
      </c>
      <c r="Q110" s="636">
        <v>2114.6110966397496</v>
      </c>
      <c r="R110" s="398">
        <f t="shared" si="259"/>
        <v>2200.3769833633282</v>
      </c>
      <c r="S110" s="693">
        <f>S120*1000000/S44</f>
        <v>2130.7247298156385</v>
      </c>
      <c r="T110" s="693">
        <f t="shared" ref="T110:U110" si="282">T120*1000000/T44</f>
        <v>2081.2735398434152</v>
      </c>
      <c r="U110" s="693">
        <f t="shared" si="282"/>
        <v>2182.8396506594181</v>
      </c>
      <c r="V110" s="693">
        <f t="shared" ref="V110:W110" si="283">V120*1000000/V44</f>
        <v>2068.5893397687169</v>
      </c>
      <c r="W110" s="693">
        <f t="shared" si="283"/>
        <v>2086.199208136014</v>
      </c>
      <c r="X110" s="693">
        <f t="shared" ref="X110:Y110" si="284">X120*1000000/X44</f>
        <v>2069.6087478559175</v>
      </c>
      <c r="Y110" s="693">
        <f t="shared" si="284"/>
        <v>2112.5201604972267</v>
      </c>
      <c r="Z110" s="693">
        <f t="shared" ref="Z110:AA110" si="285">Z120*1000000/Z44</f>
        <v>2110.3655591825782</v>
      </c>
      <c r="AA110" s="693">
        <f t="shared" si="285"/>
        <v>2200.414446417999</v>
      </c>
      <c r="AB110" s="693">
        <f t="shared" ref="AB110:AC110" si="286">AB120*1000000/AB44</f>
        <v>2440.4018497275597</v>
      </c>
      <c r="AC110" s="693">
        <f t="shared" si="286"/>
        <v>2369.4893062076158</v>
      </c>
      <c r="AD110" s="693">
        <f t="shared" ref="AD110:AF110" si="287">AD120*1000000/AD44</f>
        <v>2552.097262247838</v>
      </c>
      <c r="AE110" s="398" t="e">
        <f t="shared" si="266"/>
        <v>#DIV/0!</v>
      </c>
      <c r="AF110" s="1203">
        <f t="shared" si="287"/>
        <v>2879.8928403203013</v>
      </c>
      <c r="AG110" s="1044">
        <f t="shared" ref="AG110:AH110" si="288">AG120*1000000/AG44</f>
        <v>4042.627189324437</v>
      </c>
      <c r="AH110" s="1044">
        <f t="shared" si="288"/>
        <v>13144.553794829024</v>
      </c>
      <c r="AI110" s="1044" t="e">
        <f t="shared" ref="AI110:AJ110" si="289">AI120*1000000/AI44</f>
        <v>#DIV/0!</v>
      </c>
      <c r="AJ110" s="1044" t="e">
        <f t="shared" si="289"/>
        <v>#DIV/0!</v>
      </c>
      <c r="AK110" s="1044" t="e">
        <f t="shared" ref="AK110" si="290">AK120*1000000/AK44</f>
        <v>#DIV/0!</v>
      </c>
      <c r="AL110" s="1253" t="e">
        <f t="shared" ref="AL110:AQ110" si="291">AL120*1000000/AL44</f>
        <v>#DIV/0!</v>
      </c>
      <c r="AM110" s="1253" t="e">
        <f t="shared" si="291"/>
        <v>#DIV/0!</v>
      </c>
      <c r="AN110" s="1253" t="e">
        <f t="shared" si="291"/>
        <v>#DIV/0!</v>
      </c>
      <c r="AO110" s="1253" t="e">
        <f t="shared" si="291"/>
        <v>#DIV/0!</v>
      </c>
      <c r="AP110" s="1253" t="e">
        <f t="shared" si="291"/>
        <v>#DIV/0!</v>
      </c>
      <c r="AQ110" s="1254">
        <f t="shared" si="291"/>
        <v>429.69316886078565</v>
      </c>
      <c r="AR110" s="398">
        <f t="shared" si="271"/>
        <v>0</v>
      </c>
      <c r="AS110" s="1126">
        <f>IFERROR(AS120*1000000/AS44,0)</f>
        <v>0</v>
      </c>
      <c r="AT110" s="1126">
        <f t="shared" ref="AT110:BD110" si="292">IFERROR(AT120*1000000/AT44,0)</f>
        <v>0</v>
      </c>
      <c r="AU110" s="1126">
        <f t="shared" si="292"/>
        <v>0</v>
      </c>
      <c r="AV110" s="1126">
        <f t="shared" si="292"/>
        <v>0</v>
      </c>
      <c r="AW110" s="1126">
        <f t="shared" si="292"/>
        <v>0</v>
      </c>
      <c r="AX110" s="1126">
        <f t="shared" si="292"/>
        <v>0</v>
      </c>
      <c r="AY110" s="1126">
        <f t="shared" si="292"/>
        <v>0</v>
      </c>
      <c r="AZ110" s="1126">
        <f t="shared" si="292"/>
        <v>0</v>
      </c>
      <c r="BA110" s="1126">
        <f t="shared" si="292"/>
        <v>0</v>
      </c>
      <c r="BB110" s="1126">
        <f t="shared" si="292"/>
        <v>0</v>
      </c>
      <c r="BC110" s="1126">
        <f t="shared" si="292"/>
        <v>0</v>
      </c>
      <c r="BD110" s="1127">
        <f t="shared" si="292"/>
        <v>0</v>
      </c>
      <c r="BE110" s="937">
        <f t="shared" si="274"/>
        <v>0</v>
      </c>
      <c r="BF110" s="1802">
        <f>IFERROR(BF120*1000000/BF44,0)</f>
        <v>0</v>
      </c>
      <c r="BG110" s="1803">
        <f t="shared" ref="BG110:BQ110" si="293">IFERROR(BG120*1000000/BG44,0)</f>
        <v>0</v>
      </c>
      <c r="BH110" s="1803">
        <f t="shared" si="293"/>
        <v>0</v>
      </c>
      <c r="BI110" s="1803">
        <f t="shared" si="293"/>
        <v>0</v>
      </c>
      <c r="BJ110" s="1803">
        <f t="shared" si="293"/>
        <v>0</v>
      </c>
      <c r="BK110" s="1803">
        <f t="shared" si="293"/>
        <v>0</v>
      </c>
      <c r="BL110" s="1803">
        <f t="shared" si="293"/>
        <v>0</v>
      </c>
      <c r="BM110" s="1803">
        <f t="shared" si="293"/>
        <v>0</v>
      </c>
      <c r="BN110" s="1803">
        <f t="shared" si="293"/>
        <v>0</v>
      </c>
      <c r="BO110" s="1803">
        <f t="shared" si="293"/>
        <v>0</v>
      </c>
      <c r="BP110" s="1803">
        <f t="shared" si="293"/>
        <v>0</v>
      </c>
      <c r="BQ110" s="1822">
        <f t="shared" si="293"/>
        <v>0</v>
      </c>
      <c r="BR110" s="937">
        <f t="shared" si="277"/>
        <v>0</v>
      </c>
      <c r="BS110" s="1802">
        <f>IFERROR(BS120*1000000/BS44,0)</f>
        <v>0</v>
      </c>
      <c r="BT110" s="1803">
        <f t="shared" ref="BT110:CD110" si="294">IFERROR(BT120*1000000/BT44,0)</f>
        <v>0</v>
      </c>
      <c r="BU110" s="1803">
        <f t="shared" si="294"/>
        <v>0</v>
      </c>
      <c r="BV110" s="1803">
        <f t="shared" si="294"/>
        <v>0</v>
      </c>
      <c r="BW110" s="1803">
        <f t="shared" si="294"/>
        <v>0</v>
      </c>
      <c r="BX110" s="1803">
        <f t="shared" si="294"/>
        <v>0</v>
      </c>
      <c r="BY110" s="1803">
        <f t="shared" si="294"/>
        <v>0</v>
      </c>
      <c r="BZ110" s="1803">
        <f t="shared" si="294"/>
        <v>0</v>
      </c>
      <c r="CA110" s="1803">
        <f t="shared" si="294"/>
        <v>0</v>
      </c>
      <c r="CB110" s="1803">
        <f t="shared" si="294"/>
        <v>0</v>
      </c>
      <c r="CC110" s="1803">
        <f t="shared" si="294"/>
        <v>0</v>
      </c>
      <c r="CD110" s="1822">
        <f t="shared" si="294"/>
        <v>0</v>
      </c>
      <c r="CE110" s="937" t="e">
        <f t="shared" si="256"/>
        <v>#DIV/0!</v>
      </c>
      <c r="CF110" s="957"/>
      <c r="CG110" s="879"/>
      <c r="CH110" s="879"/>
      <c r="CI110" s="879"/>
      <c r="CJ110" s="879"/>
      <c r="CK110" s="879"/>
      <c r="CL110" s="879"/>
      <c r="CM110" s="879"/>
      <c r="CN110" s="879"/>
      <c r="CO110" s="879"/>
      <c r="CP110" s="879"/>
      <c r="CQ110" s="1668"/>
    </row>
    <row r="111" spans="2:95" ht="16.5" customHeight="1">
      <c r="B111" s="3313"/>
      <c r="C111" s="3314"/>
      <c r="D111" s="201" t="s">
        <v>681</v>
      </c>
      <c r="E111" s="398">
        <f t="shared" si="258"/>
        <v>2334.8549947896049</v>
      </c>
      <c r="F111" s="636">
        <v>2273.7385636183003</v>
      </c>
      <c r="G111" s="636">
        <v>2201.2162585058768</v>
      </c>
      <c r="H111" s="636">
        <v>2290.8572170101247</v>
      </c>
      <c r="I111" s="636">
        <v>2352.28575666404</v>
      </c>
      <c r="J111" s="636">
        <v>2278.1986092901448</v>
      </c>
      <c r="K111" s="636">
        <v>2334.331054805602</v>
      </c>
      <c r="L111" s="636">
        <v>2312.2073919562654</v>
      </c>
      <c r="M111" s="636">
        <v>2270.7357477519427</v>
      </c>
      <c r="N111" s="636">
        <v>2365.3191135168804</v>
      </c>
      <c r="O111" s="636">
        <v>2457.1091906587676</v>
      </c>
      <c r="P111" s="636">
        <v>2376.7714300997618</v>
      </c>
      <c r="Q111" s="636">
        <v>2505.4896035975498</v>
      </c>
      <c r="R111" s="398">
        <f t="shared" si="259"/>
        <v>2533.0104050609752</v>
      </c>
      <c r="S111" s="693">
        <f>S121*1000000/S45</f>
        <v>2534.4659722820466</v>
      </c>
      <c r="T111" s="693">
        <f t="shared" ref="T111:U111" si="295">T121*1000000/T45</f>
        <v>2474.4171336152344</v>
      </c>
      <c r="U111" s="693">
        <f t="shared" si="295"/>
        <v>2577.3306579979817</v>
      </c>
      <c r="V111" s="693">
        <f t="shared" ref="V111:W111" si="296">V121*1000000/V45</f>
        <v>2435.1206815658134</v>
      </c>
      <c r="W111" s="693">
        <f t="shared" si="296"/>
        <v>2566.7846087136122</v>
      </c>
      <c r="X111" s="693">
        <f t="shared" ref="X111:Y111" si="297">X121*1000000/X45</f>
        <v>2552.4505789438244</v>
      </c>
      <c r="Y111" s="693">
        <f t="shared" si="297"/>
        <v>2588.5759091425793</v>
      </c>
      <c r="Z111" s="693">
        <f t="shared" ref="Z111:AA111" si="298">Z121*1000000/Z45</f>
        <v>2586.4649541486706</v>
      </c>
      <c r="AA111" s="693">
        <f t="shared" si="298"/>
        <v>2595.5955112954503</v>
      </c>
      <c r="AB111" s="693">
        <f t="shared" ref="AB111:AC111" si="299">AB121*1000000/AB45</f>
        <v>2577.1153830811572</v>
      </c>
      <c r="AC111" s="693">
        <f t="shared" si="299"/>
        <v>2700.386485809498</v>
      </c>
      <c r="AD111" s="693">
        <f t="shared" ref="AD111:AF111" si="300">AD121*1000000/AD45</f>
        <v>2207.4169841358394</v>
      </c>
      <c r="AE111" s="398">
        <f t="shared" si="266"/>
        <v>2235.7270656189976</v>
      </c>
      <c r="AF111" s="1203">
        <f t="shared" si="300"/>
        <v>2262.868556552326</v>
      </c>
      <c r="AG111" s="1044">
        <f t="shared" ref="AG111:AH111" si="301">AG121*1000000/AG45</f>
        <v>2282.470306708793</v>
      </c>
      <c r="AH111" s="1044">
        <f t="shared" si="301"/>
        <v>2265.8468808690986</v>
      </c>
      <c r="AI111" s="1044">
        <f t="shared" ref="AI111:AJ111" si="302">AI121*1000000/AI45</f>
        <v>2194.3431182289214</v>
      </c>
      <c r="AJ111" s="1044">
        <f t="shared" si="302"/>
        <v>2190.8844805194803</v>
      </c>
      <c r="AK111" s="1044">
        <f t="shared" ref="AK111" si="303">AK121*1000000/AK45</f>
        <v>2235.4772357423835</v>
      </c>
      <c r="AL111" s="1253">
        <f t="shared" ref="AL111:AQ111" si="304">AL121*1000000/AL45</f>
        <v>2224.6013177755149</v>
      </c>
      <c r="AM111" s="1253">
        <f t="shared" si="304"/>
        <v>2204.793482989764</v>
      </c>
      <c r="AN111" s="1253">
        <f t="shared" si="304"/>
        <v>2214.1289483013161</v>
      </c>
      <c r="AO111" s="1253">
        <f t="shared" si="304"/>
        <v>2175.0756914558733</v>
      </c>
      <c r="AP111" s="1253">
        <f t="shared" si="304"/>
        <v>2255.2172641509433</v>
      </c>
      <c r="AQ111" s="1254">
        <f t="shared" si="304"/>
        <v>2323.0175041335583</v>
      </c>
      <c r="AR111" s="398">
        <f t="shared" si="271"/>
        <v>2323.9735720728791</v>
      </c>
      <c r="AS111" s="1126">
        <f t="shared" ref="AS111:AW111" si="305">AS121*1000000/AS45</f>
        <v>2341.031220292954</v>
      </c>
      <c r="AT111" s="1126">
        <f t="shared" si="305"/>
        <v>2317.6817711067893</v>
      </c>
      <c r="AU111" s="1126">
        <f t="shared" si="305"/>
        <v>2380.8112233084944</v>
      </c>
      <c r="AV111" s="1126">
        <f t="shared" si="305"/>
        <v>2290.4626763549049</v>
      </c>
      <c r="AW111" s="1126">
        <f t="shared" si="305"/>
        <v>2296.0777963971514</v>
      </c>
      <c r="AX111" s="1126">
        <f>AX121*1000000/AX45</f>
        <v>2309.9989819857556</v>
      </c>
      <c r="AY111" s="1126">
        <f t="shared" ref="AY111:BD111" si="306">AY121*1000000/AY45</f>
        <v>2319.5153453407597</v>
      </c>
      <c r="AZ111" s="1126">
        <f t="shared" si="306"/>
        <v>2327.6379825682448</v>
      </c>
      <c r="BA111" s="1126">
        <f t="shared" si="306"/>
        <v>2314.6124289625659</v>
      </c>
      <c r="BB111" s="1126">
        <f t="shared" si="306"/>
        <v>2319.2140441294896</v>
      </c>
      <c r="BC111" s="1126">
        <f t="shared" si="306"/>
        <v>2323.8156592964128</v>
      </c>
      <c r="BD111" s="1127">
        <f t="shared" si="306"/>
        <v>2346.8237351310308</v>
      </c>
      <c r="BE111" s="937">
        <f t="shared" si="274"/>
        <v>4114.411011420144</v>
      </c>
      <c r="BF111" s="1802">
        <f t="shared" ref="BF111:BK111" si="307">BF121*1000000/BF45</f>
        <v>3702.7356682348841</v>
      </c>
      <c r="BG111" s="1803">
        <f t="shared" si="307"/>
        <v>3782.9951217339008</v>
      </c>
      <c r="BH111" s="1803">
        <f t="shared" si="307"/>
        <v>3880.2823032530055</v>
      </c>
      <c r="BI111" s="1803">
        <f t="shared" si="307"/>
        <v>3926.3301196883467</v>
      </c>
      <c r="BJ111" s="1803">
        <f t="shared" si="307"/>
        <v>3974.205358999413</v>
      </c>
      <c r="BK111" s="1803">
        <f t="shared" si="307"/>
        <v>4017.0281248717561</v>
      </c>
      <c r="BL111" s="1803">
        <f t="shared" ref="BL111:BQ111" si="308">BL121*1000000/BL45</f>
        <v>4092.0824943104244</v>
      </c>
      <c r="BM111" s="1803">
        <f t="shared" si="308"/>
        <v>4159.0622509020368</v>
      </c>
      <c r="BN111" s="1803">
        <f t="shared" si="308"/>
        <v>4297.4479650355597</v>
      </c>
      <c r="BO111" s="1803">
        <f t="shared" si="308"/>
        <v>4421.6355567781411</v>
      </c>
      <c r="BP111" s="1803">
        <f t="shared" si="308"/>
        <v>4512.1076003268117</v>
      </c>
      <c r="BQ111" s="1822">
        <f t="shared" si="308"/>
        <v>4607.0195729074576</v>
      </c>
      <c r="BR111" s="937">
        <f t="shared" si="277"/>
        <v>3976.255200228572</v>
      </c>
      <c r="BS111" s="1802">
        <f>IFERROR(BS121*1000000/BS45,0)</f>
        <v>3570.5691715101111</v>
      </c>
      <c r="BT111" s="1803">
        <f t="shared" ref="BT111:CD111" si="309">IFERROR(BT121*1000000/BT45,0)</f>
        <v>3705.0233349966243</v>
      </c>
      <c r="BU111" s="1803">
        <f t="shared" si="309"/>
        <v>3788.8113608253639</v>
      </c>
      <c r="BV111" s="1803">
        <f t="shared" si="309"/>
        <v>3879.0054090885583</v>
      </c>
      <c r="BW111" s="1803">
        <f t="shared" si="309"/>
        <v>3972.096045383817</v>
      </c>
      <c r="BX111" s="1803">
        <f t="shared" si="309"/>
        <v>4058.548160729285</v>
      </c>
      <c r="BY111" s="1803">
        <f t="shared" si="309"/>
        <v>3863.9437227961316</v>
      </c>
      <c r="BZ111" s="1803">
        <f t="shared" si="309"/>
        <v>4029.7729104442233</v>
      </c>
      <c r="CA111" s="1803">
        <f t="shared" si="309"/>
        <v>4273.2894273792172</v>
      </c>
      <c r="CB111" s="1803">
        <f t="shared" si="309"/>
        <v>4485.2570397303534</v>
      </c>
      <c r="CC111" s="1803">
        <f t="shared" si="309"/>
        <v>4029.6064137902085</v>
      </c>
      <c r="CD111" s="1822">
        <f t="shared" si="309"/>
        <v>4059.1394060689772</v>
      </c>
      <c r="CE111" s="937">
        <f t="shared" si="256"/>
        <v>4734.7297119403647</v>
      </c>
      <c r="CF111" s="957">
        <v>4734.7297119403638</v>
      </c>
      <c r="CG111" s="879">
        <f>CF111</f>
        <v>4734.7297119403638</v>
      </c>
      <c r="CH111" s="879">
        <f t="shared" ref="CH111:CQ111" si="310">CG111</f>
        <v>4734.7297119403638</v>
      </c>
      <c r="CI111" s="879">
        <f t="shared" si="310"/>
        <v>4734.7297119403638</v>
      </c>
      <c r="CJ111" s="879">
        <f t="shared" si="310"/>
        <v>4734.7297119403638</v>
      </c>
      <c r="CK111" s="879">
        <f t="shared" si="310"/>
        <v>4734.7297119403638</v>
      </c>
      <c r="CL111" s="879">
        <f t="shared" si="310"/>
        <v>4734.7297119403638</v>
      </c>
      <c r="CM111" s="879">
        <f t="shared" si="310"/>
        <v>4734.7297119403638</v>
      </c>
      <c r="CN111" s="879">
        <f t="shared" si="310"/>
        <v>4734.7297119403638</v>
      </c>
      <c r="CO111" s="879">
        <f t="shared" si="310"/>
        <v>4734.7297119403638</v>
      </c>
      <c r="CP111" s="879">
        <f t="shared" si="310"/>
        <v>4734.7297119403638</v>
      </c>
      <c r="CQ111" s="1668">
        <f t="shared" si="310"/>
        <v>4734.7297119403638</v>
      </c>
    </row>
    <row r="112" spans="2:95" ht="16.5" hidden="1" customHeight="1">
      <c r="B112" s="3313"/>
      <c r="C112" s="3314"/>
      <c r="D112" s="201" t="s">
        <v>333</v>
      </c>
      <c r="E112" s="398">
        <f t="shared" si="258"/>
        <v>1830.6785521920556</v>
      </c>
      <c r="F112" s="636">
        <v>1857.8936026382721</v>
      </c>
      <c r="G112" s="636">
        <v>1719.0016227089518</v>
      </c>
      <c r="H112" s="636">
        <v>1837.5966730534751</v>
      </c>
      <c r="I112" s="636">
        <v>1816.3034449365318</v>
      </c>
      <c r="J112" s="636">
        <v>1796.0971771634106</v>
      </c>
      <c r="K112" s="636">
        <v>1789.6260051229601</v>
      </c>
      <c r="L112" s="636">
        <v>1790.8999184103704</v>
      </c>
      <c r="M112" s="636">
        <v>1765.5663718253945</v>
      </c>
      <c r="N112" s="636">
        <v>1831.4907000216278</v>
      </c>
      <c r="O112" s="636">
        <v>1895.9467951403433</v>
      </c>
      <c r="P112" s="636">
        <v>1904.1523014102772</v>
      </c>
      <c r="Q112" s="636">
        <v>1963.5680138730493</v>
      </c>
      <c r="R112" s="398">
        <f t="shared" si="259"/>
        <v>1666.0428395795041</v>
      </c>
      <c r="S112" s="693">
        <f>S122*1000000/S46</f>
        <v>2002.8267443638401</v>
      </c>
      <c r="T112" s="693">
        <f t="shared" ref="T112:U112" si="311">T122*1000000/T46</f>
        <v>1937.3361069671332</v>
      </c>
      <c r="U112" s="693">
        <f t="shared" si="311"/>
        <v>1958.519543066391</v>
      </c>
      <c r="V112" s="693">
        <f t="shared" ref="V112:W112" si="312">V122*1000000/V46</f>
        <v>1865.5124986390854</v>
      </c>
      <c r="W112" s="693">
        <f t="shared" si="312"/>
        <v>1851.6075532494608</v>
      </c>
      <c r="X112" s="693">
        <f t="shared" ref="X112:Y112" si="313">X122*1000000/X46</f>
        <v>1814.092590197853</v>
      </c>
      <c r="Y112" s="693">
        <f t="shared" si="313"/>
        <v>1730.2804479376782</v>
      </c>
      <c r="Z112" s="693">
        <f t="shared" ref="Z112:AA112" si="314">Z122*1000000/Z46</f>
        <v>1675.443743796345</v>
      </c>
      <c r="AA112" s="693">
        <f t="shared" si="314"/>
        <v>1693.5207404868015</v>
      </c>
      <c r="AB112" s="693">
        <f t="shared" ref="AB112:AC112" si="315">AB122*1000000/AB46</f>
        <v>1797.5433068093794</v>
      </c>
      <c r="AC112" s="693">
        <f t="shared" si="315"/>
        <v>1665.8307994400805</v>
      </c>
      <c r="AD112" s="693">
        <f t="shared" ref="AD112:AF112" si="316">AD122*1000000/AD46</f>
        <v>0</v>
      </c>
      <c r="AE112" s="398" t="e">
        <f t="shared" si="266"/>
        <v>#DIV/0!</v>
      </c>
      <c r="AF112" s="1203">
        <f t="shared" si="316"/>
        <v>1783.8883864186362</v>
      </c>
      <c r="AG112" s="1044">
        <f t="shared" ref="AG112:AH112" si="317">AG122*1000000/AG46</f>
        <v>1662.4925505776566</v>
      </c>
      <c r="AH112" s="1044">
        <f t="shared" si="317"/>
        <v>1653.0713532312777</v>
      </c>
      <c r="AI112" s="1044" t="e">
        <f t="shared" ref="AI112:AJ112" si="318">AI122*1000000/AI46</f>
        <v>#DIV/0!</v>
      </c>
      <c r="AJ112" s="1044" t="e">
        <f t="shared" si="318"/>
        <v>#DIV/0!</v>
      </c>
      <c r="AK112" s="1044" t="e">
        <f t="shared" ref="AK112" si="319">AK122*1000000/AK46</f>
        <v>#DIV/0!</v>
      </c>
      <c r="AL112" s="1253" t="e">
        <f t="shared" ref="AL112:AQ112" si="320">AL122*1000000/AL46</f>
        <v>#DIV/0!</v>
      </c>
      <c r="AM112" s="1253" t="e">
        <f t="shared" si="320"/>
        <v>#DIV/0!</v>
      </c>
      <c r="AN112" s="1253" t="e">
        <f t="shared" si="320"/>
        <v>#DIV/0!</v>
      </c>
      <c r="AO112" s="1253" t="e">
        <f t="shared" si="320"/>
        <v>#DIV/0!</v>
      </c>
      <c r="AP112" s="1253" t="e">
        <f t="shared" si="320"/>
        <v>#DIV/0!</v>
      </c>
      <c r="AQ112" s="1254" t="e">
        <f t="shared" si="320"/>
        <v>#DIV/0!</v>
      </c>
      <c r="AR112" s="398">
        <f t="shared" si="271"/>
        <v>0</v>
      </c>
      <c r="AS112" s="1126">
        <f>IFERROR(AS122*1000000/AS46,0)</f>
        <v>0</v>
      </c>
      <c r="AT112" s="1126">
        <f t="shared" ref="AT112:BD112" si="321">IFERROR(AT122*1000000/AT46,0)</f>
        <v>0</v>
      </c>
      <c r="AU112" s="1126">
        <f t="shared" si="321"/>
        <v>0</v>
      </c>
      <c r="AV112" s="1126">
        <f t="shared" si="321"/>
        <v>0</v>
      </c>
      <c r="AW112" s="1126">
        <f t="shared" si="321"/>
        <v>0</v>
      </c>
      <c r="AX112" s="1126">
        <f t="shared" si="321"/>
        <v>0</v>
      </c>
      <c r="AY112" s="1126">
        <f t="shared" si="321"/>
        <v>0</v>
      </c>
      <c r="AZ112" s="1126">
        <f t="shared" si="321"/>
        <v>0</v>
      </c>
      <c r="BA112" s="1126">
        <f t="shared" si="321"/>
        <v>0</v>
      </c>
      <c r="BB112" s="1126">
        <f t="shared" si="321"/>
        <v>0</v>
      </c>
      <c r="BC112" s="1126">
        <f t="shared" si="321"/>
        <v>0</v>
      </c>
      <c r="BD112" s="1127">
        <f t="shared" si="321"/>
        <v>0</v>
      </c>
      <c r="BE112" s="937">
        <f t="shared" si="274"/>
        <v>0</v>
      </c>
      <c r="BF112" s="1802">
        <f>IFERROR(BF122*1000000/BF46,0)</f>
        <v>0</v>
      </c>
      <c r="BG112" s="1803">
        <f t="shared" ref="BG112:BQ112" si="322">IFERROR(BG122*1000000/BG46,0)</f>
        <v>0</v>
      </c>
      <c r="BH112" s="1803">
        <f t="shared" si="322"/>
        <v>0</v>
      </c>
      <c r="BI112" s="1803">
        <f t="shared" si="322"/>
        <v>0</v>
      </c>
      <c r="BJ112" s="1803">
        <f t="shared" si="322"/>
        <v>0</v>
      </c>
      <c r="BK112" s="1803">
        <f t="shared" si="322"/>
        <v>0</v>
      </c>
      <c r="BL112" s="1803">
        <f t="shared" si="322"/>
        <v>0</v>
      </c>
      <c r="BM112" s="1803">
        <f t="shared" si="322"/>
        <v>0</v>
      </c>
      <c r="BN112" s="1803">
        <f t="shared" si="322"/>
        <v>0</v>
      </c>
      <c r="BO112" s="1803">
        <f t="shared" si="322"/>
        <v>0</v>
      </c>
      <c r="BP112" s="1803">
        <f t="shared" si="322"/>
        <v>0</v>
      </c>
      <c r="BQ112" s="1822">
        <f t="shared" si="322"/>
        <v>0</v>
      </c>
      <c r="BR112" s="937">
        <f t="shared" si="277"/>
        <v>0</v>
      </c>
      <c r="BS112" s="2765">
        <f>IFERROR(BS122*1000000/BS46,0)</f>
        <v>0</v>
      </c>
      <c r="BT112" s="3135">
        <f t="shared" ref="BT112:CD112" si="323">IFERROR(BT122*1000000/BT46,0)</f>
        <v>0</v>
      </c>
      <c r="BU112" s="3135">
        <f t="shared" si="323"/>
        <v>0</v>
      </c>
      <c r="BV112" s="3135">
        <f t="shared" si="323"/>
        <v>0</v>
      </c>
      <c r="BW112" s="3135">
        <f t="shared" si="323"/>
        <v>0</v>
      </c>
      <c r="BX112" s="3135">
        <f t="shared" si="323"/>
        <v>0</v>
      </c>
      <c r="BY112" s="3135">
        <f t="shared" si="323"/>
        <v>0</v>
      </c>
      <c r="BZ112" s="3135">
        <f t="shared" si="323"/>
        <v>0</v>
      </c>
      <c r="CA112" s="3135">
        <f t="shared" si="323"/>
        <v>0</v>
      </c>
      <c r="CB112" s="3135">
        <f t="shared" si="323"/>
        <v>0</v>
      </c>
      <c r="CC112" s="3135">
        <f t="shared" si="323"/>
        <v>0</v>
      </c>
      <c r="CD112" s="3139">
        <f t="shared" si="323"/>
        <v>0</v>
      </c>
      <c r="CE112" s="937" t="e">
        <f t="shared" si="256"/>
        <v>#DIV/0!</v>
      </c>
      <c r="CF112" s="958"/>
      <c r="CG112" s="889"/>
      <c r="CH112" s="889"/>
      <c r="CI112" s="889"/>
      <c r="CJ112" s="889"/>
      <c r="CK112" s="889"/>
      <c r="CL112" s="889"/>
      <c r="CM112" s="889"/>
      <c r="CN112" s="889"/>
      <c r="CO112" s="889"/>
      <c r="CP112" s="889"/>
      <c r="CQ112" s="1742"/>
    </row>
    <row r="113" spans="1:97" ht="16.5" customHeight="1">
      <c r="B113" s="3313"/>
      <c r="C113" s="3314"/>
      <c r="D113" s="201" t="s">
        <v>248</v>
      </c>
      <c r="E113" s="398">
        <f>AVERAGE(F113:Q113)</f>
        <v>378.25905898628224</v>
      </c>
      <c r="F113" s="636">
        <v>375.02647504578044</v>
      </c>
      <c r="G113" s="636">
        <v>362.12889672264987</v>
      </c>
      <c r="H113" s="636">
        <v>392.07232317794995</v>
      </c>
      <c r="I113" s="636">
        <v>372.29198821339492</v>
      </c>
      <c r="J113" s="636">
        <v>370.44889855576605</v>
      </c>
      <c r="K113" s="636">
        <v>386.99350640337269</v>
      </c>
      <c r="L113" s="636">
        <v>359.88784914912213</v>
      </c>
      <c r="M113" s="636">
        <v>338.69728525786405</v>
      </c>
      <c r="N113" s="636">
        <v>391.93463962199411</v>
      </c>
      <c r="O113" s="636">
        <v>375.10708721949248</v>
      </c>
      <c r="P113" s="636">
        <v>395.01721144073611</v>
      </c>
      <c r="Q113" s="636">
        <v>419.50254702726374</v>
      </c>
      <c r="R113" s="398">
        <f>AVERAGE(S113:AD113)</f>
        <v>480.16638384786614</v>
      </c>
      <c r="S113" s="2523">
        <f>S123*1000000/S47</f>
        <v>377.39819812299561</v>
      </c>
      <c r="T113" s="2523">
        <f t="shared" ref="T113:U113" si="324">T123*1000000/T47</f>
        <v>373.30343726761919</v>
      </c>
      <c r="U113" s="2523">
        <f t="shared" si="324"/>
        <v>517.19450089301597</v>
      </c>
      <c r="V113" s="2523">
        <f t="shared" ref="V113:W113" si="325">V123*1000000/V47</f>
        <v>421.65654042616865</v>
      </c>
      <c r="W113" s="2523">
        <f t="shared" si="325"/>
        <v>475.12614997265069</v>
      </c>
      <c r="X113" s="2523">
        <f t="shared" ref="X113:Y113" si="326">X123*1000000/X47</f>
        <v>475.3050085487406</v>
      </c>
      <c r="Y113" s="2523">
        <f t="shared" si="326"/>
        <v>464.00784985445711</v>
      </c>
      <c r="Z113" s="2523">
        <f t="shared" ref="Z113:AA113" si="327">Z123*1000000/Z47</f>
        <v>511.43411515462077</v>
      </c>
      <c r="AA113" s="2523">
        <f t="shared" si="327"/>
        <v>533.0419796366117</v>
      </c>
      <c r="AB113" s="2523">
        <f t="shared" ref="AB113:AC113" si="328">AB123*1000000/AB47</f>
        <v>493.37295764425858</v>
      </c>
      <c r="AC113" s="2523">
        <f t="shared" si="328"/>
        <v>591.47214309784226</v>
      </c>
      <c r="AD113" s="2523">
        <f t="shared" ref="AD113:AF113" si="329">AD123*1000000/AD47</f>
        <v>528.68372555541214</v>
      </c>
      <c r="AE113" s="398">
        <f>AVERAGE(AF113:AQ113)</f>
        <v>2782.5689369640145</v>
      </c>
      <c r="AF113" s="1203">
        <f t="shared" si="329"/>
        <v>483.52024620020831</v>
      </c>
      <c r="AG113" s="1044">
        <f t="shared" ref="AG113:AH113" si="330">AG123*1000000/AG47</f>
        <v>562.31888701793378</v>
      </c>
      <c r="AH113" s="1044">
        <f t="shared" si="330"/>
        <v>591.59325833241348</v>
      </c>
      <c r="AI113" s="1044">
        <f t="shared" ref="AI113:AJ113" si="331">AI123*1000000/AI47</f>
        <v>3413.983458498024</v>
      </c>
      <c r="AJ113" s="1044">
        <f t="shared" si="331"/>
        <v>3983.59385375494</v>
      </c>
      <c r="AK113" s="1044">
        <f t="shared" ref="AK113" si="332">AK123*1000000/AK47</f>
        <v>3874.027750677506</v>
      </c>
      <c r="AL113" s="1253">
        <f t="shared" ref="AL113:AQ113" si="333">AL123*1000000/AL47</f>
        <v>3470.0536039949961</v>
      </c>
      <c r="AM113" s="1253">
        <f t="shared" si="333"/>
        <v>3767.4198204581257</v>
      </c>
      <c r="AN113" s="1253">
        <f t="shared" si="333"/>
        <v>3467.6638852631409</v>
      </c>
      <c r="AO113" s="1253">
        <f t="shared" si="333"/>
        <v>3148.0719359211166</v>
      </c>
      <c r="AP113" s="1253">
        <f t="shared" si="333"/>
        <v>3661.6421487603302</v>
      </c>
      <c r="AQ113" s="1254">
        <f t="shared" si="333"/>
        <v>2966.9383946894413</v>
      </c>
      <c r="AR113" s="398">
        <f>AVERAGE(AS113:BD113)</f>
        <v>3189.2208195715007</v>
      </c>
      <c r="AS113" s="1126">
        <f t="shared" ref="AS113:AW113" si="334">AS123*1000000/AS47</f>
        <v>3285.0700689070595</v>
      </c>
      <c r="AT113" s="1126">
        <f t="shared" si="334"/>
        <v>3002.3826268225912</v>
      </c>
      <c r="AU113" s="1126">
        <f t="shared" si="334"/>
        <v>3269.473237316497</v>
      </c>
      <c r="AV113" s="1126">
        <f t="shared" si="334"/>
        <v>3029.8276938426857</v>
      </c>
      <c r="AW113" s="1126">
        <f t="shared" si="334"/>
        <v>3346.474965034965</v>
      </c>
      <c r="AX113" s="1126">
        <f>AX123*1000000/AX47</f>
        <v>3238.0363076923077</v>
      </c>
      <c r="AY113" s="1126">
        <f t="shared" ref="AY113:BD113" si="335">AY123*1000000/AY47</f>
        <v>3293.9568391907242</v>
      </c>
      <c r="AZ113" s="1126">
        <f t="shared" si="335"/>
        <v>3170.5241739664111</v>
      </c>
      <c r="BA113" s="1126">
        <f t="shared" si="335"/>
        <v>3143.242029636282</v>
      </c>
      <c r="BB113" s="1126">
        <f t="shared" si="335"/>
        <v>3143.242029636282</v>
      </c>
      <c r="BC113" s="1126">
        <f t="shared" si="335"/>
        <v>3174.2099314060974</v>
      </c>
      <c r="BD113" s="1127">
        <f t="shared" si="335"/>
        <v>3174.2099314060974</v>
      </c>
      <c r="BE113" s="937">
        <f>AVERAGE(BF113:BQ113)</f>
        <v>4557.3230013750808</v>
      </c>
      <c r="BF113" s="1802">
        <f t="shared" ref="BF113:BK113" si="336">BF123*1000000/BF47</f>
        <v>4785.582557135187</v>
      </c>
      <c r="BG113" s="1803">
        <f t="shared" si="336"/>
        <v>4709.0135663370893</v>
      </c>
      <c r="BH113" s="1803">
        <f t="shared" si="336"/>
        <v>4700.7376559520253</v>
      </c>
      <c r="BI113" s="1803">
        <f t="shared" si="336"/>
        <v>4641.3301570306121</v>
      </c>
      <c r="BJ113" s="1803">
        <f t="shared" si="336"/>
        <v>4635.7413822273811</v>
      </c>
      <c r="BK113" s="1803">
        <f t="shared" si="336"/>
        <v>4602.5779130607161</v>
      </c>
      <c r="BL113" s="1803">
        <f t="shared" ref="BL113:BQ113" si="337">BL123*1000000/BL47</f>
        <v>4555.7260592249722</v>
      </c>
      <c r="BM113" s="1803">
        <f t="shared" si="337"/>
        <v>4467.7136293966114</v>
      </c>
      <c r="BN113" s="1803">
        <f t="shared" si="337"/>
        <v>4381.713060166604</v>
      </c>
      <c r="BO113" s="1803">
        <f t="shared" si="337"/>
        <v>4365.9561314646598</v>
      </c>
      <c r="BP113" s="1803">
        <f t="shared" si="337"/>
        <v>4446.0356721775315</v>
      </c>
      <c r="BQ113" s="1822">
        <f t="shared" si="337"/>
        <v>4395.7482323275726</v>
      </c>
      <c r="BR113" s="206">
        <f>AVERAGE(BS113:CD113)</f>
        <v>4441.7058500339699</v>
      </c>
      <c r="BS113" s="1802">
        <f t="shared" ref="BS113:CD113" si="338">BS123*1000000/BS47</f>
        <v>4296.288121535772</v>
      </c>
      <c r="BT113" s="1803">
        <f t="shared" si="338"/>
        <v>4358.2590219222348</v>
      </c>
      <c r="BU113" s="1803">
        <f t="shared" si="338"/>
        <v>4342.0728621204935</v>
      </c>
      <c r="BV113" s="1803">
        <f t="shared" si="338"/>
        <v>4371.4088874282425</v>
      </c>
      <c r="BW113" s="1803">
        <f t="shared" si="338"/>
        <v>4382.2534930556485</v>
      </c>
      <c r="BX113" s="1803">
        <f t="shared" si="338"/>
        <v>4424.2749587000062</v>
      </c>
      <c r="BY113" s="1803">
        <f t="shared" si="338"/>
        <v>4387.9901054400007</v>
      </c>
      <c r="BZ113" s="1803">
        <f t="shared" si="338"/>
        <v>4461.2006709058196</v>
      </c>
      <c r="CA113" s="1803">
        <f t="shared" si="338"/>
        <v>4507.6037497224734</v>
      </c>
      <c r="CB113" s="1803">
        <f t="shared" si="338"/>
        <v>4603.4816483477789</v>
      </c>
      <c r="CC113" s="1803">
        <f t="shared" si="338"/>
        <v>4582.8183406145799</v>
      </c>
      <c r="CD113" s="1822">
        <f t="shared" si="338"/>
        <v>4582.8183406145799</v>
      </c>
      <c r="CE113" s="206">
        <f>AVERAGE(CF113:CQ113)</f>
        <v>3740.0000000000005</v>
      </c>
      <c r="CF113" s="957">
        <f>CF103*8.5%</f>
        <v>3740.0000000000005</v>
      </c>
      <c r="CG113" s="879">
        <f t="shared" ref="CG113:CQ113" si="339">CG103*8.5%</f>
        <v>3740.0000000000005</v>
      </c>
      <c r="CH113" s="879">
        <f t="shared" si="339"/>
        <v>3740.0000000000005</v>
      </c>
      <c r="CI113" s="879">
        <f t="shared" si="339"/>
        <v>3740.0000000000005</v>
      </c>
      <c r="CJ113" s="879">
        <f t="shared" si="339"/>
        <v>3740.0000000000005</v>
      </c>
      <c r="CK113" s="879">
        <f t="shared" si="339"/>
        <v>3740.0000000000005</v>
      </c>
      <c r="CL113" s="879">
        <f t="shared" si="339"/>
        <v>3740.0000000000005</v>
      </c>
      <c r="CM113" s="879">
        <f t="shared" si="339"/>
        <v>3740.0000000000005</v>
      </c>
      <c r="CN113" s="879">
        <f t="shared" si="339"/>
        <v>3740.0000000000005</v>
      </c>
      <c r="CO113" s="879">
        <f t="shared" si="339"/>
        <v>3740.0000000000005</v>
      </c>
      <c r="CP113" s="879">
        <f t="shared" si="339"/>
        <v>3740.0000000000005</v>
      </c>
      <c r="CQ113" s="1668">
        <f t="shared" si="339"/>
        <v>3740.0000000000005</v>
      </c>
    </row>
    <row r="114" spans="1:97" ht="16.5" customHeight="1">
      <c r="B114" s="3313"/>
      <c r="C114" s="3314"/>
      <c r="D114" s="203" t="s">
        <v>678</v>
      </c>
      <c r="E114" s="399">
        <f t="shared" si="258"/>
        <v>1435.390419670927</v>
      </c>
      <c r="F114" s="2524">
        <v>1445.0739248570396</v>
      </c>
      <c r="G114" s="2524">
        <v>1392.7499636154907</v>
      </c>
      <c r="H114" s="2524">
        <v>1482.754836483457</v>
      </c>
      <c r="I114" s="2524">
        <v>1424.3545524331296</v>
      </c>
      <c r="J114" s="2524">
        <v>1437.9080918236741</v>
      </c>
      <c r="K114" s="2524">
        <v>1448.097707760907</v>
      </c>
      <c r="L114" s="2524">
        <v>1434.4072646015561</v>
      </c>
      <c r="M114" s="2524">
        <v>1409.6535495750445</v>
      </c>
      <c r="N114" s="2524">
        <v>1376.4471732191337</v>
      </c>
      <c r="O114" s="2524">
        <v>1451.9384796620786</v>
      </c>
      <c r="P114" s="2524">
        <v>1489.342006569078</v>
      </c>
      <c r="Q114" s="2524">
        <v>1431.957485450532</v>
      </c>
      <c r="R114" s="399">
        <f t="shared" ref="R114" si="340">AVERAGE(S114:AD114)</f>
        <v>1469.0621965483886</v>
      </c>
      <c r="S114" s="2525">
        <f>S124*1000000/S48</f>
        <v>1421.4588318921974</v>
      </c>
      <c r="T114" s="2525">
        <f t="shared" ref="T114:U114" si="341">T124*1000000/T48</f>
        <v>1377.8905807091189</v>
      </c>
      <c r="U114" s="2525">
        <f t="shared" si="341"/>
        <v>1556.3835501021297</v>
      </c>
      <c r="V114" s="2525">
        <f t="shared" ref="V114:W114" si="342">V124*1000000/V48</f>
        <v>1429.7050797801057</v>
      </c>
      <c r="W114" s="2525">
        <f t="shared" si="342"/>
        <v>1467.6520306064915</v>
      </c>
      <c r="X114" s="2525">
        <f t="shared" ref="X114:Y114" si="343">X124*1000000/X48</f>
        <v>1511.287477847834</v>
      </c>
      <c r="Y114" s="2525">
        <f t="shared" si="343"/>
        <v>1459.0254536195878</v>
      </c>
      <c r="Z114" s="2525">
        <f t="shared" ref="Z114:AA114" si="344">Z124*1000000/Z48</f>
        <v>1527.9529635813271</v>
      </c>
      <c r="AA114" s="2525">
        <f t="shared" si="344"/>
        <v>1504.5569828409516</v>
      </c>
      <c r="AB114" s="2525">
        <f t="shared" ref="AB114:AC114" si="345">AB124*1000000/AB48</f>
        <v>1483.7793662497547</v>
      </c>
      <c r="AC114" s="2525">
        <f t="shared" si="345"/>
        <v>1480.8310761983007</v>
      </c>
      <c r="AD114" s="2525">
        <f t="shared" ref="AD114:AF114" si="346">AD124*1000000/AD48</f>
        <v>1408.2229651528603</v>
      </c>
      <c r="AE114" s="399">
        <f t="shared" ref="AE114" si="347">AVERAGE(AF114:AQ114)</f>
        <v>2143.9238954241118</v>
      </c>
      <c r="AF114" s="1205">
        <f t="shared" si="346"/>
        <v>1458.5093152137354</v>
      </c>
      <c r="AG114" s="1206">
        <f t="shared" ref="AG114:AH114" si="348">AG124*1000000/AG48</f>
        <v>1526.2675148172361</v>
      </c>
      <c r="AH114" s="1206">
        <f t="shared" si="348"/>
        <v>1498.9058800578637</v>
      </c>
      <c r="AI114" s="1206">
        <f t="shared" ref="AI114:AJ114" si="349">AI124*1000000/AI48</f>
        <v>2405.9742857142855</v>
      </c>
      <c r="AJ114" s="1206">
        <f t="shared" si="349"/>
        <v>2451.9112962962963</v>
      </c>
      <c r="AK114" s="1206">
        <f t="shared" ref="AK114" si="350">AK124*1000000/AK48</f>
        <v>2405.8738493174005</v>
      </c>
      <c r="AL114" s="2526">
        <f t="shared" ref="AL114:AQ114" si="351">AL124*1000000/AL48</f>
        <v>2355.96162303336</v>
      </c>
      <c r="AM114" s="2526">
        <f t="shared" si="351"/>
        <v>2388.1598338009262</v>
      </c>
      <c r="AN114" s="2526">
        <f t="shared" si="351"/>
        <v>2305.44733637033</v>
      </c>
      <c r="AO114" s="2526">
        <f t="shared" si="351"/>
        <v>2311.6708772852257</v>
      </c>
      <c r="AP114" s="2526">
        <f t="shared" si="351"/>
        <v>2300.6919158527421</v>
      </c>
      <c r="AQ114" s="2527">
        <f t="shared" si="351"/>
        <v>2317.7130173299438</v>
      </c>
      <c r="AR114" s="399">
        <f t="shared" ref="AR114" si="352">AVERAGE(AS114:BD114)</f>
        <v>2321.6983959789554</v>
      </c>
      <c r="AS114" s="1132">
        <f t="shared" ref="AS114:AW114" si="353">AS124*1000000/AS48</f>
        <v>2332.2977262823342</v>
      </c>
      <c r="AT114" s="1132">
        <f t="shared" si="353"/>
        <v>2293.6856437173778</v>
      </c>
      <c r="AU114" s="1132">
        <f t="shared" si="353"/>
        <v>2374.7829320560627</v>
      </c>
      <c r="AV114" s="1132">
        <f t="shared" si="353"/>
        <v>2198.3917784056598</v>
      </c>
      <c r="AW114" s="1132">
        <f t="shared" si="353"/>
        <v>2356.1510582386363</v>
      </c>
      <c r="AX114" s="1132">
        <f>AX124*1000000/AX48</f>
        <v>2270.0517897727277</v>
      </c>
      <c r="AY114" s="1132">
        <f t="shared" ref="AY114:BD114" si="354">AY124*1000000/AY48</f>
        <v>2280.7194313475075</v>
      </c>
      <c r="AZ114" s="1132">
        <f t="shared" si="354"/>
        <v>2315.9964785411539</v>
      </c>
      <c r="BA114" s="1132">
        <f t="shared" si="354"/>
        <v>2340.0753504262839</v>
      </c>
      <c r="BB114" s="1132">
        <f t="shared" si="354"/>
        <v>2355.6758527624588</v>
      </c>
      <c r="BC114" s="1132">
        <f t="shared" si="354"/>
        <v>2363.4761039305467</v>
      </c>
      <c r="BD114" s="1133">
        <f t="shared" si="354"/>
        <v>2379.0766062667217</v>
      </c>
      <c r="BE114" s="940">
        <f t="shared" ref="BE114" si="355">AVERAGE(BF114:BQ114)</f>
        <v>3319.1848227612268</v>
      </c>
      <c r="BF114" s="1804">
        <f t="shared" ref="BF114:BK114" si="356">BF124*1000000/BF48</f>
        <v>3113.1025894889408</v>
      </c>
      <c r="BG114" s="1805">
        <f t="shared" si="356"/>
        <v>3158.5740053490349</v>
      </c>
      <c r="BH114" s="1805">
        <f t="shared" si="356"/>
        <v>3184.0989256985054</v>
      </c>
      <c r="BI114" s="1805">
        <f t="shared" si="356"/>
        <v>3220.8055532077151</v>
      </c>
      <c r="BJ114" s="1805">
        <f t="shared" si="356"/>
        <v>3277.9263963345561</v>
      </c>
      <c r="BK114" s="1805">
        <f t="shared" si="356"/>
        <v>3295.6653376430722</v>
      </c>
      <c r="BL114" s="1805">
        <f t="shared" ref="BL114:BQ114" si="357">BL124*1000000/BL48</f>
        <v>3313.2384256925725</v>
      </c>
      <c r="BM114" s="1805">
        <f t="shared" si="357"/>
        <v>3329.3742814046741</v>
      </c>
      <c r="BN114" s="1805">
        <f t="shared" si="357"/>
        <v>3345.8266102152652</v>
      </c>
      <c r="BO114" s="1805">
        <f t="shared" si="357"/>
        <v>3416.0252248554184</v>
      </c>
      <c r="BP114" s="1805">
        <f t="shared" si="357"/>
        <v>3564.4854694760838</v>
      </c>
      <c r="BQ114" s="1823">
        <f t="shared" si="357"/>
        <v>3611.0950537688805</v>
      </c>
      <c r="BR114" s="208">
        <f t="shared" ref="BR114" si="358">AVERAGE(BS114:CD114)</f>
        <v>2959.9979116089539</v>
      </c>
      <c r="BS114" s="1802">
        <f t="shared" ref="BS114:CD114" si="359">BS124*1000000/BS48</f>
        <v>2978.4614788457802</v>
      </c>
      <c r="BT114" s="1803">
        <f t="shared" si="359"/>
        <v>3002.0046439259659</v>
      </c>
      <c r="BU114" s="1803">
        <f t="shared" si="359"/>
        <v>2995.8940133440319</v>
      </c>
      <c r="BV114" s="1803">
        <f t="shared" si="359"/>
        <v>3016.1349501927689</v>
      </c>
      <c r="BW114" s="1803">
        <f t="shared" si="359"/>
        <v>3023.6173877537908</v>
      </c>
      <c r="BX114" s="1803">
        <f t="shared" si="359"/>
        <v>3052.6108803444217</v>
      </c>
      <c r="BY114" s="1803">
        <f t="shared" si="359"/>
        <v>3027.5754702744885</v>
      </c>
      <c r="BZ114" s="1803">
        <f t="shared" si="359"/>
        <v>2829.8555224131765</v>
      </c>
      <c r="CA114" s="1803">
        <f t="shared" si="359"/>
        <v>2859.2902012212066</v>
      </c>
      <c r="CB114" s="1803">
        <f t="shared" si="359"/>
        <v>2920.1080439763277</v>
      </c>
      <c r="CC114" s="1803">
        <f t="shared" si="359"/>
        <v>2907.0007708869416</v>
      </c>
      <c r="CD114" s="1822">
        <f t="shared" si="359"/>
        <v>2907.4215761285386</v>
      </c>
      <c r="CE114" s="208">
        <f t="shared" ref="CE114" si="360">AVERAGE(CF114:CQ114)</f>
        <v>2125</v>
      </c>
      <c r="CF114" s="957">
        <f>CF104*8.5%</f>
        <v>2125</v>
      </c>
      <c r="CG114" s="879">
        <f t="shared" ref="CG114:CQ114" si="361">CG104*8.5%</f>
        <v>2125</v>
      </c>
      <c r="CH114" s="879">
        <f t="shared" si="361"/>
        <v>2125</v>
      </c>
      <c r="CI114" s="879">
        <f t="shared" si="361"/>
        <v>2125</v>
      </c>
      <c r="CJ114" s="879">
        <f t="shared" si="361"/>
        <v>2125</v>
      </c>
      <c r="CK114" s="879">
        <f t="shared" si="361"/>
        <v>2125</v>
      </c>
      <c r="CL114" s="879">
        <f t="shared" si="361"/>
        <v>2125</v>
      </c>
      <c r="CM114" s="879">
        <f t="shared" si="361"/>
        <v>2125</v>
      </c>
      <c r="CN114" s="879">
        <f t="shared" si="361"/>
        <v>2125</v>
      </c>
      <c r="CO114" s="879">
        <f t="shared" si="361"/>
        <v>2125</v>
      </c>
      <c r="CP114" s="879">
        <f t="shared" si="361"/>
        <v>2125</v>
      </c>
      <c r="CQ114" s="1668">
        <f t="shared" si="361"/>
        <v>2125</v>
      </c>
    </row>
    <row r="115" spans="1:97" ht="16.5" hidden="1" customHeight="1">
      <c r="B115" s="3315"/>
      <c r="C115" s="3316"/>
      <c r="D115" s="305" t="s">
        <v>300</v>
      </c>
      <c r="E115" s="412"/>
      <c r="F115" s="875"/>
      <c r="G115" s="875"/>
      <c r="H115" s="875"/>
      <c r="I115" s="875"/>
      <c r="J115" s="875"/>
      <c r="K115" s="875"/>
      <c r="L115" s="875"/>
      <c r="M115" s="875"/>
      <c r="N115" s="875"/>
      <c r="O115" s="875"/>
      <c r="P115" s="875"/>
      <c r="Q115" s="876"/>
      <c r="R115" s="412"/>
      <c r="S115" s="875"/>
      <c r="T115" s="875"/>
      <c r="U115" s="875"/>
      <c r="V115" s="875"/>
      <c r="W115" s="875"/>
      <c r="X115" s="875"/>
      <c r="Y115" s="875"/>
      <c r="Z115" s="875"/>
      <c r="AA115" s="875"/>
      <c r="AB115" s="875"/>
      <c r="AC115" s="875"/>
      <c r="AD115" s="876"/>
      <c r="AE115" s="412"/>
      <c r="AF115" s="1255"/>
      <c r="AG115" s="1256"/>
      <c r="AH115" s="1256"/>
      <c r="AI115" s="1256"/>
      <c r="AJ115" s="1256"/>
      <c r="AK115" s="1256"/>
      <c r="AL115" s="1256"/>
      <c r="AM115" s="1256"/>
      <c r="AN115" s="1256"/>
      <c r="AO115" s="1256"/>
      <c r="AP115" s="1256"/>
      <c r="AQ115" s="1257"/>
      <c r="AR115" s="412"/>
      <c r="AS115" s="913"/>
      <c r="AT115" s="913"/>
      <c r="AU115" s="913"/>
      <c r="AV115" s="913"/>
      <c r="AW115" s="913"/>
      <c r="AX115" s="913"/>
      <c r="AY115" s="913"/>
      <c r="AZ115" s="913"/>
      <c r="BA115" s="913"/>
      <c r="BB115" s="913"/>
      <c r="BC115" s="913"/>
      <c r="BD115" s="914"/>
      <c r="BE115" s="950"/>
      <c r="BF115" s="963"/>
      <c r="BG115" s="913"/>
      <c r="BH115" s="913"/>
      <c r="BI115" s="913"/>
      <c r="BJ115" s="913"/>
      <c r="BK115" s="913"/>
      <c r="BL115" s="913"/>
      <c r="BM115" s="913"/>
      <c r="BN115" s="913"/>
      <c r="BO115" s="913"/>
      <c r="BP115" s="913"/>
      <c r="BQ115" s="1750"/>
      <c r="BR115" s="950"/>
      <c r="BS115" s="963"/>
      <c r="BT115" s="913"/>
      <c r="BU115" s="913"/>
      <c r="BV115" s="913"/>
      <c r="BW115" s="913"/>
      <c r="BX115" s="913"/>
      <c r="BY115" s="913"/>
      <c r="BZ115" s="913"/>
      <c r="CA115" s="913"/>
      <c r="CB115" s="913"/>
      <c r="CC115" s="913"/>
      <c r="CD115" s="1750"/>
      <c r="CE115" s="950"/>
      <c r="CF115" s="963"/>
      <c r="CG115" s="913"/>
      <c r="CH115" s="913"/>
      <c r="CI115" s="913"/>
      <c r="CJ115" s="913"/>
      <c r="CK115" s="913"/>
      <c r="CL115" s="913"/>
      <c r="CM115" s="913"/>
      <c r="CN115" s="913"/>
      <c r="CO115" s="913"/>
      <c r="CP115" s="913"/>
      <c r="CQ115" s="1750"/>
    </row>
    <row r="116" spans="1:97" ht="16.5" customHeight="1">
      <c r="B116" s="3311" t="s">
        <v>125</v>
      </c>
      <c r="C116" s="3312"/>
      <c r="D116" s="210" t="s">
        <v>281</v>
      </c>
      <c r="E116" s="397">
        <f>SUM(E117:E125)</f>
        <v>36520.512402309083</v>
      </c>
      <c r="F116" s="560">
        <v>2938.3246470000004</v>
      </c>
      <c r="G116" s="363">
        <v>3102.3855192727274</v>
      </c>
      <c r="H116" s="363">
        <v>3290.9661065454547</v>
      </c>
      <c r="I116" s="363">
        <v>3054.678209636364</v>
      </c>
      <c r="J116" s="363">
        <v>3275.704189090909</v>
      </c>
      <c r="K116" s="363">
        <v>3013.1447144545455</v>
      </c>
      <c r="L116" s="363">
        <v>3040.491551818182</v>
      </c>
      <c r="M116" s="363">
        <v>3183.0798668181819</v>
      </c>
      <c r="N116" s="363">
        <v>2949.2754923636367</v>
      </c>
      <c r="O116" s="363">
        <v>2962.3067674000004</v>
      </c>
      <c r="P116" s="363">
        <v>2783.1854054545456</v>
      </c>
      <c r="Q116" s="452">
        <v>2926.9699324545454</v>
      </c>
      <c r="R116" s="397">
        <f>SUM(R117:R125)</f>
        <v>36210.819012755223</v>
      </c>
      <c r="S116" s="226">
        <v>2838.5156666363637</v>
      </c>
      <c r="T116" s="226">
        <f>3373.50256363636-T126</f>
        <v>2996.0722499999961</v>
      </c>
      <c r="U116" s="226">
        <v>3011.9098520909092</v>
      </c>
      <c r="V116" s="226">
        <f>3965.80687327273-V126</f>
        <v>3137.9289714545484</v>
      </c>
      <c r="W116" s="226">
        <f>3359.64140061983-W126</f>
        <v>2934.3305629989404</v>
      </c>
      <c r="X116" s="226">
        <f>3435.88530881818-X126</f>
        <v>2997.5761358201144</v>
      </c>
      <c r="Y116" s="226">
        <f>3356.86117281818-Y126</f>
        <v>2917.3086690077353</v>
      </c>
      <c r="Z116" s="226">
        <f>3611.63844681818-Z126</f>
        <v>3155.0593151740795</v>
      </c>
      <c r="AA116" s="226">
        <f>3314.661106-AA126</f>
        <v>2855.4315176247583</v>
      </c>
      <c r="AB116" s="226">
        <f>3599.79259290909-AB126</f>
        <v>3125.19998815087</v>
      </c>
      <c r="AC116" s="226">
        <f>4390.94861-AC126-유선!AC32</f>
        <v>3204.1497447969059</v>
      </c>
      <c r="AD116" s="226">
        <f>4080.651049-AD126-유선!AD32</f>
        <v>3037.3363390000004</v>
      </c>
      <c r="AE116" s="397">
        <f>SUM(AE117:AE125)</f>
        <v>38215.896677363635</v>
      </c>
      <c r="AF116" s="1258">
        <f>4228.030475-AF126-유선!AF32</f>
        <v>3148.1415513636362</v>
      </c>
      <c r="AG116" s="1191">
        <f>4418.835457-AG126-유선!AG32</f>
        <v>3325.2243494545455</v>
      </c>
      <c r="AH116" s="1191">
        <f>4395.574191-AH126-유선!AH32</f>
        <v>3254.2199964545453</v>
      </c>
      <c r="AI116" s="1191">
        <f>4128.252273-AI126-유선!AI32</f>
        <v>3021.2849693636363</v>
      </c>
      <c r="AJ116" s="1191">
        <f>4390.920632-AJ126-유선!AJ32</f>
        <v>3261.932416545455</v>
      </c>
      <c r="AK116" s="1191">
        <f>4394.494474-AK126-유선!AK32</f>
        <v>3226.374177636364</v>
      </c>
      <c r="AL116" s="1191">
        <v>3441.5869085454542</v>
      </c>
      <c r="AM116" s="1191">
        <v>3462.6086617272731</v>
      </c>
      <c r="AN116" s="1191">
        <v>3319.5825714545458</v>
      </c>
      <c r="AO116" s="1191">
        <v>2386.1598564545452</v>
      </c>
      <c r="AP116" s="1191">
        <v>3686.9186206363629</v>
      </c>
      <c r="AQ116" s="1192">
        <v>2681.8625977272732</v>
      </c>
      <c r="AR116" s="397">
        <f>SUM(AR117:AR125)</f>
        <v>45886.57701939845</v>
      </c>
      <c r="AS116" s="1258">
        <v>4664.6554989419728</v>
      </c>
      <c r="AT116" s="1258">
        <v>3117.0087739999999</v>
      </c>
      <c r="AU116" s="1258">
        <v>3849.2507158994222</v>
      </c>
      <c r="AV116" s="1258">
        <v>3555.3305571025135</v>
      </c>
      <c r="AW116" s="1258">
        <v>3830.2663555454515</v>
      </c>
      <c r="AX116" s="1258">
        <v>3757.9322990000032</v>
      </c>
      <c r="AY116" s="1258">
        <v>4053.8558372727275</v>
      </c>
      <c r="AZ116" s="1258">
        <v>3854.9317836363643</v>
      </c>
      <c r="BA116" s="415">
        <v>3405.442086</v>
      </c>
      <c r="BB116" s="415">
        <v>4024.0069690000046</v>
      </c>
      <c r="BC116" s="415">
        <v>3634.1755130000001</v>
      </c>
      <c r="BD116" s="877">
        <v>4139.7206299999943</v>
      </c>
      <c r="BE116" s="936">
        <f>SUM(BF116:BQ116)</f>
        <v>43756.206781363631</v>
      </c>
      <c r="BF116" s="410">
        <f>5219-BF126-유선!BF32+(241554/1000000)-BF127</f>
        <v>3936.0433840000005</v>
      </c>
      <c r="BG116" s="903">
        <f>5020-BG126-유선!BG32+(59395/1000000)-BG127</f>
        <v>3757.0730322727277</v>
      </c>
      <c r="BH116" s="903">
        <f>4975-BH126-유선!BH32+0.0784180000000561-BH127</f>
        <v>3679.8527007272733</v>
      </c>
      <c r="BI116" s="903">
        <f>4739.249816-BI126-유선!BI32-BI127</f>
        <v>3451.7649232727267</v>
      </c>
      <c r="BJ116" s="903">
        <f>4730.249816-BJ126-유선!BJ32+0.110265000000254-BJ127</f>
        <v>3463.0757300909086</v>
      </c>
      <c r="BK116" s="903">
        <f>4717.249816-BK126-유선!BK32+0.110265000000254-0.489078999999947-BK127</f>
        <v>3467.3402992727274</v>
      </c>
      <c r="BL116" s="903">
        <f>4866-BL126-유선!BL32+0.414789000000383-BL127</f>
        <v>3623.3423571818184</v>
      </c>
      <c r="BM116" s="903">
        <f>4709-BM126-유선!BM32+0.414789000000383+0.135340000000724+0.270680000001448-0.541360000002896-BM127</f>
        <v>3486.3265044545451</v>
      </c>
      <c r="BN116" s="1734">
        <f>4909-BN126-유선!BN32+0.414789000000383+0.135340000000724+0.270680000001448-0.541360000002896-338.711130999999-28.3742080000002-BN127</f>
        <v>3334.7875945454548</v>
      </c>
      <c r="BO116" s="903">
        <f>4909-BO126-유선!BO32+0.414789000000383+0.135340000000724+0.270680000001448-0.541360000002896-338.711130999999-28.3742080000002+642.712073-0.243916000001263-BO127</f>
        <v>3881.1023651818177</v>
      </c>
      <c r="BP116" s="903">
        <f>4909-BP126-유선!BP32+0.414789000000383+0.135340000000724+0.270680000001448-0.541360000002896-338.711130999999-28.3742080000002+642.712073-0.243916000001263-986+0.4493790000015-BP127</f>
        <v>3020.6324687272727</v>
      </c>
      <c r="BQ116" s="1749">
        <f>4754.86542163636-유선!BQ32+658.154490909091-BQ127</f>
        <v>4654.8654216363602</v>
      </c>
      <c r="BR116" s="936">
        <f t="shared" ref="BR116:BR121" si="362">SUM(BS116:CD116)</f>
        <v>37291.965331545434</v>
      </c>
      <c r="BS116" s="1878">
        <v>2921.8709950909092</v>
      </c>
      <c r="BT116" s="1723">
        <v>3149.6982064545464</v>
      </c>
      <c r="BU116" s="1723">
        <v>2980.9632050000005</v>
      </c>
      <c r="BV116" s="1723">
        <v>3461.2916558181819</v>
      </c>
      <c r="BW116" s="1723">
        <v>2751.2917874545451</v>
      </c>
      <c r="BX116" s="1723">
        <v>3660.0931711818193</v>
      </c>
      <c r="BY116" s="1723">
        <v>3252.4489479090912</v>
      </c>
      <c r="BZ116" s="415">
        <v>3027.3911651818144</v>
      </c>
      <c r="CA116" s="415">
        <v>3149.6035303636327</v>
      </c>
      <c r="CB116" s="415">
        <v>3027.1490617272693</v>
      </c>
      <c r="CC116" s="415">
        <v>2924.3539117272735</v>
      </c>
      <c r="CD116" s="1738">
        <v>2985.8096936363604</v>
      </c>
      <c r="CE116" s="936">
        <f t="shared" ref="CE116:CE121" si="363">SUM(CF116:CQ116)</f>
        <v>34842.816974600006</v>
      </c>
      <c r="CF116" s="410">
        <f>SUM(CF117:CF125)</f>
        <v>2972.9189779876156</v>
      </c>
      <c r="CG116" s="903">
        <f t="shared" ref="CG116:CQ116" si="364">SUM(CG117:CG125)</f>
        <v>2950.8579469488318</v>
      </c>
      <c r="CH116" s="903">
        <f t="shared" si="364"/>
        <v>2948.3673544750063</v>
      </c>
      <c r="CI116" s="903">
        <f t="shared" si="364"/>
        <v>2930.3635457732162</v>
      </c>
      <c r="CJ116" s="903">
        <f t="shared" si="364"/>
        <v>2914.0142645962846</v>
      </c>
      <c r="CK116" s="903">
        <f t="shared" si="364"/>
        <v>2894.2008446261243</v>
      </c>
      <c r="CL116" s="903">
        <f t="shared" si="364"/>
        <v>2896.5103108287753</v>
      </c>
      <c r="CM116" s="903">
        <f t="shared" si="364"/>
        <v>2881.6507687280196</v>
      </c>
      <c r="CN116" s="1734">
        <f t="shared" si="364"/>
        <v>2883.9283936947404</v>
      </c>
      <c r="CO116" s="903">
        <f t="shared" si="364"/>
        <v>2873.2267548034497</v>
      </c>
      <c r="CP116" s="903">
        <f t="shared" si="364"/>
        <v>2856.2375461266288</v>
      </c>
      <c r="CQ116" s="1749">
        <f t="shared" si="364"/>
        <v>2840.5402660113073</v>
      </c>
    </row>
    <row r="117" spans="1:97">
      <c r="A117" s="3121"/>
      <c r="B117" s="3313"/>
      <c r="C117" s="3314"/>
      <c r="D117" s="201" t="s">
        <v>15</v>
      </c>
      <c r="E117" s="398">
        <f>SUM(F117:Q117)</f>
        <v>9146.0927609090886</v>
      </c>
      <c r="F117" s="396">
        <v>1028.4451072727272</v>
      </c>
      <c r="G117" s="601">
        <v>984.80151727272721</v>
      </c>
      <c r="H117" s="606">
        <v>952.28600181818172</v>
      </c>
      <c r="I117" s="314">
        <v>912.51800454545446</v>
      </c>
      <c r="J117" s="314">
        <v>850.34541636363633</v>
      </c>
      <c r="K117" s="314">
        <v>792.70117909090914</v>
      </c>
      <c r="L117" s="314">
        <v>738.36652090909092</v>
      </c>
      <c r="M117" s="314">
        <v>680.41983363636359</v>
      </c>
      <c r="N117" s="314">
        <v>622.8681345454545</v>
      </c>
      <c r="O117" s="314">
        <v>588.76173909090892</v>
      </c>
      <c r="P117" s="314">
        <v>520.36149545454543</v>
      </c>
      <c r="Q117" s="314">
        <v>474.21781090909093</v>
      </c>
      <c r="R117" s="398">
        <f>SUM(S117:AD117)</f>
        <v>2784.0535889999996</v>
      </c>
      <c r="S117" s="396">
        <v>433.09373909090908</v>
      </c>
      <c r="T117" s="601">
        <f>770.181830909091-400</f>
        <v>370.18183090909099</v>
      </c>
      <c r="U117" s="601">
        <v>357.66619818181817</v>
      </c>
      <c r="V117" s="601">
        <v>318.18808772727277</v>
      </c>
      <c r="W117" s="601">
        <v>289.62598636363623</v>
      </c>
      <c r="X117" s="601">
        <v>248.28652699999986</v>
      </c>
      <c r="Y117" s="601">
        <v>211.90786172727275</v>
      </c>
      <c r="Z117" s="601">
        <v>200.45372127272725</v>
      </c>
      <c r="AA117" s="601">
        <v>102</v>
      </c>
      <c r="AB117" s="601">
        <v>101.39926363636357</v>
      </c>
      <c r="AC117" s="601">
        <v>88.530686545454444</v>
      </c>
      <c r="AD117" s="601">
        <v>62.719686545454465</v>
      </c>
      <c r="AE117" s="398">
        <f>SUM(AF117:AQ117)</f>
        <v>1693.7477077040614</v>
      </c>
      <c r="AF117" s="1259">
        <v>34.36754961315286</v>
      </c>
      <c r="AG117" s="1260">
        <v>45.556761545454492</v>
      </c>
      <c r="AH117" s="1260">
        <v>126.31583636363621</v>
      </c>
      <c r="AI117" s="1260">
        <v>123.84174636363633</v>
      </c>
      <c r="AJ117" s="1260">
        <v>120.95985090909085</v>
      </c>
      <c r="AK117" s="1260">
        <v>100.93221818181814</v>
      </c>
      <c r="AL117" s="1260">
        <v>176.78648463636364</v>
      </c>
      <c r="AM117" s="1260">
        <v>174.51076181818178</v>
      </c>
      <c r="AN117" s="1260">
        <v>169.28350827272726</v>
      </c>
      <c r="AO117" s="1260">
        <v>230.56604636363625</v>
      </c>
      <c r="AP117" s="1260">
        <v>198.10408818181804</v>
      </c>
      <c r="AQ117" s="1261">
        <v>192.52285545454538</v>
      </c>
      <c r="AR117" s="398">
        <f>SUM(AS117:BD117)</f>
        <v>5460.7570513346218</v>
      </c>
      <c r="AS117" s="1126">
        <v>453.547589032882</v>
      </c>
      <c r="AT117" s="1129">
        <v>448.14180001934233</v>
      </c>
      <c r="AU117" s="1129">
        <v>442.418363172147</v>
      </c>
      <c r="AV117" s="1129">
        <v>466.64743473887802</v>
      </c>
      <c r="AW117" s="1129">
        <v>475.89609651837515</v>
      </c>
      <c r="AX117" s="1129">
        <v>471.51071694390714</v>
      </c>
      <c r="AY117" s="1129">
        <v>482</v>
      </c>
      <c r="AZ117" s="1129">
        <v>459.5950509090909</v>
      </c>
      <c r="BA117" s="1129">
        <v>448</v>
      </c>
      <c r="BB117" s="1129">
        <v>448</v>
      </c>
      <c r="BC117" s="1129">
        <v>435</v>
      </c>
      <c r="BD117" s="1130">
        <v>430</v>
      </c>
      <c r="BE117" s="937">
        <f>SUM(BF117:BQ117)</f>
        <v>4372.5454063503757</v>
      </c>
      <c r="BF117" s="1802">
        <v>371.66666666666663</v>
      </c>
      <c r="BG117" s="1824">
        <v>369.61666666666667</v>
      </c>
      <c r="BH117" s="1824">
        <v>367.58716666666663</v>
      </c>
      <c r="BI117" s="1824">
        <v>366.58256416666666</v>
      </c>
      <c r="BJ117" s="1824">
        <v>365.58298467916666</v>
      </c>
      <c r="BK117" s="1824">
        <v>364.58840308910413</v>
      </c>
      <c r="BL117" s="1824">
        <v>363.59879440699194</v>
      </c>
      <c r="BM117" s="1824">
        <v>362.61413376829034</v>
      </c>
      <c r="BN117" s="1824">
        <v>361.63439643278218</v>
      </c>
      <c r="BO117" s="1824">
        <v>360.65955778395164</v>
      </c>
      <c r="BP117" s="1824">
        <v>359.68959332836522</v>
      </c>
      <c r="BQ117" s="1825">
        <v>358.72447869505675</v>
      </c>
      <c r="BR117" s="937">
        <f t="shared" si="362"/>
        <v>3306.6966785425134</v>
      </c>
      <c r="BS117" s="1802">
        <v>347.82017245916199</v>
      </c>
      <c r="BT117" s="1824">
        <v>342.82017245916199</v>
      </c>
      <c r="BU117" s="1824">
        <v>326.33107159686699</v>
      </c>
      <c r="BV117" s="1824">
        <v>314.84941623888199</v>
      </c>
      <c r="BW117" s="1824">
        <v>303.37516915768799</v>
      </c>
      <c r="BX117" s="1824">
        <v>303.37516915768799</v>
      </c>
      <c r="BY117" s="1824">
        <v>303.37516915768799</v>
      </c>
      <c r="BZ117" s="1824">
        <v>302.37516915768799</v>
      </c>
      <c r="CA117" s="1824">
        <v>202.37516915768799</v>
      </c>
      <c r="CB117" s="1824">
        <v>200</v>
      </c>
      <c r="CC117" s="1824">
        <v>200</v>
      </c>
      <c r="CD117" s="1825">
        <v>160</v>
      </c>
      <c r="CE117" s="937">
        <f t="shared" si="363"/>
        <v>2312.2042485956517</v>
      </c>
      <c r="CF117" s="957">
        <f>CF107*CF41/1000000</f>
        <v>251.52344112564333</v>
      </c>
      <c r="CG117" s="1879">
        <f t="shared" ref="CG117:CQ117" si="365">CG107*CG41/1000000</f>
        <v>238.94726906936117</v>
      </c>
      <c r="CH117" s="1879">
        <f t="shared" si="365"/>
        <v>226.99990561589308</v>
      </c>
      <c r="CI117" s="1879">
        <f t="shared" si="365"/>
        <v>215.64991033509844</v>
      </c>
      <c r="CJ117" s="1879">
        <f t="shared" si="365"/>
        <v>204.86741481834352</v>
      </c>
      <c r="CK117" s="1879">
        <f t="shared" si="365"/>
        <v>194.62404407742633</v>
      </c>
      <c r="CL117" s="1879">
        <f t="shared" si="365"/>
        <v>184.892841873555</v>
      </c>
      <c r="CM117" s="1879">
        <f t="shared" si="365"/>
        <v>175.64819977987725</v>
      </c>
      <c r="CN117" s="1879">
        <f t="shared" si="365"/>
        <v>166.86578979088338</v>
      </c>
      <c r="CO117" s="1879">
        <f>CO107*CO41/1000000</f>
        <v>158.52250030133922</v>
      </c>
      <c r="CP117" s="1879">
        <f t="shared" si="365"/>
        <v>150.59637528627226</v>
      </c>
      <c r="CQ117" s="1739">
        <f t="shared" si="365"/>
        <v>143.06655652195863</v>
      </c>
      <c r="CR117" s="1169"/>
      <c r="CS117" s="1169"/>
    </row>
    <row r="118" spans="1:97">
      <c r="A118" s="3121"/>
      <c r="B118" s="3313"/>
      <c r="C118" s="3314"/>
      <c r="D118" s="1418" t="s">
        <v>16</v>
      </c>
      <c r="E118" s="398">
        <f>SUM(F118:Q118)</f>
        <v>17463.155602727267</v>
      </c>
      <c r="F118" s="396">
        <v>1269.7698927272727</v>
      </c>
      <c r="G118" s="600">
        <v>1306.2978409090908</v>
      </c>
      <c r="H118" s="605">
        <v>1365.2726045454542</v>
      </c>
      <c r="I118" s="314">
        <v>1379.3759599999998</v>
      </c>
      <c r="J118" s="314">
        <v>1414.8249745454543</v>
      </c>
      <c r="K118" s="314">
        <v>1418.0195145454545</v>
      </c>
      <c r="L118" s="314">
        <v>1451.5097190909089</v>
      </c>
      <c r="M118" s="314">
        <v>1506.8154699999998</v>
      </c>
      <c r="N118" s="314">
        <v>1532.0476181818181</v>
      </c>
      <c r="O118" s="314">
        <v>1608.5310254545452</v>
      </c>
      <c r="P118" s="314">
        <v>1581.9409927272725</v>
      </c>
      <c r="Q118" s="396">
        <v>1628.74999</v>
      </c>
      <c r="R118" s="398">
        <f>SUM(S118:AD118)</f>
        <v>22869.210351909089</v>
      </c>
      <c r="S118" s="396">
        <v>1658.7420927272726</v>
      </c>
      <c r="T118" s="600">
        <v>1616.1691245454545</v>
      </c>
      <c r="U118" s="600">
        <v>1806.2262036363636</v>
      </c>
      <c r="V118" s="600">
        <v>1745.5873215454544</v>
      </c>
      <c r="W118" s="600">
        <v>1834.9988990909089</v>
      </c>
      <c r="X118" s="600">
        <v>1884.1860054545455</v>
      </c>
      <c r="Y118" s="600">
        <v>1925.8240627272728</v>
      </c>
      <c r="Z118" s="600">
        <v>2011.9510536363634</v>
      </c>
      <c r="AA118" s="600">
        <v>2009.6</v>
      </c>
      <c r="AB118" s="600">
        <v>2117.0781354545452</v>
      </c>
      <c r="AC118" s="600">
        <v>2124.4237265454544</v>
      </c>
      <c r="AD118" s="600">
        <v>2134.4237265454544</v>
      </c>
      <c r="AE118" s="398">
        <f>SUM(AF118:AQ118)</f>
        <v>27260.738323636364</v>
      </c>
      <c r="AF118" s="1259">
        <v>2241.4373563636364</v>
      </c>
      <c r="AG118" s="1044">
        <v>2295.3246300000001</v>
      </c>
      <c r="AH118" s="1044">
        <v>2199.6099472727269</v>
      </c>
      <c r="AI118" s="1044">
        <v>2163.808387272727</v>
      </c>
      <c r="AJ118" s="1044">
        <v>2172.1300345454542</v>
      </c>
      <c r="AK118" s="1044">
        <v>2193.6884</v>
      </c>
      <c r="AL118" s="1044">
        <v>2257.057256363636</v>
      </c>
      <c r="AM118" s="1044">
        <v>2282.0404763636366</v>
      </c>
      <c r="AN118" s="1044">
        <v>2269.5677190909091</v>
      </c>
      <c r="AO118" s="1044">
        <v>2379.7786627272726</v>
      </c>
      <c r="AP118" s="1044">
        <v>2396.7292136363635</v>
      </c>
      <c r="AQ118" s="1262">
        <v>2409.5662400000001</v>
      </c>
      <c r="AR118" s="398">
        <f>SUM(AS118:BD118)</f>
        <v>27032.142963636365</v>
      </c>
      <c r="AS118" s="1126">
        <v>2200.7928736363629</v>
      </c>
      <c r="AT118" s="1126">
        <v>2222.4399818181819</v>
      </c>
      <c r="AU118" s="1126">
        <v>2233.2571672727299</v>
      </c>
      <c r="AV118" s="1126">
        <v>2216.2782009090911</v>
      </c>
      <c r="AW118" s="1126">
        <v>2254.9153099999994</v>
      </c>
      <c r="AX118" s="1126">
        <v>2286.7801872727268</v>
      </c>
      <c r="AY118" s="1126">
        <v>2247.0733727272732</v>
      </c>
      <c r="AZ118" s="1126">
        <v>2272.6058699999999</v>
      </c>
      <c r="BA118" s="1126">
        <v>2264</v>
      </c>
      <c r="BB118" s="1126">
        <v>2276</v>
      </c>
      <c r="BC118" s="1126">
        <v>2278</v>
      </c>
      <c r="BD118" s="1127">
        <v>2280</v>
      </c>
      <c r="BE118" s="937">
        <f>SUM(BF118:BQ118)</f>
        <v>27851.999301249616</v>
      </c>
      <c r="BF118" s="1802">
        <v>2308.9014114592956</v>
      </c>
      <c r="BG118" s="1803">
        <v>2360.0343400019228</v>
      </c>
      <c r="BH118" s="1803">
        <v>2298.2223858693314</v>
      </c>
      <c r="BI118" s="1803">
        <v>2327.9400534507295</v>
      </c>
      <c r="BJ118" s="1803">
        <v>2316.043473906027</v>
      </c>
      <c r="BK118" s="1803">
        <v>2349.0523944612146</v>
      </c>
      <c r="BL118" s="1803">
        <v>2342.9428592624354</v>
      </c>
      <c r="BM118" s="1803">
        <v>2344.3500151731578</v>
      </c>
      <c r="BN118" s="1803">
        <v>2361.0933828864736</v>
      </c>
      <c r="BO118" s="1803">
        <v>2301.0551032617741</v>
      </c>
      <c r="BP118" s="1803">
        <v>2277.7814838362028</v>
      </c>
      <c r="BQ118" s="1822">
        <v>2264.5823976810543</v>
      </c>
      <c r="BR118" s="937">
        <f t="shared" si="362"/>
        <v>24838.885360243083</v>
      </c>
      <c r="BS118" s="1802">
        <v>2040.28175363175</v>
      </c>
      <c r="BT118" s="1803">
        <v>2019.8789360954324</v>
      </c>
      <c r="BU118" s="1803">
        <v>2009.7795414149552</v>
      </c>
      <c r="BV118" s="1803">
        <v>1999.7306437078805</v>
      </c>
      <c r="BW118" s="1803">
        <v>1989.7319904893411</v>
      </c>
      <c r="BX118" s="1803">
        <v>2149.0689278433892</v>
      </c>
      <c r="BY118" s="1803">
        <v>2245.0689278433902</v>
      </c>
      <c r="BZ118" s="1803">
        <v>2077.0689278433902</v>
      </c>
      <c r="CA118" s="1803">
        <v>2077.0689278433902</v>
      </c>
      <c r="CB118" s="1803">
        <v>2077.0689278433902</v>
      </c>
      <c r="CC118" s="1803">
        <v>2077.0689278433902</v>
      </c>
      <c r="CD118" s="1822">
        <v>2077.0689278433902</v>
      </c>
      <c r="CE118" s="937">
        <f t="shared" si="363"/>
        <v>23672.734537189473</v>
      </c>
      <c r="CF118" s="957">
        <f>CF108*CF42/1000000</f>
        <v>1955.3420430214244</v>
      </c>
      <c r="CG118" s="879">
        <f t="shared" ref="CF118:CQ119" si="366">CG108*CG42/1000000</f>
        <v>1951.3662079833061</v>
      </c>
      <c r="CH118" s="879">
        <f t="shared" si="366"/>
        <v>1966.6855505146791</v>
      </c>
      <c r="CI118" s="879">
        <f t="shared" si="366"/>
        <v>1966.1657795134629</v>
      </c>
      <c r="CJ118" s="879">
        <f t="shared" si="366"/>
        <v>1966.5395874822584</v>
      </c>
      <c r="CK118" s="879">
        <f t="shared" si="366"/>
        <v>1962.7795988989619</v>
      </c>
      <c r="CL118" s="879">
        <f t="shared" si="366"/>
        <v>1979.2300287179894</v>
      </c>
      <c r="CM118" s="879">
        <f t="shared" si="366"/>
        <v>1979.1881799627554</v>
      </c>
      <c r="CN118" s="879">
        <f t="shared" si="366"/>
        <v>1991.7916304338146</v>
      </c>
      <c r="CO118" s="879">
        <f t="shared" si="366"/>
        <v>1988.9756794299324</v>
      </c>
      <c r="CP118" s="879">
        <f t="shared" si="366"/>
        <v>1985.3492761266461</v>
      </c>
      <c r="CQ118" s="1668">
        <f t="shared" si="366"/>
        <v>1979.3209751042402</v>
      </c>
      <c r="CS118" s="1169"/>
    </row>
    <row r="119" spans="1:97">
      <c r="A119" s="3121"/>
      <c r="B119" s="3313"/>
      <c r="C119" s="3314"/>
      <c r="D119" s="1418" t="s">
        <v>575</v>
      </c>
      <c r="E119" s="398"/>
      <c r="F119" s="396"/>
      <c r="G119" s="600"/>
      <c r="H119" s="605"/>
      <c r="I119" s="314"/>
      <c r="J119" s="314"/>
      <c r="K119" s="314"/>
      <c r="L119" s="314"/>
      <c r="M119" s="314"/>
      <c r="N119" s="314"/>
      <c r="O119" s="314"/>
      <c r="P119" s="314"/>
      <c r="Q119" s="396"/>
      <c r="R119" s="398"/>
      <c r="S119" s="396"/>
      <c r="T119" s="600"/>
      <c r="U119" s="600"/>
      <c r="V119" s="600"/>
      <c r="W119" s="600"/>
      <c r="X119" s="600"/>
      <c r="Y119" s="600"/>
      <c r="Z119" s="600"/>
      <c r="AA119" s="600"/>
      <c r="AB119" s="600"/>
      <c r="AC119" s="600"/>
      <c r="AD119" s="600"/>
      <c r="AE119" s="398"/>
      <c r="AF119" s="1259"/>
      <c r="AG119" s="1044"/>
      <c r="AH119" s="1044"/>
      <c r="AI119" s="1044"/>
      <c r="AJ119" s="1044"/>
      <c r="AK119" s="1044"/>
      <c r="AL119" s="1044"/>
      <c r="AM119" s="1044"/>
      <c r="AN119" s="1044"/>
      <c r="AO119" s="1044"/>
      <c r="AP119" s="1044"/>
      <c r="AQ119" s="1262"/>
      <c r="AR119" s="398"/>
      <c r="AS119" s="1126"/>
      <c r="AT119" s="1126"/>
      <c r="AU119" s="1126"/>
      <c r="AV119" s="1126"/>
      <c r="AW119" s="1126"/>
      <c r="AX119" s="1126"/>
      <c r="AY119" s="1126"/>
      <c r="AZ119" s="1126"/>
      <c r="BA119" s="1126"/>
      <c r="BB119" s="1126"/>
      <c r="BC119" s="1126"/>
      <c r="BD119" s="1127"/>
      <c r="BE119" s="937"/>
      <c r="BF119" s="1802"/>
      <c r="BG119" s="1803"/>
      <c r="BH119" s="1803"/>
      <c r="BI119" s="1803"/>
      <c r="BJ119" s="1803"/>
      <c r="BK119" s="1803"/>
      <c r="BL119" s="1803"/>
      <c r="BM119" s="1803"/>
      <c r="BN119" s="1803"/>
      <c r="BO119" s="1803"/>
      <c r="BP119" s="1803"/>
      <c r="BQ119" s="1822"/>
      <c r="BR119" s="937">
        <f t="shared" si="362"/>
        <v>504</v>
      </c>
      <c r="BS119" s="1802">
        <v>42</v>
      </c>
      <c r="BT119" s="1803">
        <v>42</v>
      </c>
      <c r="BU119" s="1803">
        <v>42</v>
      </c>
      <c r="BV119" s="1803">
        <v>42</v>
      </c>
      <c r="BW119" s="1803">
        <v>42</v>
      </c>
      <c r="BX119" s="1803">
        <v>42</v>
      </c>
      <c r="BY119" s="1803">
        <v>42</v>
      </c>
      <c r="BZ119" s="1803">
        <v>42</v>
      </c>
      <c r="CA119" s="1803">
        <v>42</v>
      </c>
      <c r="CB119" s="1803">
        <v>42</v>
      </c>
      <c r="CC119" s="1803">
        <v>42</v>
      </c>
      <c r="CD119" s="1822">
        <v>42</v>
      </c>
      <c r="CE119" s="937">
        <f t="shared" si="363"/>
        <v>513.58478310912074</v>
      </c>
      <c r="CF119" s="957">
        <f t="shared" si="366"/>
        <v>44.372609078893213</v>
      </c>
      <c r="CG119" s="879">
        <f t="shared" si="366"/>
        <v>43.972106301144848</v>
      </c>
      <c r="CH119" s="879">
        <f t="shared" si="366"/>
        <v>44.001195168412885</v>
      </c>
      <c r="CI119" s="879">
        <f t="shared" si="366"/>
        <v>43.59850852016924</v>
      </c>
      <c r="CJ119" s="879">
        <f t="shared" si="366"/>
        <v>43.243644114914574</v>
      </c>
      <c r="CK119" s="879">
        <f t="shared" si="366"/>
        <v>42.877098070700733</v>
      </c>
      <c r="CL119" s="879">
        <f t="shared" si="366"/>
        <v>42.847847517343645</v>
      </c>
      <c r="CM119" s="879">
        <f t="shared" si="366"/>
        <v>42.468203647487016</v>
      </c>
      <c r="CN119" s="879">
        <f t="shared" si="366"/>
        <v>42.16510701138278</v>
      </c>
      <c r="CO119" s="879">
        <f t="shared" si="366"/>
        <v>41.799810440596048</v>
      </c>
      <c r="CP119" s="879">
        <f t="shared" si="366"/>
        <v>41.362943664324995</v>
      </c>
      <c r="CQ119" s="1668">
        <f t="shared" si="366"/>
        <v>40.875709573750711</v>
      </c>
    </row>
    <row r="120" spans="1:97">
      <c r="B120" s="3313"/>
      <c r="C120" s="3314"/>
      <c r="D120" s="201" t="s">
        <v>245</v>
      </c>
      <c r="E120" s="398">
        <f>SUM(F120:Q120)</f>
        <v>439.6219972727273</v>
      </c>
      <c r="F120" s="396">
        <v>48.802219090909084</v>
      </c>
      <c r="G120" s="600">
        <v>46.826837272727268</v>
      </c>
      <c r="H120" s="605">
        <v>45.992617272727266</v>
      </c>
      <c r="I120" s="314">
        <v>44.462302727272721</v>
      </c>
      <c r="J120" s="314">
        <v>41.962777272727266</v>
      </c>
      <c r="K120" s="314">
        <v>38.653139090909086</v>
      </c>
      <c r="L120" s="314">
        <v>35.898454545454548</v>
      </c>
      <c r="M120" s="314">
        <v>32.656640909090903</v>
      </c>
      <c r="N120" s="314">
        <v>29.732136363636364</v>
      </c>
      <c r="O120" s="314">
        <v>27.746831818181811</v>
      </c>
      <c r="P120" s="314">
        <v>24.748062727272721</v>
      </c>
      <c r="Q120" s="314">
        <v>22.139978181818179</v>
      </c>
      <c r="R120" s="398">
        <f>SUM(S120:AD120)</f>
        <v>129.5206987272727</v>
      </c>
      <c r="S120" s="396">
        <v>19.805086363636359</v>
      </c>
      <c r="T120" s="600">
        <v>17.230863636363633</v>
      </c>
      <c r="U120" s="600">
        <v>15.768833636363636</v>
      </c>
      <c r="V120" s="600">
        <v>13.480996727272727</v>
      </c>
      <c r="W120" s="600">
        <v>12.214696363636364</v>
      </c>
      <c r="X120" s="600">
        <v>10.968926363636363</v>
      </c>
      <c r="Y120" s="600">
        <v>9.7640681818181818</v>
      </c>
      <c r="Z120" s="600">
        <v>8.5807463636363632</v>
      </c>
      <c r="AA120" s="600">
        <v>7.4329999999999998</v>
      </c>
      <c r="AB120" s="600">
        <v>6.1888590909090908</v>
      </c>
      <c r="AC120" s="600">
        <v>4.5423109999999989</v>
      </c>
      <c r="AD120" s="600">
        <v>3.5423109999999989</v>
      </c>
      <c r="AE120" s="398">
        <f>SUM(AF120:AQ120)</f>
        <v>16.263502727272726</v>
      </c>
      <c r="AF120" s="1259">
        <v>2.2232772727272723</v>
      </c>
      <c r="AG120" s="1044">
        <v>1.7625854545454547</v>
      </c>
      <c r="AH120" s="1044">
        <v>1.4327563636363636</v>
      </c>
      <c r="AI120" s="1044">
        <v>1.2999054545454547</v>
      </c>
      <c r="AJ120" s="1044">
        <v>1.252371818181818</v>
      </c>
      <c r="AK120" s="1044">
        <v>1.222620909090909</v>
      </c>
      <c r="AL120" s="1044">
        <v>1.2222954545454545</v>
      </c>
      <c r="AM120" s="1044">
        <v>1.2185818181818182</v>
      </c>
      <c r="AN120" s="1044">
        <v>1.1663727272727273</v>
      </c>
      <c r="AO120" s="1044">
        <v>1.1925827272727272</v>
      </c>
      <c r="AP120" s="1044">
        <v>1.1396299999999997</v>
      </c>
      <c r="AQ120" s="1262">
        <v>1.130522727272727</v>
      </c>
      <c r="AR120" s="398">
        <f>SUM(AS120:BD120)</f>
        <v>8.0901354545454538</v>
      </c>
      <c r="AS120" s="1126">
        <v>1.0719290909090908</v>
      </c>
      <c r="AT120" s="1126">
        <v>1.0662054545454547</v>
      </c>
      <c r="AU120" s="1126">
        <v>1.0372172727272726</v>
      </c>
      <c r="AV120" s="1126">
        <v>0.99459818181818194</v>
      </c>
      <c r="AW120" s="1126">
        <v>0.99899909090909078</v>
      </c>
      <c r="AX120" s="1126">
        <v>0.96723999999999988</v>
      </c>
      <c r="AY120" s="1126">
        <v>1.0079645454545454</v>
      </c>
      <c r="AZ120" s="1126">
        <v>0.94598181818181815</v>
      </c>
      <c r="BA120" s="1126"/>
      <c r="BB120" s="1126"/>
      <c r="BC120" s="1126"/>
      <c r="BD120" s="1127"/>
      <c r="BE120" s="937">
        <f>SUM(BF120:BQ120)</f>
        <v>0</v>
      </c>
      <c r="BF120" s="1802"/>
      <c r="BG120" s="1803"/>
      <c r="BH120" s="1803"/>
      <c r="BI120" s="1803"/>
      <c r="BJ120" s="1803"/>
      <c r="BK120" s="1803"/>
      <c r="BL120" s="1803"/>
      <c r="BM120" s="1803"/>
      <c r="BN120" s="1803"/>
      <c r="BO120" s="1803"/>
      <c r="BP120" s="1803"/>
      <c r="BQ120" s="1822"/>
      <c r="BR120" s="937">
        <f t="shared" si="362"/>
        <v>0</v>
      </c>
      <c r="BS120" s="1802"/>
      <c r="BT120" s="1803"/>
      <c r="BU120" s="1803"/>
      <c r="BV120" s="1803"/>
      <c r="BW120" s="1803"/>
      <c r="BX120" s="1803"/>
      <c r="BY120" s="1803"/>
      <c r="BZ120" s="1803"/>
      <c r="CA120" s="1803"/>
      <c r="CB120" s="1803"/>
      <c r="CC120" s="1803"/>
      <c r="CD120" s="1822"/>
      <c r="CE120" s="937">
        <f t="shared" si="363"/>
        <v>0</v>
      </c>
      <c r="CF120" s="957"/>
      <c r="CG120" s="879"/>
      <c r="CH120" s="879"/>
      <c r="CI120" s="879"/>
      <c r="CJ120" s="879"/>
      <c r="CK120" s="879"/>
      <c r="CL120" s="879"/>
      <c r="CM120" s="879"/>
      <c r="CN120" s="879"/>
      <c r="CO120" s="879"/>
      <c r="CP120" s="879"/>
      <c r="CQ120" s="1668"/>
    </row>
    <row r="121" spans="1:97">
      <c r="A121" s="3121"/>
      <c r="B121" s="3313"/>
      <c r="C121" s="3314"/>
      <c r="D121" s="1418" t="s">
        <v>681</v>
      </c>
      <c r="E121" s="398">
        <f>SUM(F121:Q121)</f>
        <v>3799.3394354545453</v>
      </c>
      <c r="F121" s="396">
        <v>304.39220272727266</v>
      </c>
      <c r="G121" s="600">
        <v>302.45812000000001</v>
      </c>
      <c r="H121" s="605">
        <v>313.7512227272727</v>
      </c>
      <c r="I121" s="314">
        <v>314.29830909090907</v>
      </c>
      <c r="J121" s="314">
        <v>310.0878909090909</v>
      </c>
      <c r="K121" s="314">
        <v>315.85366636363636</v>
      </c>
      <c r="L121" s="314">
        <v>313.60237636363632</v>
      </c>
      <c r="M121" s="314">
        <v>312.11716999999999</v>
      </c>
      <c r="N121" s="314">
        <v>320.33989818181811</v>
      </c>
      <c r="O121" s="314">
        <v>329.63102636363629</v>
      </c>
      <c r="P121" s="314">
        <v>323.14584363636362</v>
      </c>
      <c r="Q121" s="314">
        <v>339.66170909090908</v>
      </c>
      <c r="R121" s="398">
        <f>SUM(S121:AD121)</f>
        <v>4408.2905510909095</v>
      </c>
      <c r="S121" s="396">
        <v>345.01938727272727</v>
      </c>
      <c r="T121" s="600">
        <v>337.69855272727273</v>
      </c>
      <c r="U121" s="600">
        <v>365.78765363636359</v>
      </c>
      <c r="V121" s="600">
        <v>348.68249527272724</v>
      </c>
      <c r="W121" s="600">
        <v>363.78011545454535</v>
      </c>
      <c r="X121" s="600">
        <v>361.82263181818183</v>
      </c>
      <c r="Y121" s="600">
        <v>364.34723636363634</v>
      </c>
      <c r="Z121" s="600">
        <v>366.81763272727272</v>
      </c>
      <c r="AA121" s="600">
        <v>369.84899999999999</v>
      </c>
      <c r="AB121" s="600">
        <v>381.76098727272728</v>
      </c>
      <c r="AC121" s="600">
        <v>399.86242927272724</v>
      </c>
      <c r="AD121" s="600">
        <v>402.86242927272724</v>
      </c>
      <c r="AE121" s="398">
        <f>SUM(AF121:AQ121)</f>
        <v>5310.2800309090908</v>
      </c>
      <c r="AF121" s="1259">
        <v>413.58901181818175</v>
      </c>
      <c r="AG121" s="1044">
        <v>424.19025909090908</v>
      </c>
      <c r="AH121" s="1044">
        <v>427.30246818181814</v>
      </c>
      <c r="AI121" s="1044">
        <v>423.50822181818182</v>
      </c>
      <c r="AJ121" s="1044">
        <v>429.41335818181813</v>
      </c>
      <c r="AK121" s="1044">
        <v>435.46425909090908</v>
      </c>
      <c r="AL121" s="1044">
        <v>436.52461818181814</v>
      </c>
      <c r="AM121" s="1044">
        <v>443.20317636363637</v>
      </c>
      <c r="AN121" s="1044">
        <v>448.56038363636361</v>
      </c>
      <c r="AO121" s="1044">
        <v>458.54945727272724</v>
      </c>
      <c r="AP121" s="1044">
        <v>478.10605999999996</v>
      </c>
      <c r="AQ121" s="1262">
        <v>491.86875727272724</v>
      </c>
      <c r="AR121" s="398">
        <f>SUM(AS121:BD121)</f>
        <v>6023.5621554545451</v>
      </c>
      <c r="AS121" s="1126">
        <v>495.4347781818181</v>
      </c>
      <c r="AT121" s="1126">
        <v>496.8136290909091</v>
      </c>
      <c r="AU121" s="1126">
        <v>503.85345999999998</v>
      </c>
      <c r="AV121" s="1126">
        <v>496.04550181818178</v>
      </c>
      <c r="AW121" s="1126">
        <v>498.24888181818181</v>
      </c>
      <c r="AX121" s="1126">
        <v>501.26977909090903</v>
      </c>
      <c r="AY121" s="1126">
        <v>504.06547727272721</v>
      </c>
      <c r="AZ121" s="1126">
        <v>505.83064818181811</v>
      </c>
      <c r="BA121" s="1126">
        <v>503</v>
      </c>
      <c r="BB121" s="1126">
        <v>504</v>
      </c>
      <c r="BC121" s="1126">
        <v>505</v>
      </c>
      <c r="BD121" s="1127">
        <v>510</v>
      </c>
      <c r="BE121" s="937">
        <f>SUM(BF121:BQ121)</f>
        <v>6086.4519479534483</v>
      </c>
      <c r="BF121" s="1802">
        <v>510</v>
      </c>
      <c r="BG121" s="1803">
        <f t="shared" ref="BG121:BQ121" si="367">BF121-(BF121*0.1%)</f>
        <v>509.49</v>
      </c>
      <c r="BH121" s="1803">
        <f t="shared" si="367"/>
        <v>508.98050999999998</v>
      </c>
      <c r="BI121" s="1803">
        <f t="shared" si="367"/>
        <v>508.47152948999997</v>
      </c>
      <c r="BJ121" s="1803">
        <f t="shared" si="367"/>
        <v>507.96305796050996</v>
      </c>
      <c r="BK121" s="1803">
        <f t="shared" si="367"/>
        <v>507.45509490254943</v>
      </c>
      <c r="BL121" s="1803">
        <f t="shared" si="367"/>
        <v>506.94763980764691</v>
      </c>
      <c r="BM121" s="1803">
        <f t="shared" si="367"/>
        <v>506.44069216783925</v>
      </c>
      <c r="BN121" s="1803">
        <f t="shared" si="367"/>
        <v>505.93425147567143</v>
      </c>
      <c r="BO121" s="1803">
        <f t="shared" si="367"/>
        <v>505.42831722419578</v>
      </c>
      <c r="BP121" s="1803">
        <f t="shared" si="367"/>
        <v>504.92288890697159</v>
      </c>
      <c r="BQ121" s="1822">
        <f t="shared" si="367"/>
        <v>504.41796601806465</v>
      </c>
      <c r="BR121" s="937">
        <f t="shared" si="362"/>
        <v>4191.0614310284636</v>
      </c>
      <c r="BS121" s="1802">
        <v>382.50436363636368</v>
      </c>
      <c r="BT121" s="1803">
        <v>378.67932000000002</v>
      </c>
      <c r="BU121" s="1803">
        <v>376.7859234</v>
      </c>
      <c r="BV121" s="1803">
        <v>374.90199378300002</v>
      </c>
      <c r="BW121" s="1803">
        <v>373.02748381408503</v>
      </c>
      <c r="BX121" s="1803">
        <v>371.16234639501459</v>
      </c>
      <c r="BY121" s="1803">
        <v>340</v>
      </c>
      <c r="BZ121" s="1803">
        <v>340</v>
      </c>
      <c r="CA121" s="1803">
        <v>340</v>
      </c>
      <c r="CB121" s="1803">
        <v>338</v>
      </c>
      <c r="CC121" s="1803">
        <v>288</v>
      </c>
      <c r="CD121" s="1822">
        <v>288</v>
      </c>
      <c r="CE121" s="937">
        <f t="shared" si="363"/>
        <v>3476.5601495305318</v>
      </c>
      <c r="CF121" s="957">
        <f>CF111*CF45/1000000</f>
        <v>328.20733021266744</v>
      </c>
      <c r="CG121" s="879">
        <f t="shared" ref="CG121:CQ121" si="368">CG111*CG45/1000000</f>
        <v>320.65856161777612</v>
      </c>
      <c r="CH121" s="879">
        <f t="shared" si="368"/>
        <v>313.28341470056716</v>
      </c>
      <c r="CI121" s="879">
        <f t="shared" si="368"/>
        <v>306.07789616245412</v>
      </c>
      <c r="CJ121" s="879">
        <f t="shared" si="368"/>
        <v>299.03810455071772</v>
      </c>
      <c r="CK121" s="879">
        <f t="shared" si="368"/>
        <v>292.16022814605117</v>
      </c>
      <c r="CL121" s="879">
        <f t="shared" si="368"/>
        <v>285.440542898692</v>
      </c>
      <c r="CM121" s="879">
        <f t="shared" si="368"/>
        <v>278.87541041202212</v>
      </c>
      <c r="CN121" s="879">
        <f t="shared" si="368"/>
        <v>272.46127597254565</v>
      </c>
      <c r="CO121" s="879">
        <f t="shared" si="368"/>
        <v>266.19466662517704</v>
      </c>
      <c r="CP121" s="879">
        <f t="shared" si="368"/>
        <v>260.07218929279799</v>
      </c>
      <c r="CQ121" s="1668">
        <f t="shared" si="368"/>
        <v>254.09052893906366</v>
      </c>
    </row>
    <row r="122" spans="1:97">
      <c r="B122" s="3313"/>
      <c r="C122" s="3314"/>
      <c r="D122" s="201" t="s">
        <v>333</v>
      </c>
      <c r="E122" s="398">
        <f t="shared" ref="E122:E129" si="369">SUM(F122:Q122)</f>
        <v>403.40816181818172</v>
      </c>
      <c r="F122" s="396">
        <v>45.222988181818181</v>
      </c>
      <c r="G122" s="600">
        <v>41.795805454545452</v>
      </c>
      <c r="H122" s="605">
        <v>42.198569999999997</v>
      </c>
      <c r="I122" s="314">
        <v>39.557272727272725</v>
      </c>
      <c r="J122" s="314">
        <v>37.042708181818178</v>
      </c>
      <c r="K122" s="314">
        <v>34.679372727272721</v>
      </c>
      <c r="L122" s="314">
        <v>32.126953636363638</v>
      </c>
      <c r="M122" s="314">
        <v>29.596189090909089</v>
      </c>
      <c r="N122" s="314">
        <v>27.714117272727272</v>
      </c>
      <c r="O122" s="314">
        <v>26.330909090909085</v>
      </c>
      <c r="P122" s="314">
        <v>24.291270909090905</v>
      </c>
      <c r="Q122" s="314">
        <v>22.852004545454548</v>
      </c>
      <c r="R122" s="398">
        <f t="shared" ref="R122" si="370">SUM(S122:AD122)</f>
        <v>149.56781236363636</v>
      </c>
      <c r="S122" s="1956">
        <v>21.434251818181817</v>
      </c>
      <c r="T122" s="600">
        <v>19.007204545454542</v>
      </c>
      <c r="U122" s="600">
        <v>17.893034545454547</v>
      </c>
      <c r="V122" s="600">
        <v>15.577029363636363</v>
      </c>
      <c r="W122" s="600">
        <v>14.209236363636361</v>
      </c>
      <c r="X122" s="600">
        <v>12.753070909090907</v>
      </c>
      <c r="Y122" s="600">
        <v>11.307382727272726</v>
      </c>
      <c r="Z122" s="600">
        <v>10.434663636363636</v>
      </c>
      <c r="AA122" s="600">
        <v>9.8800000000000008</v>
      </c>
      <c r="AB122" s="600">
        <v>9.2825136363636354</v>
      </c>
      <c r="AC122" s="600">
        <v>7.7894248181818169</v>
      </c>
      <c r="AD122" s="600">
        <v>0</v>
      </c>
      <c r="AE122" s="398">
        <f t="shared" ref="AE122" si="371">SUM(AF122:AQ122)</f>
        <v>48.834590909090906</v>
      </c>
      <c r="AF122" s="2499">
        <v>6.6342809090909078</v>
      </c>
      <c r="AG122" s="1044">
        <v>5.7821490909090896</v>
      </c>
      <c r="AH122" s="1044">
        <v>5.2716445454545449</v>
      </c>
      <c r="AI122" s="1044">
        <v>4.8665454545454541</v>
      </c>
      <c r="AJ122" s="1044">
        <v>4.4736909090909096</v>
      </c>
      <c r="AK122" s="1044">
        <v>4.2919900000000002</v>
      </c>
      <c r="AL122" s="1044">
        <v>3.9261463636363634</v>
      </c>
      <c r="AM122" s="1044">
        <v>3.6427081818181817</v>
      </c>
      <c r="AN122" s="1044">
        <v>3.1360436363636364</v>
      </c>
      <c r="AO122" s="1044">
        <v>2.7253972727272724</v>
      </c>
      <c r="AP122" s="1044">
        <v>2.2375545454545454</v>
      </c>
      <c r="AQ122" s="1262">
        <v>1.8464400000000001</v>
      </c>
      <c r="AR122" s="398">
        <f t="shared" ref="AR122" si="372">SUM(AS122:BD122)</f>
        <v>14.452286363636363</v>
      </c>
      <c r="AS122" s="1126">
        <v>1.4949936363636362</v>
      </c>
      <c r="AT122" s="1126">
        <v>1.4022536363636362</v>
      </c>
      <c r="AU122" s="1126">
        <v>1.3283181818181817</v>
      </c>
      <c r="AV122" s="1126">
        <v>1.2867227272727271</v>
      </c>
      <c r="AW122" s="1126">
        <v>1.2774036363636363</v>
      </c>
      <c r="AX122" s="1126">
        <v>1.2486418181818182</v>
      </c>
      <c r="AY122" s="1126">
        <v>1.2215572727272725</v>
      </c>
      <c r="AZ122" s="1126">
        <v>1.1923954545454543</v>
      </c>
      <c r="BA122" s="1126">
        <v>1</v>
      </c>
      <c r="BB122" s="1126">
        <v>1</v>
      </c>
      <c r="BC122" s="1126">
        <v>1</v>
      </c>
      <c r="BD122" s="1127">
        <v>1</v>
      </c>
      <c r="BE122" s="937">
        <f t="shared" ref="BE122" si="373">SUM(BF122:BQ122)</f>
        <v>36</v>
      </c>
      <c r="BF122" s="1802">
        <v>1</v>
      </c>
      <c r="BG122" s="1803">
        <v>1</v>
      </c>
      <c r="BH122" s="1803">
        <v>1</v>
      </c>
      <c r="BI122" s="1803">
        <v>2</v>
      </c>
      <c r="BJ122" s="1803">
        <v>1</v>
      </c>
      <c r="BK122" s="1803">
        <v>2</v>
      </c>
      <c r="BL122" s="1803">
        <v>3</v>
      </c>
      <c r="BM122" s="1803">
        <v>3</v>
      </c>
      <c r="BN122" s="1803">
        <v>4</v>
      </c>
      <c r="BO122" s="1803">
        <v>5</v>
      </c>
      <c r="BP122" s="1803">
        <v>6</v>
      </c>
      <c r="BQ122" s="1822">
        <v>7</v>
      </c>
      <c r="BR122" s="937">
        <f t="shared" ref="BR122" si="374">SUM(BS122:CD122)</f>
        <v>0</v>
      </c>
      <c r="BS122" s="1802"/>
      <c r="BT122" s="1803"/>
      <c r="BU122" s="1803"/>
      <c r="BV122" s="1803"/>
      <c r="BW122" s="1803"/>
      <c r="BX122" s="1803"/>
      <c r="BY122" s="1803"/>
      <c r="BZ122" s="1803"/>
      <c r="CA122" s="1803"/>
      <c r="CB122" s="1803"/>
      <c r="CC122" s="1803"/>
      <c r="CD122" s="1822"/>
      <c r="CE122" s="937">
        <f t="shared" ref="CE122" si="375">SUM(CF122:CQ122)</f>
        <v>0</v>
      </c>
      <c r="CF122" s="957"/>
      <c r="CG122" s="879"/>
      <c r="CH122" s="879"/>
      <c r="CI122" s="879"/>
      <c r="CJ122" s="879"/>
      <c r="CK122" s="879"/>
      <c r="CL122" s="879"/>
      <c r="CM122" s="879"/>
      <c r="CN122" s="879"/>
      <c r="CO122" s="879"/>
      <c r="CP122" s="879"/>
      <c r="CQ122" s="1668"/>
    </row>
    <row r="123" spans="1:97">
      <c r="A123" s="3121"/>
      <c r="B123" s="3313"/>
      <c r="C123" s="3314"/>
      <c r="D123" s="201" t="s">
        <v>248</v>
      </c>
      <c r="E123" s="398">
        <f>SUM(F123:Q123)</f>
        <v>1950.5341463636364</v>
      </c>
      <c r="F123" s="455">
        <v>162.01218727272726</v>
      </c>
      <c r="G123" s="600">
        <v>158.66496545454544</v>
      </c>
      <c r="H123" s="605">
        <v>171.89274</v>
      </c>
      <c r="I123" s="314">
        <v>161.98461636363635</v>
      </c>
      <c r="J123" s="314">
        <v>160.5166190909091</v>
      </c>
      <c r="K123" s="314">
        <v>167.28103909090908</v>
      </c>
      <c r="L123" s="314">
        <v>156.34355909090908</v>
      </c>
      <c r="M123" s="314">
        <v>149.74416636363634</v>
      </c>
      <c r="N123" s="314">
        <v>168.54247727272724</v>
      </c>
      <c r="O123" s="314">
        <v>159.24608727272724</v>
      </c>
      <c r="P123" s="314">
        <v>164.3698218181818</v>
      </c>
      <c r="Q123" s="314">
        <v>169.93586727272725</v>
      </c>
      <c r="R123" s="398">
        <f>SUM(S123:AD123)</f>
        <v>2021.3953038181817</v>
      </c>
      <c r="S123" s="396">
        <v>151.25138545454544</v>
      </c>
      <c r="T123" s="600">
        <v>145.76528636363633</v>
      </c>
      <c r="U123" s="600">
        <v>194.85923454545451</v>
      </c>
      <c r="V123" s="600">
        <v>154.46164554545453</v>
      </c>
      <c r="W123" s="600">
        <v>172.85706999999996</v>
      </c>
      <c r="X123" s="600">
        <v>168.44096545454545</v>
      </c>
      <c r="Y123" s="600">
        <v>160.56527636363634</v>
      </c>
      <c r="Z123" s="600">
        <v>175.65511545454544</v>
      </c>
      <c r="AA123" s="600">
        <v>181.24600000000001</v>
      </c>
      <c r="AB123" s="600">
        <v>161.42127090909088</v>
      </c>
      <c r="AC123" s="600">
        <v>184.93618645454544</v>
      </c>
      <c r="AD123" s="600">
        <v>169.93586727272725</v>
      </c>
      <c r="AE123" s="398">
        <f>SUM(AF123:AQ123)</f>
        <v>2098.6280054545446</v>
      </c>
      <c r="AF123" s="1259">
        <v>149.13021545454544</v>
      </c>
      <c r="AG123" s="1044">
        <v>171.98241999999996</v>
      </c>
      <c r="AH123" s="1044">
        <v>176.39062909090907</v>
      </c>
      <c r="AI123" s="1044">
        <v>157.04323909090908</v>
      </c>
      <c r="AJ123" s="1044">
        <v>183.24531727272725</v>
      </c>
      <c r="AK123" s="1044">
        <v>178.68952999999996</v>
      </c>
      <c r="AL123" s="1044">
        <v>165.1919018181818</v>
      </c>
      <c r="AM123" s="1044">
        <v>181.75540181818181</v>
      </c>
      <c r="AN123" s="1044">
        <v>178.96266545454543</v>
      </c>
      <c r="AO123" s="1044">
        <v>172.28768090909088</v>
      </c>
      <c r="AP123" s="1044">
        <v>201.39031818181815</v>
      </c>
      <c r="AQ123" s="1107">
        <v>182.55868636363601</v>
      </c>
      <c r="AR123" s="398">
        <f>SUM(AS123:BD123)</f>
        <v>2457.5133627272726</v>
      </c>
      <c r="AS123" s="1126">
        <v>204.34778363636363</v>
      </c>
      <c r="AT123" s="1126">
        <v>190.63928727272724</v>
      </c>
      <c r="AU123" s="1126">
        <v>203.37758272727268</v>
      </c>
      <c r="AV123" s="1126">
        <v>197.65989909090911</v>
      </c>
      <c r="AW123" s="1126">
        <v>217.52087272727272</v>
      </c>
      <c r="AX123" s="1126">
        <v>210.47236000000001</v>
      </c>
      <c r="AY123" s="1126">
        <v>212.73361454545454</v>
      </c>
      <c r="AZ123" s="1126">
        <v>204.76196272727273</v>
      </c>
      <c r="BA123" s="1126">
        <v>203</v>
      </c>
      <c r="BB123" s="1126">
        <v>203</v>
      </c>
      <c r="BC123" s="1126">
        <v>205</v>
      </c>
      <c r="BD123" s="1127">
        <v>205</v>
      </c>
      <c r="BE123" s="937">
        <f>SUM(BF123:BQ123)</f>
        <v>2446.5149986871711</v>
      </c>
      <c r="BF123" s="1802">
        <v>205</v>
      </c>
      <c r="BG123" s="1803">
        <f t="shared" ref="BG123:BQ124" si="376">BF123-(BF123*0.1%)</f>
        <v>204.79499999999999</v>
      </c>
      <c r="BH123" s="1803">
        <f t="shared" si="376"/>
        <v>204.590205</v>
      </c>
      <c r="BI123" s="1803">
        <f t="shared" si="376"/>
        <v>204.38561479500001</v>
      </c>
      <c r="BJ123" s="1803">
        <f t="shared" si="376"/>
        <v>204.18122918020501</v>
      </c>
      <c r="BK123" s="1803">
        <f t="shared" si="376"/>
        <v>203.97704795102482</v>
      </c>
      <c r="BL123" s="1803">
        <f t="shared" si="376"/>
        <v>203.7730709030738</v>
      </c>
      <c r="BM123" s="1803">
        <f t="shared" si="376"/>
        <v>203.56929783217072</v>
      </c>
      <c r="BN123" s="1803">
        <f t="shared" si="376"/>
        <v>203.36572853433856</v>
      </c>
      <c r="BO123" s="1803">
        <f t="shared" si="376"/>
        <v>203.16236280580421</v>
      </c>
      <c r="BP123" s="1803">
        <f t="shared" si="376"/>
        <v>202.95920044299839</v>
      </c>
      <c r="BQ123" s="1822">
        <f t="shared" si="376"/>
        <v>202.7562412425554</v>
      </c>
      <c r="BR123" s="937">
        <f>SUM(BS123:CD123)</f>
        <v>2364</v>
      </c>
      <c r="BS123" s="1802">
        <v>197</v>
      </c>
      <c r="BT123" s="1803">
        <v>197</v>
      </c>
      <c r="BU123" s="1803">
        <v>197</v>
      </c>
      <c r="BV123" s="1803">
        <v>197</v>
      </c>
      <c r="BW123" s="1803">
        <v>197</v>
      </c>
      <c r="BX123" s="1803">
        <v>197</v>
      </c>
      <c r="BY123" s="1803">
        <v>197</v>
      </c>
      <c r="BZ123" s="1803">
        <v>197</v>
      </c>
      <c r="CA123" s="1803">
        <v>197</v>
      </c>
      <c r="CB123" s="1803">
        <v>197</v>
      </c>
      <c r="CC123" s="1803">
        <v>197</v>
      </c>
      <c r="CD123" s="1822">
        <v>197</v>
      </c>
      <c r="CE123" s="937">
        <f>SUM(CF123:CQ123)</f>
        <v>2011.0863471691393</v>
      </c>
      <c r="CF123" s="957">
        <f t="shared" ref="CF123:CQ123" si="377">CF113*CF47/1000000</f>
        <v>162.08130491846464</v>
      </c>
      <c r="CG123" s="879">
        <f t="shared" si="377"/>
        <v>163.30597806305161</v>
      </c>
      <c r="CH123" s="879">
        <f t="shared" si="377"/>
        <v>163.58964147122461</v>
      </c>
      <c r="CI123" s="879">
        <f t="shared" si="377"/>
        <v>163.88001337194785</v>
      </c>
      <c r="CJ123" s="879">
        <f t="shared" si="377"/>
        <v>164.16609773244627</v>
      </c>
      <c r="CK123" s="879">
        <f t="shared" si="377"/>
        <v>164.44808317643009</v>
      </c>
      <c r="CL123" s="879">
        <f t="shared" si="377"/>
        <v>165.65027446901601</v>
      </c>
      <c r="CM123" s="879">
        <f t="shared" si="377"/>
        <v>165.90020412060056</v>
      </c>
      <c r="CN123" s="879">
        <f t="shared" si="377"/>
        <v>169.96720899610861</v>
      </c>
      <c r="CO123" s="879">
        <f t="shared" si="377"/>
        <v>175.96469043584671</v>
      </c>
      <c r="CP123" s="879">
        <f t="shared" si="377"/>
        <v>176.00991521921998</v>
      </c>
      <c r="CQ123" s="1668">
        <f t="shared" si="377"/>
        <v>176.12293519478249</v>
      </c>
    </row>
    <row r="124" spans="1:97">
      <c r="A124" s="3121"/>
      <c r="B124" s="3313"/>
      <c r="C124" s="3314"/>
      <c r="D124" s="201" t="s">
        <v>678</v>
      </c>
      <c r="E124" s="398">
        <f>SUM(F124:Q124)</f>
        <v>3555.8195563636355</v>
      </c>
      <c r="F124" s="455">
        <v>322.68211727272723</v>
      </c>
      <c r="G124" s="600">
        <v>310.57906363636357</v>
      </c>
      <c r="H124" s="605">
        <v>325.79385818181811</v>
      </c>
      <c r="I124" s="314">
        <v>308.01097454545459</v>
      </c>
      <c r="J124" s="314">
        <v>306.29311636363633</v>
      </c>
      <c r="K124" s="314">
        <v>304.62472999999994</v>
      </c>
      <c r="L124" s="314">
        <v>296.56513636363633</v>
      </c>
      <c r="M124" s="314">
        <v>289.45403090909093</v>
      </c>
      <c r="N124" s="314">
        <v>275.39266818181818</v>
      </c>
      <c r="O124" s="314">
        <v>282.58062272727273</v>
      </c>
      <c r="P124" s="314">
        <v>274.37254181818179</v>
      </c>
      <c r="Q124" s="314">
        <v>259.47069636363636</v>
      </c>
      <c r="R124" s="398">
        <f>SUM(S124:AD124)</f>
        <v>2934.5210501818183</v>
      </c>
      <c r="S124" s="396">
        <v>253.41625909090905</v>
      </c>
      <c r="T124" s="600">
        <v>242.60519454545457</v>
      </c>
      <c r="U124" s="600">
        <v>270.70490363636361</v>
      </c>
      <c r="V124" s="600">
        <v>245.86209345454543</v>
      </c>
      <c r="W124" s="600">
        <v>248.70684545454543</v>
      </c>
      <c r="X124" s="600">
        <v>250.71956999999998</v>
      </c>
      <c r="Y124" s="600">
        <v>240.67500272727273</v>
      </c>
      <c r="Z124" s="600">
        <v>247.84466636363635</v>
      </c>
      <c r="AA124" s="600">
        <v>237.88399999999999</v>
      </c>
      <c r="AB124" s="600">
        <v>235.25915363636364</v>
      </c>
      <c r="AC124" s="600">
        <v>233.97723336363632</v>
      </c>
      <c r="AD124" s="600">
        <v>226.86612790909095</v>
      </c>
      <c r="AE124" s="398">
        <f>SUM(AF124:AQ124)</f>
        <v>3175.3412472727268</v>
      </c>
      <c r="AF124" s="1259">
        <v>238.10456272727271</v>
      </c>
      <c r="AG124" s="1044">
        <v>254.02738636363631</v>
      </c>
      <c r="AH124" s="1044">
        <v>255.6503890909091</v>
      </c>
      <c r="AI124" s="1044">
        <v>252.62729999999999</v>
      </c>
      <c r="AJ124" s="1044">
        <v>264.80642</v>
      </c>
      <c r="AK124" s="1044">
        <v>264.63168818181816</v>
      </c>
      <c r="AL124" s="1044">
        <v>262.50359999999995</v>
      </c>
      <c r="AM124" s="1044">
        <v>274.63599272727271</v>
      </c>
      <c r="AN124" s="1044">
        <v>272.40935181818179</v>
      </c>
      <c r="AO124" s="1044">
        <v>276.58448545454536</v>
      </c>
      <c r="AP124" s="1044">
        <v>278.38372181818181</v>
      </c>
      <c r="AQ124" s="1262">
        <v>280.97634909090908</v>
      </c>
      <c r="AR124" s="398">
        <f>SUM(AS124:BD124)</f>
        <v>3527.5867745454543</v>
      </c>
      <c r="AS124" s="1126">
        <v>283.66104636363633</v>
      </c>
      <c r="AT124" s="1126">
        <v>283.32522545454538</v>
      </c>
      <c r="AU124" s="1126">
        <v>288.82822454545447</v>
      </c>
      <c r="AV124" s="1126">
        <v>280.31473727272726</v>
      </c>
      <c r="AW124" s="1126">
        <v>301.58733545454544</v>
      </c>
      <c r="AX124" s="1126">
        <v>290.56662909090915</v>
      </c>
      <c r="AY124" s="1126">
        <v>292.39051181818184</v>
      </c>
      <c r="AZ124" s="1126">
        <v>296.91306454545452</v>
      </c>
      <c r="BA124" s="1126">
        <v>300</v>
      </c>
      <c r="BB124" s="1126">
        <v>302</v>
      </c>
      <c r="BC124" s="1126">
        <v>303</v>
      </c>
      <c r="BD124" s="1127">
        <v>305</v>
      </c>
      <c r="BE124" s="937">
        <f>SUM(BF124:BQ124)</f>
        <v>3639.9369492662781</v>
      </c>
      <c r="BF124" s="1802">
        <v>305</v>
      </c>
      <c r="BG124" s="1803">
        <f t="shared" si="376"/>
        <v>304.69499999999999</v>
      </c>
      <c r="BH124" s="1803">
        <f t="shared" si="376"/>
        <v>304.39030500000001</v>
      </c>
      <c r="BI124" s="1803">
        <f t="shared" si="376"/>
        <v>304.08591469499999</v>
      </c>
      <c r="BJ124" s="1803">
        <f t="shared" si="376"/>
        <v>303.78182878030498</v>
      </c>
      <c r="BK124" s="1803">
        <f t="shared" si="376"/>
        <v>303.47804695152468</v>
      </c>
      <c r="BL124" s="1803">
        <f t="shared" si="376"/>
        <v>303.17456890457316</v>
      </c>
      <c r="BM124" s="1803">
        <f t="shared" si="376"/>
        <v>302.87139433566858</v>
      </c>
      <c r="BN124" s="1803">
        <f t="shared" si="376"/>
        <v>302.5685229413329</v>
      </c>
      <c r="BO124" s="1803">
        <f t="shared" si="376"/>
        <v>302.26595441839157</v>
      </c>
      <c r="BP124" s="1803">
        <f t="shared" si="376"/>
        <v>301.9636884639732</v>
      </c>
      <c r="BQ124" s="1822">
        <f t="shared" si="376"/>
        <v>301.66172477550924</v>
      </c>
      <c r="BR124" s="937">
        <f>SUM(BS124:CD124)</f>
        <v>2876</v>
      </c>
      <c r="BS124" s="1802">
        <v>248</v>
      </c>
      <c r="BT124" s="1803">
        <v>248</v>
      </c>
      <c r="BU124" s="1803">
        <v>248</v>
      </c>
      <c r="BV124" s="1803">
        <v>248</v>
      </c>
      <c r="BW124" s="1803">
        <v>248</v>
      </c>
      <c r="BX124" s="1803">
        <v>248</v>
      </c>
      <c r="BY124" s="1803">
        <v>248</v>
      </c>
      <c r="BZ124" s="1803">
        <v>228</v>
      </c>
      <c r="CA124" s="1803">
        <v>228</v>
      </c>
      <c r="CB124" s="1803">
        <v>228</v>
      </c>
      <c r="CC124" s="1803">
        <v>228</v>
      </c>
      <c r="CD124" s="1822">
        <v>228</v>
      </c>
      <c r="CE124" s="937">
        <f>SUM(CF124:CQ124)</f>
        <v>2091.8363479205409</v>
      </c>
      <c r="CF124" s="957">
        <f t="shared" ref="CF124:CQ124" si="378">CF114*CF48/1000000</f>
        <v>167.92084182628531</v>
      </c>
      <c r="CG124" s="879">
        <f t="shared" si="378"/>
        <v>169.13641610995444</v>
      </c>
      <c r="CH124" s="879">
        <f t="shared" si="378"/>
        <v>170.33623919999155</v>
      </c>
      <c r="CI124" s="879">
        <f t="shared" si="378"/>
        <v>171.52003006584627</v>
      </c>
      <c r="CJ124" s="879">
        <f t="shared" si="378"/>
        <v>172.68800809336588</v>
      </c>
      <c r="CK124" s="879">
        <f t="shared" si="378"/>
        <v>173.8403844523165</v>
      </c>
      <c r="CL124" s="879">
        <f t="shared" si="378"/>
        <v>174.97736754794124</v>
      </c>
      <c r="CM124" s="879">
        <f t="shared" si="378"/>
        <v>176.09916300103995</v>
      </c>
      <c r="CN124" s="879">
        <f t="shared" si="378"/>
        <v>177.20597368576836</v>
      </c>
      <c r="CO124" s="879">
        <f t="shared" si="378"/>
        <v>178.29799976632083</v>
      </c>
      <c r="CP124" s="879">
        <f t="shared" si="378"/>
        <v>179.37543873312967</v>
      </c>
      <c r="CQ124" s="1668">
        <f t="shared" si="378"/>
        <v>180.43848543858093</v>
      </c>
    </row>
    <row r="125" spans="1:97">
      <c r="B125" s="3313"/>
      <c r="C125" s="3314"/>
      <c r="D125" s="201" t="s">
        <v>835</v>
      </c>
      <c r="E125" s="398">
        <f t="shared" si="369"/>
        <v>-237.45925859999488</v>
      </c>
      <c r="F125" s="2762">
        <v>-243.00206754545388</v>
      </c>
      <c r="G125" s="2762">
        <v>-49.038630727271993</v>
      </c>
      <c r="H125" s="2762">
        <v>73.778492000000369</v>
      </c>
      <c r="I125" s="2762">
        <v>-105.52923036363609</v>
      </c>
      <c r="J125" s="2762">
        <v>154.63068636363641</v>
      </c>
      <c r="K125" s="2762">
        <v>-58.667926454545068</v>
      </c>
      <c r="L125" s="2762">
        <v>16.078831818182607</v>
      </c>
      <c r="M125" s="2762">
        <v>182.27636590909151</v>
      </c>
      <c r="N125" s="2762">
        <v>-27.361557636363614</v>
      </c>
      <c r="O125" s="2762">
        <v>-60.521474418181697</v>
      </c>
      <c r="P125" s="2762">
        <v>-130.04462363636276</v>
      </c>
      <c r="Q125" s="2762">
        <v>9.941876090909318</v>
      </c>
      <c r="R125" s="398">
        <f t="shared" ref="R125:R129" si="379">SUM(S125:AD125)</f>
        <v>914.2596556643125</v>
      </c>
      <c r="S125" s="2762">
        <f t="shared" ref="S125:AK125" si="380">S116-SUM(S117:S124)</f>
        <v>-44.246535181818217</v>
      </c>
      <c r="T125" s="2762">
        <f t="shared" si="380"/>
        <v>247.41419272726898</v>
      </c>
      <c r="U125" s="2762">
        <f t="shared" si="380"/>
        <v>-16.996209727272799</v>
      </c>
      <c r="V125" s="2762">
        <f t="shared" si="380"/>
        <v>296.08930181818459</v>
      </c>
      <c r="W125" s="2762">
        <f t="shared" si="380"/>
        <v>-2.0622860919684172</v>
      </c>
      <c r="X125" s="2762">
        <f t="shared" si="380"/>
        <v>60.398438820114279</v>
      </c>
      <c r="Y125" s="2762">
        <f t="shared" si="380"/>
        <v>-7.0822218104472086</v>
      </c>
      <c r="Z125" s="2762">
        <f t="shared" si="380"/>
        <v>133.3217157195345</v>
      </c>
      <c r="AA125" s="2762">
        <f t="shared" si="380"/>
        <v>-62.460482375242009</v>
      </c>
      <c r="AB125" s="2762">
        <f t="shared" si="380"/>
        <v>112.80980451450705</v>
      </c>
      <c r="AC125" s="2762">
        <f t="shared" si="380"/>
        <v>160.08774679690578</v>
      </c>
      <c r="AD125" s="2762">
        <f t="shared" si="380"/>
        <v>36.986190454545977</v>
      </c>
      <c r="AE125" s="398">
        <f t="shared" ref="AE125:AE129" si="381">SUM(AF125:AQ125)</f>
        <v>-1387.9367312495128</v>
      </c>
      <c r="AF125" s="2763">
        <f t="shared" si="380"/>
        <v>62.655297205028546</v>
      </c>
      <c r="AG125" s="1044">
        <f t="shared" si="380"/>
        <v>126.59815790909124</v>
      </c>
      <c r="AH125" s="1044">
        <f t="shared" si="380"/>
        <v>62.24632554545542</v>
      </c>
      <c r="AI125" s="1044">
        <f t="shared" si="380"/>
        <v>-105.71037609090899</v>
      </c>
      <c r="AJ125" s="1044">
        <f t="shared" si="380"/>
        <v>85.651372909092061</v>
      </c>
      <c r="AK125" s="1044">
        <f t="shared" si="380"/>
        <v>47.453471272727256</v>
      </c>
      <c r="AL125" s="1044">
        <f t="shared" ref="AL125:AQ125" si="382">AL116-SUM(AL117:AL124)</f>
        <v>138.37460572727286</v>
      </c>
      <c r="AM125" s="1044">
        <f t="shared" si="382"/>
        <v>101.60156263636327</v>
      </c>
      <c r="AN125" s="1044">
        <f t="shared" si="382"/>
        <v>-23.503473181817299</v>
      </c>
      <c r="AO125" s="1044">
        <f>AO116-SUM(AO117:AO124)</f>
        <v>-1135.5244562727266</v>
      </c>
      <c r="AP125" s="1044">
        <f t="shared" si="382"/>
        <v>130.82803427272665</v>
      </c>
      <c r="AQ125" s="2764">
        <f t="shared" si="382"/>
        <v>-878.60725318181721</v>
      </c>
      <c r="AR125" s="398">
        <f t="shared" ref="AR125:AR129" si="383">SUM(AS125:BD125)</f>
        <v>1362.4722898820114</v>
      </c>
      <c r="AS125" s="1126">
        <f t="shared" ref="AS125:BD125" si="384">AS116-SUM(AS117:AS124)</f>
        <v>1024.304505363637</v>
      </c>
      <c r="AT125" s="1126">
        <f t="shared" si="384"/>
        <v>-526.81960874661581</v>
      </c>
      <c r="AU125" s="1126">
        <f t="shared" si="384"/>
        <v>175.15038272727315</v>
      </c>
      <c r="AV125" s="1126">
        <f t="shared" si="384"/>
        <v>-103.89653763636488</v>
      </c>
      <c r="AW125" s="1126">
        <f t="shared" si="384"/>
        <v>79.82145629980414</v>
      </c>
      <c r="AX125" s="1126">
        <f t="shared" si="384"/>
        <v>-4.8832552166309142</v>
      </c>
      <c r="AY125" s="1126">
        <f t="shared" si="384"/>
        <v>313.36333909090899</v>
      </c>
      <c r="AZ125" s="1126">
        <f t="shared" si="384"/>
        <v>113.0868100000007</v>
      </c>
      <c r="BA125" s="1126">
        <f t="shared" si="384"/>
        <v>-313.55791399999998</v>
      </c>
      <c r="BB125" s="1126">
        <f t="shared" si="384"/>
        <v>290.00696900000457</v>
      </c>
      <c r="BC125" s="1126">
        <f t="shared" si="384"/>
        <v>-92.824486999999863</v>
      </c>
      <c r="BD125" s="1127">
        <f t="shared" si="384"/>
        <v>408.72062999999434</v>
      </c>
      <c r="BE125" s="937">
        <f t="shared" ref="BE125:BE129" si="385">SUM(BF125:BQ125)</f>
        <v>-677.24182214325856</v>
      </c>
      <c r="BF125" s="2765">
        <f t="shared" ref="BF125:BQ125" si="386">BF116-SUM(BF117:BF124)</f>
        <v>234.47530587403844</v>
      </c>
      <c r="BG125" s="1803">
        <f t="shared" si="386"/>
        <v>7.4420256041380526</v>
      </c>
      <c r="BH125" s="1803">
        <f t="shared" si="386"/>
        <v>-4.9178718087246125</v>
      </c>
      <c r="BI125" s="1803">
        <f t="shared" si="386"/>
        <v>-261.70075332466968</v>
      </c>
      <c r="BJ125" s="1803">
        <f t="shared" si="386"/>
        <v>-235.47684441530464</v>
      </c>
      <c r="BK125" s="1803">
        <f t="shared" si="386"/>
        <v>-263.21068808269001</v>
      </c>
      <c r="BL125" s="1803">
        <f t="shared" si="386"/>
        <v>-100.09457610290292</v>
      </c>
      <c r="BM125" s="1803">
        <f t="shared" si="386"/>
        <v>-236.51902882258128</v>
      </c>
      <c r="BN125" s="1803">
        <f t="shared" si="386"/>
        <v>-403.8086877251435</v>
      </c>
      <c r="BO125" s="1803">
        <f t="shared" si="386"/>
        <v>203.53106968770044</v>
      </c>
      <c r="BP125" s="1803">
        <f t="shared" si="386"/>
        <v>-632.68438625123827</v>
      </c>
      <c r="BQ125" s="1822">
        <f t="shared" si="386"/>
        <v>1015.7226132241194</v>
      </c>
      <c r="BR125" s="937">
        <f t="shared" ref="BR125:BR129" si="387">SUM(BS125:CD125)</f>
        <v>-788.67813826862221</v>
      </c>
      <c r="BS125" s="2765">
        <f t="shared" ref="BS125:CD125" si="388">BS116-SUM(BS117:BS124)</f>
        <v>-335.73529463636669</v>
      </c>
      <c r="BT125" s="1803">
        <f t="shared" si="388"/>
        <v>-78.680222100048013</v>
      </c>
      <c r="BU125" s="1803">
        <f t="shared" si="388"/>
        <v>-218.93333141182165</v>
      </c>
      <c r="BV125" s="1803">
        <f t="shared" si="388"/>
        <v>284.80960208841952</v>
      </c>
      <c r="BW125" s="1803">
        <f t="shared" si="388"/>
        <v>-401.84285600656904</v>
      </c>
      <c r="BX125" s="1803">
        <f t="shared" si="388"/>
        <v>349.48672778572745</v>
      </c>
      <c r="BY125" s="1803">
        <f t="shared" si="388"/>
        <v>-122.99514909198706</v>
      </c>
      <c r="BZ125" s="1803">
        <f t="shared" si="388"/>
        <v>-159.0529318192639</v>
      </c>
      <c r="CA125" s="1803">
        <f t="shared" si="388"/>
        <v>63.15943336255441</v>
      </c>
      <c r="CB125" s="1803">
        <f t="shared" si="388"/>
        <v>-54.919866116120829</v>
      </c>
      <c r="CC125" s="1803">
        <f t="shared" si="388"/>
        <v>-107.71501611611666</v>
      </c>
      <c r="CD125" s="1822">
        <f t="shared" si="388"/>
        <v>-6.2592342070297491</v>
      </c>
      <c r="CE125" s="937">
        <f t="shared" ref="CE125:CE129" si="389">SUM(CF125:CQ125)</f>
        <v>764.81056108554355</v>
      </c>
      <c r="CF125" s="958">
        <v>63.471407804237501</v>
      </c>
      <c r="CG125" s="879">
        <v>63.471407804237501</v>
      </c>
      <c r="CH125" s="879">
        <v>63.471407804237501</v>
      </c>
      <c r="CI125" s="879">
        <v>63.471407804237501</v>
      </c>
      <c r="CJ125" s="879">
        <v>63.471407804237501</v>
      </c>
      <c r="CK125" s="879">
        <v>63.471407804237501</v>
      </c>
      <c r="CL125" s="879">
        <v>63.471407804237501</v>
      </c>
      <c r="CM125" s="879">
        <v>63.471407804237501</v>
      </c>
      <c r="CN125" s="879">
        <v>63.471407804237501</v>
      </c>
      <c r="CO125" s="879">
        <v>63.471407804237501</v>
      </c>
      <c r="CP125" s="879">
        <v>63.471407804237501</v>
      </c>
      <c r="CQ125" s="1668">
        <f>63.4714078042375-1.48426021052728+4.91564885016123-0.277721204940462</f>
        <v>66.625075238930989</v>
      </c>
    </row>
    <row r="126" spans="1:97">
      <c r="B126" s="3308" t="s">
        <v>522</v>
      </c>
      <c r="C126" s="3308"/>
      <c r="D126" s="3309"/>
      <c r="E126" s="401">
        <f t="shared" si="369"/>
        <v>0</v>
      </c>
      <c r="F126" s="1901"/>
      <c r="G126" s="1902"/>
      <c r="H126" s="1902"/>
      <c r="I126" s="1903"/>
      <c r="J126" s="1903"/>
      <c r="K126" s="1903"/>
      <c r="L126" s="1903"/>
      <c r="M126" s="1903"/>
      <c r="N126" s="1903"/>
      <c r="O126" s="1903"/>
      <c r="P126" s="1903"/>
      <c r="Q126" s="1904"/>
      <c r="R126" s="413">
        <f t="shared" si="379"/>
        <v>4877.388191682785</v>
      </c>
      <c r="S126" s="1901"/>
      <c r="T126" s="1902">
        <v>377.43031363636362</v>
      </c>
      <c r="U126" s="1902"/>
      <c r="V126" s="1902">
        <v>827.87790181818173</v>
      </c>
      <c r="W126" s="1902">
        <v>425.31083762088974</v>
      </c>
      <c r="X126" s="1902">
        <v>438.30917299806572</v>
      </c>
      <c r="Y126" s="1902">
        <v>439.55250381044482</v>
      </c>
      <c r="Z126" s="1902">
        <v>456.57913164410053</v>
      </c>
      <c r="AA126" s="1902">
        <v>459.22958837524169</v>
      </c>
      <c r="AB126" s="1902">
        <v>474.59260475822043</v>
      </c>
      <c r="AC126" s="1902">
        <v>488.50613702127657</v>
      </c>
      <c r="AD126" s="1902">
        <v>490</v>
      </c>
      <c r="AE126" s="413">
        <f t="shared" si="381"/>
        <v>6413.3182110000007</v>
      </c>
      <c r="AF126" s="1905">
        <v>495.6</v>
      </c>
      <c r="AG126" s="1906">
        <v>500.45811300000003</v>
      </c>
      <c r="AH126" s="1906">
        <v>513.87980000000005</v>
      </c>
      <c r="AI126" s="1906">
        <v>511.459</v>
      </c>
      <c r="AJ126" s="1906">
        <v>522</v>
      </c>
      <c r="AK126" s="1906">
        <v>548</v>
      </c>
      <c r="AL126" s="1906">
        <v>539.02332899999999</v>
      </c>
      <c r="AM126" s="1906">
        <v>549.04499999999996</v>
      </c>
      <c r="AN126" s="1906">
        <v>552.03996900000004</v>
      </c>
      <c r="AO126" s="1906">
        <v>550</v>
      </c>
      <c r="AP126" s="1906">
        <v>563.61300000000006</v>
      </c>
      <c r="AQ126" s="1907">
        <v>568.20000000000005</v>
      </c>
      <c r="AR126" s="413">
        <f t="shared" si="383"/>
        <v>6609.2749339651846</v>
      </c>
      <c r="AS126" s="1908">
        <v>565.4047864216634</v>
      </c>
      <c r="AT126" s="1908">
        <v>570.27800000000002</v>
      </c>
      <c r="AU126" s="1908">
        <v>573.83666137330806</v>
      </c>
      <c r="AV126" s="1908">
        <v>552.75548617021298</v>
      </c>
      <c r="AW126" s="1908">
        <v>560</v>
      </c>
      <c r="AX126" s="1908">
        <v>550</v>
      </c>
      <c r="AY126" s="1908">
        <v>545</v>
      </c>
      <c r="AZ126" s="1908">
        <v>540</v>
      </c>
      <c r="BA126" s="1908">
        <v>538</v>
      </c>
      <c r="BB126" s="1908">
        <v>538</v>
      </c>
      <c r="BC126" s="1908">
        <v>538</v>
      </c>
      <c r="BD126" s="1909">
        <v>538</v>
      </c>
      <c r="BE126" s="951">
        <f t="shared" si="385"/>
        <v>6103.9487890909086</v>
      </c>
      <c r="BF126" s="1826">
        <v>556.75731545454539</v>
      </c>
      <c r="BG126" s="1827">
        <v>550.85873545454535</v>
      </c>
      <c r="BH126" s="1827">
        <v>545.30991727272726</v>
      </c>
      <c r="BI126" s="1827">
        <v>536.78740181818171</v>
      </c>
      <c r="BJ126" s="1827">
        <v>528.41300000000001</v>
      </c>
      <c r="BK126" s="1827">
        <v>517.25335363636361</v>
      </c>
      <c r="BL126" s="1827">
        <v>512.01323727272734</v>
      </c>
      <c r="BM126" s="1827">
        <v>500.2876654545455</v>
      </c>
      <c r="BN126" s="1827">
        <v>486.77490454545449</v>
      </c>
      <c r="BO126" s="1827">
        <v>474.02626272727264</v>
      </c>
      <c r="BP126" s="1827">
        <v>454.56320999999997</v>
      </c>
      <c r="BQ126" s="1828">
        <v>440.90378545454547</v>
      </c>
      <c r="BR126" s="951">
        <f t="shared" si="387"/>
        <v>3967.9319481818175</v>
      </c>
      <c r="BS126" s="1826">
        <v>414.25931999999995</v>
      </c>
      <c r="BT126" s="1827">
        <v>414.03388363636361</v>
      </c>
      <c r="BU126" s="1827">
        <v>386.32196272727271</v>
      </c>
      <c r="BV126" s="1827">
        <v>367.72409272727299</v>
      </c>
      <c r="BW126" s="1827">
        <v>351.84740636363603</v>
      </c>
      <c r="BX126" s="1827">
        <v>337.2935154545454</v>
      </c>
      <c r="BY126" s="1827">
        <v>321.75035272727268</v>
      </c>
      <c r="BZ126" s="1827">
        <v>303.04161545454542</v>
      </c>
      <c r="CA126" s="1827">
        <v>285.06905727272726</v>
      </c>
      <c r="CB126" s="1827">
        <v>268.79537090909088</v>
      </c>
      <c r="CC126" s="1827">
        <v>268.79537090909088</v>
      </c>
      <c r="CD126" s="1828">
        <v>249</v>
      </c>
      <c r="CE126" s="951">
        <f t="shared" si="389"/>
        <v>2955.683602126504</v>
      </c>
      <c r="CF126" s="3163">
        <f t="shared" ref="CF126" si="390">CF319</f>
        <v>275.55817449966275</v>
      </c>
      <c r="CG126" s="3164">
        <f t="shared" ref="CG126:CQ126" si="391">CG319</f>
        <v>271.31172839533639</v>
      </c>
      <c r="CH126" s="3164">
        <f t="shared" si="391"/>
        <v>261.96903516147188</v>
      </c>
      <c r="CI126" s="3164">
        <f t="shared" si="391"/>
        <v>256.68082277925834</v>
      </c>
      <c r="CJ126" s="3164">
        <f t="shared" si="391"/>
        <v>250.27382561987662</v>
      </c>
      <c r="CK126" s="3164">
        <f t="shared" si="391"/>
        <v>244.39693767124629</v>
      </c>
      <c r="CL126" s="3164">
        <f t="shared" si="391"/>
        <v>239.27785066327016</v>
      </c>
      <c r="CM126" s="3164">
        <f t="shared" si="391"/>
        <v>237.94011717387889</v>
      </c>
      <c r="CN126" s="3164">
        <f t="shared" si="391"/>
        <v>232.6596762945218</v>
      </c>
      <c r="CO126" s="3164">
        <f t="shared" si="391"/>
        <v>231.00236643261044</v>
      </c>
      <c r="CP126" s="3164">
        <f t="shared" si="391"/>
        <v>228.3522885284969</v>
      </c>
      <c r="CQ126" s="3165">
        <f t="shared" si="391"/>
        <v>226.26077890687327</v>
      </c>
      <c r="CR126" s="1169"/>
      <c r="CS126" s="1169"/>
    </row>
    <row r="127" spans="1:97">
      <c r="B127" s="3308" t="s">
        <v>544</v>
      </c>
      <c r="C127" s="3308"/>
      <c r="D127" s="3309"/>
      <c r="E127" s="401">
        <f t="shared" si="369"/>
        <v>0</v>
      </c>
      <c r="F127" s="569"/>
      <c r="G127" s="589"/>
      <c r="H127" s="589"/>
      <c r="I127" s="454"/>
      <c r="J127" s="454"/>
      <c r="K127" s="454"/>
      <c r="L127" s="454"/>
      <c r="M127" s="454"/>
      <c r="N127" s="454"/>
      <c r="O127" s="454"/>
      <c r="P127" s="454"/>
      <c r="Q127" s="453"/>
      <c r="R127" s="412">
        <f t="shared" si="379"/>
        <v>0</v>
      </c>
      <c r="S127" s="569"/>
      <c r="T127" s="589"/>
      <c r="U127" s="589"/>
      <c r="V127" s="589"/>
      <c r="W127" s="589"/>
      <c r="X127" s="589"/>
      <c r="Y127" s="589"/>
      <c r="Z127" s="589"/>
      <c r="AA127" s="589"/>
      <c r="AB127" s="589"/>
      <c r="AC127" s="589"/>
      <c r="AD127" s="589"/>
      <c r="AE127" s="413">
        <f t="shared" si="381"/>
        <v>0</v>
      </c>
      <c r="AF127" s="1880"/>
      <c r="AG127" s="1264"/>
      <c r="AH127" s="1264"/>
      <c r="AI127" s="1264"/>
      <c r="AJ127" s="1264"/>
      <c r="AK127" s="1264"/>
      <c r="AL127" s="1264"/>
      <c r="AM127" s="1264"/>
      <c r="AN127" s="1264"/>
      <c r="AO127" s="1264"/>
      <c r="AP127" s="1264"/>
      <c r="AQ127" s="1265"/>
      <c r="AR127" s="413">
        <f t="shared" si="383"/>
        <v>0</v>
      </c>
      <c r="AS127" s="1509"/>
      <c r="AT127" s="1509"/>
      <c r="AU127" s="1509"/>
      <c r="AV127" s="1509"/>
      <c r="AW127" s="1509"/>
      <c r="AX127" s="1509"/>
      <c r="AY127" s="1509"/>
      <c r="AZ127" s="1509"/>
      <c r="BA127" s="1509"/>
      <c r="BB127" s="1509"/>
      <c r="BC127" s="1509"/>
      <c r="BD127" s="1510"/>
      <c r="BE127" s="951">
        <f t="shared" si="385"/>
        <v>639</v>
      </c>
      <c r="BF127" s="1826">
        <v>0</v>
      </c>
      <c r="BG127" s="1827">
        <v>0</v>
      </c>
      <c r="BH127" s="1827">
        <v>36</v>
      </c>
      <c r="BI127" s="1827">
        <v>41</v>
      </c>
      <c r="BJ127" s="1827">
        <v>47</v>
      </c>
      <c r="BK127" s="1827">
        <v>51</v>
      </c>
      <c r="BL127" s="1827">
        <v>55.000000000000007</v>
      </c>
      <c r="BM127" s="1827">
        <v>63</v>
      </c>
      <c r="BN127" s="1827">
        <v>68</v>
      </c>
      <c r="BO127" s="1827">
        <v>84</v>
      </c>
      <c r="BP127" s="1827">
        <v>94</v>
      </c>
      <c r="BQ127" s="1828">
        <v>100</v>
      </c>
      <c r="BR127" s="951">
        <f t="shared" si="387"/>
        <v>1498</v>
      </c>
      <c r="BS127" s="1826">
        <v>102</v>
      </c>
      <c r="BT127" s="1827">
        <v>102</v>
      </c>
      <c r="BU127" s="1827">
        <v>104</v>
      </c>
      <c r="BV127" s="1827">
        <v>110</v>
      </c>
      <c r="BW127" s="1827">
        <v>120</v>
      </c>
      <c r="BX127" s="1827">
        <v>120</v>
      </c>
      <c r="BY127" s="1827">
        <v>130</v>
      </c>
      <c r="BZ127" s="1827">
        <v>130</v>
      </c>
      <c r="CA127" s="1827">
        <v>135</v>
      </c>
      <c r="CB127" s="1827">
        <v>135</v>
      </c>
      <c r="CC127" s="1827">
        <v>150</v>
      </c>
      <c r="CD127" s="1828">
        <v>160</v>
      </c>
      <c r="CE127" s="951">
        <f>SUM(CF127:CQ127)</f>
        <v>1919.2439375347567</v>
      </c>
      <c r="CF127" s="3163">
        <f t="shared" ref="CF127" si="392">CF330</f>
        <v>142.93266228699457</v>
      </c>
      <c r="CG127" s="3164">
        <f t="shared" ref="CG127:CQ127" si="393">CG330</f>
        <v>145.43091673377415</v>
      </c>
      <c r="CH127" s="3164">
        <f t="shared" si="393"/>
        <v>147.9521006743671</v>
      </c>
      <c r="CI127" s="3164">
        <f t="shared" si="393"/>
        <v>152.61775069036602</v>
      </c>
      <c r="CJ127" s="3164">
        <f t="shared" si="393"/>
        <v>154.79778581650885</v>
      </c>
      <c r="CK127" s="3164">
        <f t="shared" si="393"/>
        <v>156.8018305631293</v>
      </c>
      <c r="CL127" s="3164">
        <f t="shared" si="393"/>
        <v>159.13775577067227</v>
      </c>
      <c r="CM127" s="3164">
        <f t="shared" si="393"/>
        <v>163.25602030799598</v>
      </c>
      <c r="CN127" s="3164">
        <f t="shared" si="393"/>
        <v>166.32742944834516</v>
      </c>
      <c r="CO127" s="3164">
        <f t="shared" si="393"/>
        <v>173.5512399688518</v>
      </c>
      <c r="CP127" s="3164">
        <f t="shared" si="393"/>
        <v>177.12295467997038</v>
      </c>
      <c r="CQ127" s="3165">
        <f t="shared" si="393"/>
        <v>179.31549059378119</v>
      </c>
      <c r="CR127" s="1169"/>
      <c r="CS127" s="1169"/>
    </row>
    <row r="128" spans="1:97">
      <c r="B128" s="3308" t="s">
        <v>582</v>
      </c>
      <c r="C128" s="3308"/>
      <c r="D128" s="3309"/>
      <c r="E128" s="401">
        <f t="shared" si="369"/>
        <v>0</v>
      </c>
      <c r="F128" s="569"/>
      <c r="G128" s="589"/>
      <c r="H128" s="589"/>
      <c r="I128" s="454"/>
      <c r="J128" s="454"/>
      <c r="K128" s="454"/>
      <c r="L128" s="454"/>
      <c r="M128" s="454"/>
      <c r="N128" s="454"/>
      <c r="O128" s="454"/>
      <c r="P128" s="454"/>
      <c r="Q128" s="453"/>
      <c r="R128" s="412">
        <f t="shared" si="379"/>
        <v>0</v>
      </c>
      <c r="S128" s="569"/>
      <c r="T128" s="589"/>
      <c r="U128" s="589"/>
      <c r="V128" s="589"/>
      <c r="W128" s="589"/>
      <c r="X128" s="589"/>
      <c r="Y128" s="589"/>
      <c r="Z128" s="589"/>
      <c r="AA128" s="589"/>
      <c r="AB128" s="589"/>
      <c r="AC128" s="589"/>
      <c r="AD128" s="589"/>
      <c r="AE128" s="413">
        <f t="shared" si="381"/>
        <v>0</v>
      </c>
      <c r="AF128" s="1266"/>
      <c r="AG128" s="1264"/>
      <c r="AH128" s="1264"/>
      <c r="AI128" s="1264"/>
      <c r="AJ128" s="1264"/>
      <c r="AK128" s="1264"/>
      <c r="AL128" s="1264"/>
      <c r="AM128" s="1264"/>
      <c r="AN128" s="1264"/>
      <c r="AO128" s="1264"/>
      <c r="AP128" s="1264"/>
      <c r="AQ128" s="1265"/>
      <c r="AR128" s="413">
        <f t="shared" si="383"/>
        <v>0</v>
      </c>
      <c r="AS128" s="1509"/>
      <c r="AT128" s="1509"/>
      <c r="AU128" s="1509"/>
      <c r="AV128" s="1509"/>
      <c r="AW128" s="1509"/>
      <c r="AX128" s="1135"/>
      <c r="AY128" s="1509"/>
      <c r="AZ128" s="1509"/>
      <c r="BA128" s="1509"/>
      <c r="BB128" s="1509"/>
      <c r="BC128" s="1509"/>
      <c r="BD128" s="1510"/>
      <c r="BE128" s="950">
        <f t="shared" si="385"/>
        <v>0</v>
      </c>
      <c r="BF128" s="1826"/>
      <c r="BG128" s="1827"/>
      <c r="BH128" s="1827"/>
      <c r="BI128" s="1827"/>
      <c r="BJ128" s="1827"/>
      <c r="BK128" s="1827"/>
      <c r="BL128" s="1827"/>
      <c r="BM128" s="1827"/>
      <c r="BN128" s="1827"/>
      <c r="BO128" s="1827"/>
      <c r="BP128" s="1827"/>
      <c r="BQ128" s="1828"/>
      <c r="BR128" s="950">
        <f t="shared" si="387"/>
        <v>2856.6680550000001</v>
      </c>
      <c r="BS128" s="1826">
        <v>116.849377</v>
      </c>
      <c r="BT128" s="1827">
        <v>136.661452</v>
      </c>
      <c r="BU128" s="1827">
        <v>0</v>
      </c>
      <c r="BV128" s="1827">
        <v>320</v>
      </c>
      <c r="BW128" s="1827">
        <v>0</v>
      </c>
      <c r="BX128" s="1827">
        <v>400</v>
      </c>
      <c r="BY128" s="1827">
        <v>249.86998</v>
      </c>
      <c r="BZ128" s="1827">
        <v>275.31537100000003</v>
      </c>
      <c r="CA128" s="1827">
        <v>302.64253300000001</v>
      </c>
      <c r="CB128" s="1827">
        <v>326.88832600000001</v>
      </c>
      <c r="CC128" s="1827">
        <v>351.91713900000002</v>
      </c>
      <c r="CD128" s="1828">
        <v>376.52387700000003</v>
      </c>
      <c r="CE128" s="950">
        <f t="shared" si="389"/>
        <v>2400</v>
      </c>
      <c r="CF128" s="3163">
        <v>200</v>
      </c>
      <c r="CG128" s="3164">
        <f>CF128</f>
        <v>200</v>
      </c>
      <c r="CH128" s="3164">
        <f t="shared" ref="CH128:CQ128" si="394">CG128</f>
        <v>200</v>
      </c>
      <c r="CI128" s="3164">
        <f t="shared" si="394"/>
        <v>200</v>
      </c>
      <c r="CJ128" s="3164">
        <f t="shared" si="394"/>
        <v>200</v>
      </c>
      <c r="CK128" s="3164">
        <f t="shared" si="394"/>
        <v>200</v>
      </c>
      <c r="CL128" s="3164">
        <f t="shared" si="394"/>
        <v>200</v>
      </c>
      <c r="CM128" s="3164">
        <f t="shared" si="394"/>
        <v>200</v>
      </c>
      <c r="CN128" s="3164">
        <f t="shared" si="394"/>
        <v>200</v>
      </c>
      <c r="CO128" s="3164">
        <f t="shared" si="394"/>
        <v>200</v>
      </c>
      <c r="CP128" s="3164">
        <f t="shared" si="394"/>
        <v>200</v>
      </c>
      <c r="CQ128" s="3165">
        <f t="shared" si="394"/>
        <v>200</v>
      </c>
      <c r="CR128" s="1169"/>
      <c r="CS128" s="1169"/>
    </row>
    <row r="129" spans="2:95">
      <c r="B129" s="3358" t="s">
        <v>393</v>
      </c>
      <c r="C129" s="3358"/>
      <c r="D129" s="3359"/>
      <c r="E129" s="401">
        <f t="shared" si="369"/>
        <v>6582.9606099999992</v>
      </c>
      <c r="F129" s="569">
        <v>470.03715999999997</v>
      </c>
      <c r="G129" s="589">
        <v>462.03696000000002</v>
      </c>
      <c r="H129" s="589">
        <v>469.02328499999999</v>
      </c>
      <c r="I129" s="454">
        <v>427.71339399999999</v>
      </c>
      <c r="J129" s="454">
        <v>454.09584000000001</v>
      </c>
      <c r="K129" s="454">
        <v>446.88984699999997</v>
      </c>
      <c r="L129" s="454">
        <v>440.39226200000002</v>
      </c>
      <c r="M129" s="454">
        <v>684.90849800000001</v>
      </c>
      <c r="N129" s="454">
        <v>682.22368500000005</v>
      </c>
      <c r="O129" s="454">
        <v>691.77349600000002</v>
      </c>
      <c r="P129" s="454">
        <v>674.168229</v>
      </c>
      <c r="Q129" s="453">
        <v>679.69795399999998</v>
      </c>
      <c r="R129" s="412">
        <f t="shared" si="379"/>
        <v>8374.3715169999996</v>
      </c>
      <c r="S129" s="569">
        <v>673.07910900000002</v>
      </c>
      <c r="T129" s="589">
        <v>650.15509199999997</v>
      </c>
      <c r="U129" s="589">
        <v>718.17082200000004</v>
      </c>
      <c r="V129" s="589">
        <v>690.45870200000002</v>
      </c>
      <c r="W129" s="589">
        <v>699.87256000000002</v>
      </c>
      <c r="X129" s="589">
        <v>707.13477</v>
      </c>
      <c r="Y129" s="589">
        <v>708.93752700000005</v>
      </c>
      <c r="Z129" s="589">
        <v>731.318084</v>
      </c>
      <c r="AA129" s="589">
        <v>714.19</v>
      </c>
      <c r="AB129" s="589">
        <v>732.63247100000001</v>
      </c>
      <c r="AC129" s="589">
        <v>596.66941399999996</v>
      </c>
      <c r="AD129" s="589">
        <v>751.75296600000001</v>
      </c>
      <c r="AE129" s="412">
        <f t="shared" si="381"/>
        <v>9600.4789110000002</v>
      </c>
      <c r="AF129" s="1266">
        <v>757.99954200000002</v>
      </c>
      <c r="AG129" s="1264">
        <v>757.22367499999996</v>
      </c>
      <c r="AH129" s="1264">
        <v>778.62670300000002</v>
      </c>
      <c r="AI129" s="1264">
        <v>772.26681699999995</v>
      </c>
      <c r="AJ129" s="1264">
        <v>786.58371699999998</v>
      </c>
      <c r="AK129" s="1264">
        <v>792.26677099999995</v>
      </c>
      <c r="AL129" s="1264">
        <v>819.94098899999995</v>
      </c>
      <c r="AM129" s="1264">
        <v>834.15128500000003</v>
      </c>
      <c r="AN129" s="1264">
        <v>829.62260900000001</v>
      </c>
      <c r="AO129" s="1264">
        <v>870.71392400000002</v>
      </c>
      <c r="AP129" s="1264">
        <v>717.87304600000004</v>
      </c>
      <c r="AQ129" s="1265">
        <v>883.209833</v>
      </c>
      <c r="AR129" s="412">
        <f t="shared" si="383"/>
        <v>8656.3303980000001</v>
      </c>
      <c r="AS129" s="1509">
        <v>750.21497999999997</v>
      </c>
      <c r="AT129" s="1509">
        <v>733.66039799999999</v>
      </c>
      <c r="AU129" s="1509">
        <v>741.52542300000005</v>
      </c>
      <c r="AV129" s="1509">
        <v>719.58822699999996</v>
      </c>
      <c r="AW129" s="1509">
        <v>745.71492899999998</v>
      </c>
      <c r="AX129" s="1511">
        <v>745.71492899999998</v>
      </c>
      <c r="AY129" s="1509">
        <v>709.49483899999996</v>
      </c>
      <c r="AZ129" s="1509">
        <v>707.07395699999995</v>
      </c>
      <c r="BA129" s="1509">
        <v>691.90742799999998</v>
      </c>
      <c r="BB129" s="1509">
        <v>737.50379199999998</v>
      </c>
      <c r="BC129" s="1509">
        <v>677.95677999999998</v>
      </c>
      <c r="BD129" s="1510">
        <v>695.97471599999994</v>
      </c>
      <c r="BE129" s="950">
        <f t="shared" si="385"/>
        <v>8981.382404</v>
      </c>
      <c r="BF129" s="1826">
        <v>694.24120200000004</v>
      </c>
      <c r="BG129" s="1827">
        <v>732.89994999999999</v>
      </c>
      <c r="BH129" s="1827">
        <v>734.90694900000005</v>
      </c>
      <c r="BI129" s="1827">
        <v>739.18176500000004</v>
      </c>
      <c r="BJ129" s="1827">
        <v>738.68889200000001</v>
      </c>
      <c r="BK129" s="1827">
        <v>731.46807799999999</v>
      </c>
      <c r="BL129" s="1827">
        <v>763.54254900000001</v>
      </c>
      <c r="BM129" s="1827">
        <v>739.06400199999996</v>
      </c>
      <c r="BN129" s="1827">
        <v>765.38857499999995</v>
      </c>
      <c r="BO129" s="1827">
        <v>786.86388499999998</v>
      </c>
      <c r="BP129" s="1827">
        <v>761.42395199999999</v>
      </c>
      <c r="BQ129" s="1828">
        <v>793.71260500000005</v>
      </c>
      <c r="BR129" s="950">
        <f t="shared" si="387"/>
        <v>8137.6293970000006</v>
      </c>
      <c r="BS129" s="1826">
        <v>793.71260500000005</v>
      </c>
      <c r="BT129" s="1827">
        <v>797.16095800000005</v>
      </c>
      <c r="BU129" s="1827">
        <v>742.16384200000005</v>
      </c>
      <c r="BV129" s="1827">
        <v>764.14246700000001</v>
      </c>
      <c r="BW129" s="1827">
        <v>762.28570000000002</v>
      </c>
      <c r="BX129" s="1827">
        <v>777.21820000000002</v>
      </c>
      <c r="BY129" s="1827">
        <v>749.12716799999998</v>
      </c>
      <c r="BZ129" s="1827">
        <v>667.667011</v>
      </c>
      <c r="CA129" s="1827">
        <v>690.00006900000005</v>
      </c>
      <c r="CB129" s="1827">
        <v>22.333058000000001</v>
      </c>
      <c r="CC129" s="1827">
        <v>687.27279599999997</v>
      </c>
      <c r="CD129" s="1828">
        <v>684.545523</v>
      </c>
      <c r="CE129" s="950">
        <f t="shared" si="389"/>
        <v>8440.9090909090919</v>
      </c>
      <c r="CF129" s="3163">
        <f>인프라!CF6*(3000000/1.1)/1000000</f>
        <v>684.5454545454545</v>
      </c>
      <c r="CG129" s="3164">
        <f>인프라!CG6*(3000000/1.1)/1000000</f>
        <v>684.5454545454545</v>
      </c>
      <c r="CH129" s="3164">
        <f>인프라!CH6*(3000000/1.1)/1000000</f>
        <v>684.5454545454545</v>
      </c>
      <c r="CI129" s="3164">
        <f>인프라!CI6*(3000000/1.1)/1000000</f>
        <v>687.27272727272725</v>
      </c>
      <c r="CJ129" s="3164">
        <f>인프라!CJ6*(3000000/1.1)/1000000</f>
        <v>692.72727272727263</v>
      </c>
      <c r="CK129" s="3164">
        <f>인프라!CK6*(3000000/1.1)/1000000</f>
        <v>698.18181818181813</v>
      </c>
      <c r="CL129" s="3164">
        <f>인프라!CL6*(3000000/1.1)/1000000</f>
        <v>703.63636363636363</v>
      </c>
      <c r="CM129" s="3164">
        <f>인프라!CM6*(3000000/1.1)/1000000</f>
        <v>709.09090909090901</v>
      </c>
      <c r="CN129" s="3164">
        <f>인프라!CN6*(3000000/1.1)/1000000</f>
        <v>714.5454545454545</v>
      </c>
      <c r="CO129" s="3164">
        <f>인프라!CO6*(3000000/1.1)/1000000</f>
        <v>720</v>
      </c>
      <c r="CP129" s="3164">
        <f>인프라!CP6*(3000000/1.1)/1000000</f>
        <v>725.45454545454538</v>
      </c>
      <c r="CQ129" s="3165">
        <f>인프라!CQ6*(3000000/1.1)/1000000</f>
        <v>736.36363636363626</v>
      </c>
    </row>
    <row r="130" spans="2:95" ht="16.5" hidden="1" customHeight="1">
      <c r="B130" s="3356"/>
      <c r="C130" s="3350" t="s">
        <v>303</v>
      </c>
      <c r="D130" s="210" t="s">
        <v>14</v>
      </c>
      <c r="E130" s="397">
        <f t="shared" ref="E130" si="395">SUM(E131:E138)</f>
        <v>47614.903012419745</v>
      </c>
      <c r="F130" s="415">
        <v>4011.8491308548146</v>
      </c>
      <c r="G130" s="212">
        <v>4057.3305466002953</v>
      </c>
      <c r="H130" s="212">
        <v>4048.3699524810436</v>
      </c>
      <c r="I130" s="212">
        <v>4039.776837796885</v>
      </c>
      <c r="J130" s="212">
        <v>4034.6205115339289</v>
      </c>
      <c r="K130" s="212">
        <v>4034.3080738382027</v>
      </c>
      <c r="L130" s="212">
        <v>4051.3014616748742</v>
      </c>
      <c r="M130" s="212">
        <v>4050.6003731380592</v>
      </c>
      <c r="N130" s="212">
        <v>3963.066644000708</v>
      </c>
      <c r="O130" s="212">
        <v>3866.4669426023056</v>
      </c>
      <c r="P130" s="212">
        <v>3771.7174705877833</v>
      </c>
      <c r="Q130" s="226">
        <v>3685.4950673108465</v>
      </c>
      <c r="R130" s="397">
        <f t="shared" ref="R130" si="396">SUM(R131:R138)</f>
        <v>196.8123100721902</v>
      </c>
      <c r="S130" s="415">
        <f>SUM(S131:S138)</f>
        <v>17.322720402202854</v>
      </c>
      <c r="T130" s="212">
        <f t="shared" ref="T130:AE130" si="397">SUM(T131:T138)</f>
        <v>17.149493198180824</v>
      </c>
      <c r="U130" s="212">
        <f t="shared" si="397"/>
        <v>16.977998266199016</v>
      </c>
      <c r="V130" s="212">
        <f t="shared" si="397"/>
        <v>16.808218283537027</v>
      </c>
      <c r="W130" s="212">
        <f t="shared" si="397"/>
        <v>16.640136100701657</v>
      </c>
      <c r="X130" s="212">
        <f t="shared" si="397"/>
        <v>16.473734739694642</v>
      </c>
      <c r="Y130" s="212">
        <f t="shared" si="397"/>
        <v>16.308997392297695</v>
      </c>
      <c r="Z130" s="212">
        <f t="shared" si="397"/>
        <v>16.145907418374719</v>
      </c>
      <c r="AA130" s="212">
        <f t="shared" si="397"/>
        <v>15.984448344190971</v>
      </c>
      <c r="AB130" s="212">
        <f t="shared" si="397"/>
        <v>15.824603860749061</v>
      </c>
      <c r="AC130" s="212">
        <f t="shared" si="397"/>
        <v>15.66635782214157</v>
      </c>
      <c r="AD130" s="226">
        <f t="shared" si="397"/>
        <v>15.509694243920155</v>
      </c>
      <c r="AE130" s="397">
        <f t="shared" si="397"/>
        <v>174.45145421549341</v>
      </c>
      <c r="AF130" s="1267">
        <f>SUM(AF131:AF138)</f>
        <v>15.354597301480954</v>
      </c>
      <c r="AG130" s="1191">
        <f t="shared" ref="AG130:AL130" si="398">SUM(AG131:AG138)</f>
        <v>15.201051328466145</v>
      </c>
      <c r="AH130" s="1191">
        <f t="shared" si="398"/>
        <v>15.049040815181483</v>
      </c>
      <c r="AI130" s="1191">
        <f t="shared" si="398"/>
        <v>14.898550407029669</v>
      </c>
      <c r="AJ130" s="1191">
        <f t="shared" si="398"/>
        <v>14.749564902959373</v>
      </c>
      <c r="AK130" s="1191">
        <f t="shared" si="398"/>
        <v>14.602069253929779</v>
      </c>
      <c r="AL130" s="1191">
        <f t="shared" si="398"/>
        <v>14.456048561390482</v>
      </c>
      <c r="AM130" s="1191">
        <f t="shared" ref="AM130:AQ130" si="399">SUM(AM131:AM138)</f>
        <v>14.311488075776577</v>
      </c>
      <c r="AN130" s="1191">
        <f t="shared" si="399"/>
        <v>14.168373195018811</v>
      </c>
      <c r="AO130" s="1191">
        <f t="shared" si="399"/>
        <v>14.026689463068623</v>
      </c>
      <c r="AP130" s="1191">
        <f t="shared" si="399"/>
        <v>13.886422568437936</v>
      </c>
      <c r="AQ130" s="1268">
        <f t="shared" si="399"/>
        <v>13.747558342753557</v>
      </c>
      <c r="AR130" s="397">
        <f t="shared" ref="AR130" si="400">SUM(AR131:AR138)</f>
        <v>154.63112986549228</v>
      </c>
      <c r="AS130" s="916">
        <f>SUM(AS131:AS138)</f>
        <v>13.610082759326021</v>
      </c>
      <c r="AT130" s="916">
        <f t="shared" ref="AT130:BE130" si="401">SUM(AT131:AT138)</f>
        <v>13.47398193173276</v>
      </c>
      <c r="AU130" s="916">
        <f t="shared" si="401"/>
        <v>13.339242112415432</v>
      </c>
      <c r="AV130" s="916">
        <f t="shared" si="401"/>
        <v>13.205849691291277</v>
      </c>
      <c r="AW130" s="916">
        <f t="shared" si="401"/>
        <v>13.073791194378364</v>
      </c>
      <c r="AX130" s="916">
        <f t="shared" si="401"/>
        <v>12.94305328243458</v>
      </c>
      <c r="AY130" s="916">
        <f t="shared" si="401"/>
        <v>12.813622749610234</v>
      </c>
      <c r="AZ130" s="916">
        <f t="shared" si="401"/>
        <v>12.685486522114131</v>
      </c>
      <c r="BA130" s="916">
        <f t="shared" si="401"/>
        <v>12.55863165689299</v>
      </c>
      <c r="BB130" s="916">
        <f t="shared" si="401"/>
        <v>12.43304534032406</v>
      </c>
      <c r="BC130" s="916">
        <f t="shared" si="401"/>
        <v>12.30871488692082</v>
      </c>
      <c r="BD130" s="1445">
        <f t="shared" si="401"/>
        <v>12.185627738051611</v>
      </c>
      <c r="BE130" s="936">
        <f t="shared" si="401"/>
        <v>137.06269420914452</v>
      </c>
      <c r="BF130" s="397">
        <f>SUM(BF131:BF138)</f>
        <v>12.063771460671095</v>
      </c>
      <c r="BG130" s="415">
        <f t="shared" ref="BG130:BR130" si="402">SUM(BG131:BG138)</f>
        <v>11.943133746064383</v>
      </c>
      <c r="BH130" s="415">
        <f t="shared" si="402"/>
        <v>11.82370240860374</v>
      </c>
      <c r="BI130" s="415">
        <f t="shared" si="402"/>
        <v>11.705465384517703</v>
      </c>
      <c r="BJ130" s="415">
        <f t="shared" si="402"/>
        <v>11.588410730672527</v>
      </c>
      <c r="BK130" s="415">
        <f t="shared" si="402"/>
        <v>11.472526623365802</v>
      </c>
      <c r="BL130" s="415">
        <f t="shared" si="402"/>
        <v>11.357801357132145</v>
      </c>
      <c r="BM130" s="415">
        <f t="shared" si="402"/>
        <v>11.244223343560822</v>
      </c>
      <c r="BN130" s="415">
        <f t="shared" si="402"/>
        <v>11.131781110125214</v>
      </c>
      <c r="BO130" s="415">
        <f t="shared" si="402"/>
        <v>11.020463299023962</v>
      </c>
      <c r="BP130" s="415">
        <f t="shared" si="402"/>
        <v>10.910258666033723</v>
      </c>
      <c r="BQ130" s="1738">
        <f t="shared" si="402"/>
        <v>10.801156079373385</v>
      </c>
      <c r="BR130" s="936">
        <f t="shared" si="402"/>
        <v>121.49029862363957</v>
      </c>
      <c r="BS130" s="397">
        <f>SUM(BS131:BS138)</f>
        <v>10.693144518579651</v>
      </c>
      <c r="BT130" s="415">
        <f t="shared" ref="BT130:CE130" si="403">SUM(BT131:BT138)</f>
        <v>10.586213073393854</v>
      </c>
      <c r="BU130" s="415">
        <f t="shared" si="403"/>
        <v>10.480350942659914</v>
      </c>
      <c r="BV130" s="415">
        <f t="shared" si="403"/>
        <v>10.375547433233315</v>
      </c>
      <c r="BW130" s="415">
        <f t="shared" si="403"/>
        <v>10.271791958900982</v>
      </c>
      <c r="BX130" s="415">
        <f t="shared" si="403"/>
        <v>10.169074039311973</v>
      </c>
      <c r="BY130" s="415">
        <f t="shared" si="403"/>
        <v>10.067383298918852</v>
      </c>
      <c r="BZ130" s="415">
        <f t="shared" si="403"/>
        <v>9.9667094659296627</v>
      </c>
      <c r="CA130" s="415">
        <f t="shared" si="403"/>
        <v>9.8670423712703652</v>
      </c>
      <c r="CB130" s="415">
        <f t="shared" si="403"/>
        <v>9.7683719475576609</v>
      </c>
      <c r="CC130" s="415">
        <f t="shared" si="403"/>
        <v>9.6706882280820849</v>
      </c>
      <c r="CD130" s="2879">
        <f t="shared" si="403"/>
        <v>9.5739813458012648</v>
      </c>
      <c r="CE130" s="936">
        <f t="shared" si="403"/>
        <v>107.687162760269</v>
      </c>
      <c r="CF130" s="397">
        <f>SUM(CF131:CF138)</f>
        <v>9.4782415323432527</v>
      </c>
      <c r="CG130" s="415">
        <f t="shared" ref="CG130:CQ130" si="404">SUM(CG131:CG138)</f>
        <v>9.3834591170198198</v>
      </c>
      <c r="CH130" s="415">
        <f t="shared" si="404"/>
        <v>9.2896245258496215</v>
      </c>
      <c r="CI130" s="415">
        <f t="shared" si="404"/>
        <v>9.1967282805911257</v>
      </c>
      <c r="CJ130" s="415">
        <f t="shared" si="404"/>
        <v>9.1047609977852151</v>
      </c>
      <c r="CK130" s="415">
        <f t="shared" si="404"/>
        <v>9.0137133878073623</v>
      </c>
      <c r="CL130" s="415">
        <f t="shared" si="404"/>
        <v>8.9235762539292889</v>
      </c>
      <c r="CM130" s="415">
        <f t="shared" si="404"/>
        <v>8.8343404913899963</v>
      </c>
      <c r="CN130" s="415">
        <f t="shared" si="404"/>
        <v>8.7459970864760965</v>
      </c>
      <c r="CO130" s="415">
        <f t="shared" si="404"/>
        <v>8.6585371156113347</v>
      </c>
      <c r="CP130" s="415">
        <f t="shared" si="404"/>
        <v>8.5719517444552213</v>
      </c>
      <c r="CQ130" s="1738">
        <f t="shared" si="404"/>
        <v>8.4862322270106691</v>
      </c>
    </row>
    <row r="131" spans="2:95" ht="17.5" hidden="1" customHeight="1">
      <c r="B131" s="3356"/>
      <c r="C131" s="3351"/>
      <c r="D131" s="201" t="s">
        <v>15</v>
      </c>
      <c r="E131" s="398">
        <f t="shared" ref="E131:E138" si="405">SUM(F131:Q131)</f>
        <v>22410.5738698401</v>
      </c>
      <c r="F131" s="3">
        <v>1931.2902684326207</v>
      </c>
      <c r="G131" s="3">
        <v>1934.9286799339015</v>
      </c>
      <c r="H131" s="3">
        <v>1934.6979286599574</v>
      </c>
      <c r="I131" s="3">
        <v>1925.0949463503628</v>
      </c>
      <c r="J131" s="3">
        <v>1917.8321082734944</v>
      </c>
      <c r="K131" s="3">
        <v>1907.1033394455665</v>
      </c>
      <c r="L131" s="3">
        <v>1891.0439831074336</v>
      </c>
      <c r="M131" s="3">
        <v>1880.3082218166587</v>
      </c>
      <c r="N131" s="3">
        <v>1839.6529920057992</v>
      </c>
      <c r="O131" s="3">
        <v>1793.3763477177624</v>
      </c>
      <c r="P131" s="3">
        <v>1748.0369803970473</v>
      </c>
      <c r="Q131" s="25">
        <v>1707.2080736994956</v>
      </c>
      <c r="R131" s="398">
        <f t="shared" ref="R131:R138" si="406">SUM(S131:AD131)</f>
        <v>0</v>
      </c>
      <c r="S131" s="3">
        <f t="shared" ref="S131:AD131" si="407">S30*S97*6.5%/1000000</f>
        <v>0</v>
      </c>
      <c r="T131" s="3">
        <f t="shared" si="407"/>
        <v>0</v>
      </c>
      <c r="U131" s="3">
        <f t="shared" si="407"/>
        <v>0</v>
      </c>
      <c r="V131" s="3">
        <f t="shared" si="407"/>
        <v>0</v>
      </c>
      <c r="W131" s="3">
        <f t="shared" si="407"/>
        <v>0</v>
      </c>
      <c r="X131" s="3">
        <f t="shared" si="407"/>
        <v>0</v>
      </c>
      <c r="Y131" s="3">
        <f t="shared" si="407"/>
        <v>0</v>
      </c>
      <c r="Z131" s="3">
        <f t="shared" si="407"/>
        <v>0</v>
      </c>
      <c r="AA131" s="3">
        <f t="shared" si="407"/>
        <v>0</v>
      </c>
      <c r="AB131" s="3">
        <f t="shared" si="407"/>
        <v>0</v>
      </c>
      <c r="AC131" s="3">
        <f t="shared" si="407"/>
        <v>0</v>
      </c>
      <c r="AD131" s="25">
        <f t="shared" si="407"/>
        <v>0</v>
      </c>
      <c r="AE131" s="398">
        <f t="shared" ref="AE131:AE138" si="408">SUM(AF131:AQ131)</f>
        <v>0</v>
      </c>
      <c r="AF131" s="1217">
        <f t="shared" ref="AF131:AQ131" si="409">AF30*AF97*6.5%/1000000</f>
        <v>0</v>
      </c>
      <c r="AG131" s="1050">
        <f t="shared" si="409"/>
        <v>0</v>
      </c>
      <c r="AH131" s="1050">
        <f t="shared" si="409"/>
        <v>0</v>
      </c>
      <c r="AI131" s="1050">
        <f t="shared" si="409"/>
        <v>0</v>
      </c>
      <c r="AJ131" s="1050">
        <f t="shared" si="409"/>
        <v>0</v>
      </c>
      <c r="AK131" s="1050">
        <f t="shared" si="409"/>
        <v>0</v>
      </c>
      <c r="AL131" s="1050">
        <f t="shared" si="409"/>
        <v>0</v>
      </c>
      <c r="AM131" s="1050">
        <f t="shared" si="409"/>
        <v>0</v>
      </c>
      <c r="AN131" s="1050">
        <f t="shared" si="409"/>
        <v>0</v>
      </c>
      <c r="AO131" s="1050">
        <f t="shared" si="409"/>
        <v>0</v>
      </c>
      <c r="AP131" s="1050">
        <f t="shared" si="409"/>
        <v>0</v>
      </c>
      <c r="AQ131" s="1269">
        <f t="shared" si="409"/>
        <v>0</v>
      </c>
      <c r="AR131" s="398">
        <f t="shared" ref="AR131:AR138" si="410">SUM(AS131:BD131)</f>
        <v>0</v>
      </c>
      <c r="AS131" s="918">
        <f t="shared" ref="AS131:BD131" si="411">AS30*AS97*6.5%/1000000</f>
        <v>0</v>
      </c>
      <c r="AT131" s="918">
        <f t="shared" si="411"/>
        <v>0</v>
      </c>
      <c r="AU131" s="918">
        <f t="shared" si="411"/>
        <v>0</v>
      </c>
      <c r="AV131" s="918">
        <f t="shared" si="411"/>
        <v>0</v>
      </c>
      <c r="AW131" s="918">
        <f t="shared" si="411"/>
        <v>0</v>
      </c>
      <c r="AX131" s="918">
        <f t="shared" si="411"/>
        <v>0</v>
      </c>
      <c r="AY131" s="918">
        <f t="shared" si="411"/>
        <v>0</v>
      </c>
      <c r="AZ131" s="918">
        <f t="shared" si="411"/>
        <v>0</v>
      </c>
      <c r="BA131" s="918">
        <f t="shared" si="411"/>
        <v>0</v>
      </c>
      <c r="BB131" s="918">
        <f t="shared" si="411"/>
        <v>0</v>
      </c>
      <c r="BC131" s="918">
        <f t="shared" si="411"/>
        <v>0</v>
      </c>
      <c r="BD131" s="1137">
        <f t="shared" si="411"/>
        <v>0</v>
      </c>
      <c r="BE131" s="937">
        <f t="shared" ref="BE131:BE138" si="412">SUM(BF131:BQ131)</f>
        <v>0</v>
      </c>
      <c r="BF131" s="1554">
        <f t="shared" ref="BF131:BQ131" si="413">BF30*BF97*6.5%/1000000</f>
        <v>0</v>
      </c>
      <c r="BG131" s="1555">
        <f t="shared" si="413"/>
        <v>0</v>
      </c>
      <c r="BH131" s="1555">
        <f t="shared" si="413"/>
        <v>0</v>
      </c>
      <c r="BI131" s="1555">
        <f t="shared" si="413"/>
        <v>0</v>
      </c>
      <c r="BJ131" s="1555">
        <f t="shared" si="413"/>
        <v>0</v>
      </c>
      <c r="BK131" s="1555">
        <f t="shared" si="413"/>
        <v>0</v>
      </c>
      <c r="BL131" s="1555">
        <f t="shared" si="413"/>
        <v>0</v>
      </c>
      <c r="BM131" s="1555">
        <f t="shared" si="413"/>
        <v>0</v>
      </c>
      <c r="BN131" s="1555">
        <f t="shared" si="413"/>
        <v>0</v>
      </c>
      <c r="BO131" s="1555">
        <f t="shared" si="413"/>
        <v>0</v>
      </c>
      <c r="BP131" s="1555">
        <f t="shared" si="413"/>
        <v>0</v>
      </c>
      <c r="BQ131" s="1751">
        <f t="shared" si="413"/>
        <v>0</v>
      </c>
      <c r="BR131" s="937">
        <f t="shared" ref="BR131:BR138" si="414">SUM(BS131:CD131)</f>
        <v>0</v>
      </c>
      <c r="BS131" s="1554">
        <f t="shared" ref="BS131:CD131" si="415">BS30*BS97*6.5%/1000000</f>
        <v>0</v>
      </c>
      <c r="BT131" s="1555">
        <f t="shared" si="415"/>
        <v>0</v>
      </c>
      <c r="BU131" s="1555">
        <f t="shared" si="415"/>
        <v>0</v>
      </c>
      <c r="BV131" s="1555">
        <f t="shared" si="415"/>
        <v>0</v>
      </c>
      <c r="BW131" s="1555">
        <f t="shared" si="415"/>
        <v>0</v>
      </c>
      <c r="BX131" s="1555">
        <f t="shared" si="415"/>
        <v>0</v>
      </c>
      <c r="BY131" s="1555">
        <f t="shared" si="415"/>
        <v>0</v>
      </c>
      <c r="BZ131" s="1555">
        <f t="shared" si="415"/>
        <v>0</v>
      </c>
      <c r="CA131" s="1555">
        <f t="shared" si="415"/>
        <v>0</v>
      </c>
      <c r="CB131" s="1555">
        <f t="shared" si="415"/>
        <v>0</v>
      </c>
      <c r="CC131" s="1555">
        <f t="shared" si="415"/>
        <v>0</v>
      </c>
      <c r="CD131" s="2880">
        <f t="shared" si="415"/>
        <v>0</v>
      </c>
      <c r="CE131" s="937">
        <f t="shared" ref="CE131:CE138" si="416">SUM(CF131:CQ131)</f>
        <v>0</v>
      </c>
      <c r="CF131" s="1554">
        <f t="shared" ref="CF131:CQ131" si="417">CF30*CF97*6.5%/1000000</f>
        <v>0</v>
      </c>
      <c r="CG131" s="1555">
        <f t="shared" si="417"/>
        <v>0</v>
      </c>
      <c r="CH131" s="1555">
        <f t="shared" si="417"/>
        <v>0</v>
      </c>
      <c r="CI131" s="1555">
        <f t="shared" si="417"/>
        <v>0</v>
      </c>
      <c r="CJ131" s="1555">
        <f t="shared" si="417"/>
        <v>0</v>
      </c>
      <c r="CK131" s="1555">
        <f t="shared" si="417"/>
        <v>0</v>
      </c>
      <c r="CL131" s="1555">
        <f t="shared" si="417"/>
        <v>0</v>
      </c>
      <c r="CM131" s="1555">
        <f t="shared" si="417"/>
        <v>0</v>
      </c>
      <c r="CN131" s="1555">
        <f t="shared" si="417"/>
        <v>0</v>
      </c>
      <c r="CO131" s="1555">
        <f t="shared" si="417"/>
        <v>0</v>
      </c>
      <c r="CP131" s="1555">
        <f t="shared" si="417"/>
        <v>0</v>
      </c>
      <c r="CQ131" s="1751">
        <f t="shared" si="417"/>
        <v>0</v>
      </c>
    </row>
    <row r="132" spans="2:95" ht="17.5" hidden="1" customHeight="1">
      <c r="B132" s="3356"/>
      <c r="C132" s="3351"/>
      <c r="D132" s="201" t="s">
        <v>16</v>
      </c>
      <c r="E132" s="398">
        <f t="shared" si="405"/>
        <v>14831.546250524369</v>
      </c>
      <c r="F132" s="3">
        <v>1170.0258957845322</v>
      </c>
      <c r="G132" s="3">
        <v>1201.1332015198886</v>
      </c>
      <c r="H132" s="3">
        <v>1201.9297546707182</v>
      </c>
      <c r="I132" s="3">
        <v>1222.6619102547236</v>
      </c>
      <c r="J132" s="3">
        <v>1225.9334030359207</v>
      </c>
      <c r="K132" s="3">
        <v>1245.3174060206859</v>
      </c>
      <c r="L132" s="3">
        <v>1285.40453303954</v>
      </c>
      <c r="M132" s="3">
        <v>1304.75043211504</v>
      </c>
      <c r="N132" s="3">
        <v>1280.8496645252596</v>
      </c>
      <c r="O132" s="3">
        <v>1255.472655073457</v>
      </c>
      <c r="P132" s="3">
        <v>1230.4622912414409</v>
      </c>
      <c r="Q132" s="25">
        <v>1207.6051032431599</v>
      </c>
      <c r="R132" s="398">
        <f t="shared" si="406"/>
        <v>0</v>
      </c>
      <c r="S132" s="3">
        <f t="shared" ref="S132:AD132" si="418">S31*S98*6.5%/1000000</f>
        <v>0</v>
      </c>
      <c r="T132" s="3">
        <f t="shared" si="418"/>
        <v>0</v>
      </c>
      <c r="U132" s="3">
        <f t="shared" si="418"/>
        <v>0</v>
      </c>
      <c r="V132" s="3">
        <f t="shared" si="418"/>
        <v>0</v>
      </c>
      <c r="W132" s="3">
        <f t="shared" si="418"/>
        <v>0</v>
      </c>
      <c r="X132" s="3">
        <f t="shared" si="418"/>
        <v>0</v>
      </c>
      <c r="Y132" s="3">
        <f t="shared" si="418"/>
        <v>0</v>
      </c>
      <c r="Z132" s="3">
        <f t="shared" si="418"/>
        <v>0</v>
      </c>
      <c r="AA132" s="3">
        <f t="shared" si="418"/>
        <v>0</v>
      </c>
      <c r="AB132" s="3">
        <f t="shared" si="418"/>
        <v>0</v>
      </c>
      <c r="AC132" s="3">
        <f t="shared" si="418"/>
        <v>0</v>
      </c>
      <c r="AD132" s="25">
        <f t="shared" si="418"/>
        <v>0</v>
      </c>
      <c r="AE132" s="398">
        <f t="shared" si="408"/>
        <v>0</v>
      </c>
      <c r="AF132" s="1217">
        <f t="shared" ref="AF132:AQ132" si="419">AF31*AF98*6.5%/1000000</f>
        <v>0</v>
      </c>
      <c r="AG132" s="1050">
        <f t="shared" si="419"/>
        <v>0</v>
      </c>
      <c r="AH132" s="1050">
        <f t="shared" si="419"/>
        <v>0</v>
      </c>
      <c r="AI132" s="1050">
        <f t="shared" si="419"/>
        <v>0</v>
      </c>
      <c r="AJ132" s="1050">
        <f t="shared" si="419"/>
        <v>0</v>
      </c>
      <c r="AK132" s="1050">
        <f t="shared" si="419"/>
        <v>0</v>
      </c>
      <c r="AL132" s="1050">
        <f t="shared" si="419"/>
        <v>0</v>
      </c>
      <c r="AM132" s="1050">
        <f t="shared" si="419"/>
        <v>0</v>
      </c>
      <c r="AN132" s="1050">
        <f t="shared" si="419"/>
        <v>0</v>
      </c>
      <c r="AO132" s="1050">
        <f t="shared" si="419"/>
        <v>0</v>
      </c>
      <c r="AP132" s="1050">
        <f t="shared" si="419"/>
        <v>0</v>
      </c>
      <c r="AQ132" s="1269">
        <f t="shared" si="419"/>
        <v>0</v>
      </c>
      <c r="AR132" s="398">
        <f t="shared" si="410"/>
        <v>0</v>
      </c>
      <c r="AS132" s="918">
        <f t="shared" ref="AS132:BD132" si="420">AS31*AS98*6.5%/1000000</f>
        <v>0</v>
      </c>
      <c r="AT132" s="918">
        <f t="shared" si="420"/>
        <v>0</v>
      </c>
      <c r="AU132" s="918">
        <f t="shared" si="420"/>
        <v>0</v>
      </c>
      <c r="AV132" s="918">
        <f t="shared" si="420"/>
        <v>0</v>
      </c>
      <c r="AW132" s="918">
        <f t="shared" si="420"/>
        <v>0</v>
      </c>
      <c r="AX132" s="918">
        <f t="shared" si="420"/>
        <v>0</v>
      </c>
      <c r="AY132" s="918">
        <f t="shared" si="420"/>
        <v>0</v>
      </c>
      <c r="AZ132" s="918">
        <f t="shared" si="420"/>
        <v>0</v>
      </c>
      <c r="BA132" s="918">
        <f t="shared" si="420"/>
        <v>0</v>
      </c>
      <c r="BB132" s="918">
        <f t="shared" si="420"/>
        <v>0</v>
      </c>
      <c r="BC132" s="918">
        <f t="shared" si="420"/>
        <v>0</v>
      </c>
      <c r="BD132" s="1137">
        <f t="shared" si="420"/>
        <v>0</v>
      </c>
      <c r="BE132" s="937">
        <f t="shared" si="412"/>
        <v>0</v>
      </c>
      <c r="BF132" s="1554">
        <f t="shared" ref="BF132:BQ132" si="421">BF31*BF98*6.5%/1000000</f>
        <v>0</v>
      </c>
      <c r="BG132" s="1555">
        <f t="shared" si="421"/>
        <v>0</v>
      </c>
      <c r="BH132" s="1555">
        <f t="shared" si="421"/>
        <v>0</v>
      </c>
      <c r="BI132" s="1555">
        <f t="shared" si="421"/>
        <v>0</v>
      </c>
      <c r="BJ132" s="1555">
        <f t="shared" si="421"/>
        <v>0</v>
      </c>
      <c r="BK132" s="1555">
        <f t="shared" si="421"/>
        <v>0</v>
      </c>
      <c r="BL132" s="1555">
        <f t="shared" si="421"/>
        <v>0</v>
      </c>
      <c r="BM132" s="1555">
        <f t="shared" si="421"/>
        <v>0</v>
      </c>
      <c r="BN132" s="1555">
        <f t="shared" si="421"/>
        <v>0</v>
      </c>
      <c r="BO132" s="1555">
        <f t="shared" si="421"/>
        <v>0</v>
      </c>
      <c r="BP132" s="1555">
        <f t="shared" si="421"/>
        <v>0</v>
      </c>
      <c r="BQ132" s="1751">
        <f t="shared" si="421"/>
        <v>0</v>
      </c>
      <c r="BR132" s="937">
        <f t="shared" si="414"/>
        <v>0</v>
      </c>
      <c r="BS132" s="1554">
        <f t="shared" ref="BS132:CD132" si="422">BS31*BS98*6.5%/1000000</f>
        <v>0</v>
      </c>
      <c r="BT132" s="1555">
        <f t="shared" si="422"/>
        <v>0</v>
      </c>
      <c r="BU132" s="1555">
        <f t="shared" si="422"/>
        <v>0</v>
      </c>
      <c r="BV132" s="1555">
        <f t="shared" si="422"/>
        <v>0</v>
      </c>
      <c r="BW132" s="1555">
        <f t="shared" si="422"/>
        <v>0</v>
      </c>
      <c r="BX132" s="1555">
        <f t="shared" si="422"/>
        <v>0</v>
      </c>
      <c r="BY132" s="1555">
        <f t="shared" si="422"/>
        <v>0</v>
      </c>
      <c r="BZ132" s="1555">
        <f t="shared" si="422"/>
        <v>0</v>
      </c>
      <c r="CA132" s="1555">
        <f t="shared" si="422"/>
        <v>0</v>
      </c>
      <c r="CB132" s="1555">
        <f t="shared" si="422"/>
        <v>0</v>
      </c>
      <c r="CC132" s="1555">
        <f t="shared" si="422"/>
        <v>0</v>
      </c>
      <c r="CD132" s="2880">
        <f t="shared" si="422"/>
        <v>0</v>
      </c>
      <c r="CE132" s="937">
        <f t="shared" si="416"/>
        <v>0</v>
      </c>
      <c r="CF132" s="1554">
        <f t="shared" ref="CF132:CQ132" si="423">CF31*CF98*6.5%/1000000</f>
        <v>0</v>
      </c>
      <c r="CG132" s="1555">
        <f t="shared" si="423"/>
        <v>0</v>
      </c>
      <c r="CH132" s="1555">
        <f t="shared" si="423"/>
        <v>0</v>
      </c>
      <c r="CI132" s="1555">
        <f t="shared" si="423"/>
        <v>0</v>
      </c>
      <c r="CJ132" s="1555">
        <f t="shared" si="423"/>
        <v>0</v>
      </c>
      <c r="CK132" s="1555">
        <f t="shared" si="423"/>
        <v>0</v>
      </c>
      <c r="CL132" s="1555">
        <f t="shared" si="423"/>
        <v>0</v>
      </c>
      <c r="CM132" s="1555">
        <f t="shared" si="423"/>
        <v>0</v>
      </c>
      <c r="CN132" s="1555">
        <f t="shared" si="423"/>
        <v>0</v>
      </c>
      <c r="CO132" s="1555">
        <f t="shared" si="423"/>
        <v>0</v>
      </c>
      <c r="CP132" s="1555">
        <f t="shared" si="423"/>
        <v>0</v>
      </c>
      <c r="CQ132" s="1751">
        <f t="shared" si="423"/>
        <v>0</v>
      </c>
    </row>
    <row r="133" spans="2:95" ht="17.5" hidden="1" customHeight="1">
      <c r="B133" s="3356"/>
      <c r="C133" s="3351"/>
      <c r="D133" s="201" t="s">
        <v>245</v>
      </c>
      <c r="E133" s="398">
        <f t="shared" si="405"/>
        <v>725.01504033736489</v>
      </c>
      <c r="F133" s="3">
        <v>70.57596966804833</v>
      </c>
      <c r="G133" s="3">
        <v>70.78346527691285</v>
      </c>
      <c r="H133" s="3">
        <v>69.451526552363461</v>
      </c>
      <c r="I133" s="3">
        <v>67.166023448841116</v>
      </c>
      <c r="J133" s="3">
        <v>64.140554387235767</v>
      </c>
      <c r="K133" s="3">
        <v>61.380557648736492</v>
      </c>
      <c r="L133" s="3">
        <v>58.593098256122801</v>
      </c>
      <c r="M133" s="3">
        <v>55.88344971683329</v>
      </c>
      <c r="N133" s="3">
        <v>54.238950584473912</v>
      </c>
      <c r="O133" s="3">
        <v>52.605048332181191</v>
      </c>
      <c r="P133" s="3">
        <v>50.948020726877537</v>
      </c>
      <c r="Q133" s="25">
        <v>49.248375738738261</v>
      </c>
      <c r="R133" s="398">
        <f t="shared" si="406"/>
        <v>0</v>
      </c>
      <c r="S133" s="3">
        <f t="shared" ref="S133:AD133" si="424">S32*S100*6.5%/1000000</f>
        <v>0</v>
      </c>
      <c r="T133" s="3">
        <f t="shared" si="424"/>
        <v>0</v>
      </c>
      <c r="U133" s="3">
        <f t="shared" si="424"/>
        <v>0</v>
      </c>
      <c r="V133" s="3">
        <f t="shared" si="424"/>
        <v>0</v>
      </c>
      <c r="W133" s="3">
        <f t="shared" si="424"/>
        <v>0</v>
      </c>
      <c r="X133" s="3">
        <f t="shared" si="424"/>
        <v>0</v>
      </c>
      <c r="Y133" s="3">
        <f t="shared" si="424"/>
        <v>0</v>
      </c>
      <c r="Z133" s="3">
        <f t="shared" si="424"/>
        <v>0</v>
      </c>
      <c r="AA133" s="3">
        <f t="shared" si="424"/>
        <v>0</v>
      </c>
      <c r="AB133" s="3">
        <f t="shared" si="424"/>
        <v>0</v>
      </c>
      <c r="AC133" s="3">
        <f t="shared" si="424"/>
        <v>0</v>
      </c>
      <c r="AD133" s="25">
        <f t="shared" si="424"/>
        <v>0</v>
      </c>
      <c r="AE133" s="398">
        <f t="shared" si="408"/>
        <v>0</v>
      </c>
      <c r="AF133" s="1217">
        <f t="shared" ref="AF133:AQ133" si="425">AF32*AF100*6.5%/1000000</f>
        <v>0</v>
      </c>
      <c r="AG133" s="1050">
        <f t="shared" si="425"/>
        <v>0</v>
      </c>
      <c r="AH133" s="1050">
        <f t="shared" si="425"/>
        <v>0</v>
      </c>
      <c r="AI133" s="1050">
        <f t="shared" si="425"/>
        <v>0</v>
      </c>
      <c r="AJ133" s="1050">
        <f t="shared" si="425"/>
        <v>0</v>
      </c>
      <c r="AK133" s="1050">
        <f t="shared" si="425"/>
        <v>0</v>
      </c>
      <c r="AL133" s="1050">
        <f t="shared" si="425"/>
        <v>0</v>
      </c>
      <c r="AM133" s="1050">
        <f t="shared" si="425"/>
        <v>0</v>
      </c>
      <c r="AN133" s="1050">
        <f t="shared" si="425"/>
        <v>0</v>
      </c>
      <c r="AO133" s="1050">
        <f t="shared" si="425"/>
        <v>0</v>
      </c>
      <c r="AP133" s="1050">
        <f t="shared" si="425"/>
        <v>0</v>
      </c>
      <c r="AQ133" s="1269">
        <f t="shared" si="425"/>
        <v>0</v>
      </c>
      <c r="AR133" s="398">
        <f t="shared" si="410"/>
        <v>0</v>
      </c>
      <c r="AS133" s="918">
        <f t="shared" ref="AS133:BD133" si="426">AS32*AS100*6.5%/1000000</f>
        <v>0</v>
      </c>
      <c r="AT133" s="918">
        <f t="shared" si="426"/>
        <v>0</v>
      </c>
      <c r="AU133" s="918">
        <f t="shared" si="426"/>
        <v>0</v>
      </c>
      <c r="AV133" s="918">
        <f t="shared" si="426"/>
        <v>0</v>
      </c>
      <c r="AW133" s="918">
        <f t="shared" si="426"/>
        <v>0</v>
      </c>
      <c r="AX133" s="918">
        <f t="shared" si="426"/>
        <v>0</v>
      </c>
      <c r="AY133" s="918">
        <f t="shared" si="426"/>
        <v>0</v>
      </c>
      <c r="AZ133" s="918">
        <f t="shared" si="426"/>
        <v>0</v>
      </c>
      <c r="BA133" s="918">
        <f t="shared" si="426"/>
        <v>0</v>
      </c>
      <c r="BB133" s="918">
        <f t="shared" si="426"/>
        <v>0</v>
      </c>
      <c r="BC133" s="918">
        <f t="shared" si="426"/>
        <v>0</v>
      </c>
      <c r="BD133" s="1137">
        <f t="shared" si="426"/>
        <v>0</v>
      </c>
      <c r="BE133" s="937">
        <f t="shared" si="412"/>
        <v>0</v>
      </c>
      <c r="BF133" s="1554">
        <f t="shared" ref="BF133:BQ133" si="427">BF32*BF100*6.5%/1000000</f>
        <v>0</v>
      </c>
      <c r="BG133" s="1555">
        <f t="shared" si="427"/>
        <v>0</v>
      </c>
      <c r="BH133" s="1555">
        <f t="shared" si="427"/>
        <v>0</v>
      </c>
      <c r="BI133" s="1555">
        <f t="shared" si="427"/>
        <v>0</v>
      </c>
      <c r="BJ133" s="1555">
        <f t="shared" si="427"/>
        <v>0</v>
      </c>
      <c r="BK133" s="1555">
        <f t="shared" si="427"/>
        <v>0</v>
      </c>
      <c r="BL133" s="1555">
        <f t="shared" si="427"/>
        <v>0</v>
      </c>
      <c r="BM133" s="1555">
        <f t="shared" si="427"/>
        <v>0</v>
      </c>
      <c r="BN133" s="1555">
        <f t="shared" si="427"/>
        <v>0</v>
      </c>
      <c r="BO133" s="1555">
        <f t="shared" si="427"/>
        <v>0</v>
      </c>
      <c r="BP133" s="1555">
        <f t="shared" si="427"/>
        <v>0</v>
      </c>
      <c r="BQ133" s="1751">
        <f t="shared" si="427"/>
        <v>0</v>
      </c>
      <c r="BR133" s="937">
        <f t="shared" si="414"/>
        <v>0</v>
      </c>
      <c r="BS133" s="1554">
        <f t="shared" ref="BS133:CD133" si="428">BS32*BS100*6.5%/1000000</f>
        <v>0</v>
      </c>
      <c r="BT133" s="1555">
        <f t="shared" si="428"/>
        <v>0</v>
      </c>
      <c r="BU133" s="1555">
        <f t="shared" si="428"/>
        <v>0</v>
      </c>
      <c r="BV133" s="1555">
        <f t="shared" si="428"/>
        <v>0</v>
      </c>
      <c r="BW133" s="1555">
        <f t="shared" si="428"/>
        <v>0</v>
      </c>
      <c r="BX133" s="1555">
        <f t="shared" si="428"/>
        <v>0</v>
      </c>
      <c r="BY133" s="1555">
        <f t="shared" si="428"/>
        <v>0</v>
      </c>
      <c r="BZ133" s="1555">
        <f t="shared" si="428"/>
        <v>0</v>
      </c>
      <c r="CA133" s="1555">
        <f t="shared" si="428"/>
        <v>0</v>
      </c>
      <c r="CB133" s="1555">
        <f t="shared" si="428"/>
        <v>0</v>
      </c>
      <c r="CC133" s="1555">
        <f t="shared" si="428"/>
        <v>0</v>
      </c>
      <c r="CD133" s="2880">
        <f t="shared" si="428"/>
        <v>0</v>
      </c>
      <c r="CE133" s="937">
        <f t="shared" si="416"/>
        <v>0</v>
      </c>
      <c r="CF133" s="1554">
        <f t="shared" ref="CF133:CQ133" si="429">CF32*CF100*6.5%/1000000</f>
        <v>0</v>
      </c>
      <c r="CG133" s="1555">
        <f t="shared" si="429"/>
        <v>0</v>
      </c>
      <c r="CH133" s="1555">
        <f t="shared" si="429"/>
        <v>0</v>
      </c>
      <c r="CI133" s="1555">
        <f t="shared" si="429"/>
        <v>0</v>
      </c>
      <c r="CJ133" s="1555">
        <f t="shared" si="429"/>
        <v>0</v>
      </c>
      <c r="CK133" s="1555">
        <f t="shared" si="429"/>
        <v>0</v>
      </c>
      <c r="CL133" s="1555">
        <f t="shared" si="429"/>
        <v>0</v>
      </c>
      <c r="CM133" s="1555">
        <f t="shared" si="429"/>
        <v>0</v>
      </c>
      <c r="CN133" s="1555">
        <f t="shared" si="429"/>
        <v>0</v>
      </c>
      <c r="CO133" s="1555">
        <f t="shared" si="429"/>
        <v>0</v>
      </c>
      <c r="CP133" s="1555">
        <f t="shared" si="429"/>
        <v>0</v>
      </c>
      <c r="CQ133" s="1751">
        <f t="shared" si="429"/>
        <v>0</v>
      </c>
    </row>
    <row r="134" spans="2:95" ht="17.5" hidden="1" customHeight="1">
      <c r="B134" s="3356"/>
      <c r="C134" s="3351"/>
      <c r="D134" s="201" t="s">
        <v>681</v>
      </c>
      <c r="E134" s="398">
        <f t="shared" si="405"/>
        <v>3315.7905515457155</v>
      </c>
      <c r="F134" s="3">
        <v>285.17478918679666</v>
      </c>
      <c r="G134" s="3">
        <v>290.52936506745914</v>
      </c>
      <c r="H134" s="3">
        <v>289.38488862523451</v>
      </c>
      <c r="I134" s="3">
        <v>283.50340879209784</v>
      </c>
      <c r="J134" s="3">
        <v>286.89749139504812</v>
      </c>
      <c r="K134" s="3">
        <v>284.54695233433563</v>
      </c>
      <c r="L134" s="3">
        <v>284.0970311021905</v>
      </c>
      <c r="M134" s="3">
        <v>283.38707934804512</v>
      </c>
      <c r="N134" s="3">
        <v>273.07552047864368</v>
      </c>
      <c r="O134" s="3">
        <v>262.2494591105222</v>
      </c>
      <c r="P134" s="3">
        <v>251.70830611365298</v>
      </c>
      <c r="Q134" s="25">
        <v>241.23625999168885</v>
      </c>
      <c r="R134" s="398">
        <f t="shared" si="406"/>
        <v>0</v>
      </c>
      <c r="S134" s="3">
        <f t="shared" ref="S134:AD134" si="430">S33*S101*6.5%/1000000</f>
        <v>0</v>
      </c>
      <c r="T134" s="3">
        <f t="shared" si="430"/>
        <v>0</v>
      </c>
      <c r="U134" s="3">
        <f t="shared" si="430"/>
        <v>0</v>
      </c>
      <c r="V134" s="3">
        <f t="shared" si="430"/>
        <v>0</v>
      </c>
      <c r="W134" s="3">
        <f t="shared" si="430"/>
        <v>0</v>
      </c>
      <c r="X134" s="3">
        <f t="shared" si="430"/>
        <v>0</v>
      </c>
      <c r="Y134" s="3">
        <f t="shared" si="430"/>
        <v>0</v>
      </c>
      <c r="Z134" s="3">
        <f t="shared" si="430"/>
        <v>0</v>
      </c>
      <c r="AA134" s="3">
        <f t="shared" si="430"/>
        <v>0</v>
      </c>
      <c r="AB134" s="3">
        <f t="shared" si="430"/>
        <v>0</v>
      </c>
      <c r="AC134" s="3">
        <f t="shared" si="430"/>
        <v>0</v>
      </c>
      <c r="AD134" s="25">
        <f t="shared" si="430"/>
        <v>0</v>
      </c>
      <c r="AE134" s="398">
        <f t="shared" si="408"/>
        <v>0</v>
      </c>
      <c r="AF134" s="1217">
        <f t="shared" ref="AF134:AQ134" si="431">AF33*AF101*6.5%/1000000</f>
        <v>0</v>
      </c>
      <c r="AG134" s="1050">
        <f t="shared" si="431"/>
        <v>0</v>
      </c>
      <c r="AH134" s="1050">
        <f t="shared" si="431"/>
        <v>0</v>
      </c>
      <c r="AI134" s="1050">
        <f t="shared" si="431"/>
        <v>0</v>
      </c>
      <c r="AJ134" s="1050">
        <f t="shared" si="431"/>
        <v>0</v>
      </c>
      <c r="AK134" s="1050">
        <f t="shared" si="431"/>
        <v>0</v>
      </c>
      <c r="AL134" s="1050">
        <f t="shared" si="431"/>
        <v>0</v>
      </c>
      <c r="AM134" s="1050">
        <f t="shared" si="431"/>
        <v>0</v>
      </c>
      <c r="AN134" s="1050">
        <f t="shared" si="431"/>
        <v>0</v>
      </c>
      <c r="AO134" s="1050">
        <f t="shared" si="431"/>
        <v>0</v>
      </c>
      <c r="AP134" s="1050">
        <f t="shared" si="431"/>
        <v>0</v>
      </c>
      <c r="AQ134" s="1269">
        <f t="shared" si="431"/>
        <v>0</v>
      </c>
      <c r="AR134" s="398">
        <f t="shared" si="410"/>
        <v>0</v>
      </c>
      <c r="AS134" s="918">
        <f t="shared" ref="AS134:BD134" si="432">AS33*AS101*6.5%/1000000</f>
        <v>0</v>
      </c>
      <c r="AT134" s="918">
        <f t="shared" si="432"/>
        <v>0</v>
      </c>
      <c r="AU134" s="918">
        <f t="shared" si="432"/>
        <v>0</v>
      </c>
      <c r="AV134" s="918">
        <f t="shared" si="432"/>
        <v>0</v>
      </c>
      <c r="AW134" s="918">
        <f t="shared" si="432"/>
        <v>0</v>
      </c>
      <c r="AX134" s="918">
        <f t="shared" si="432"/>
        <v>0</v>
      </c>
      <c r="AY134" s="918">
        <f t="shared" si="432"/>
        <v>0</v>
      </c>
      <c r="AZ134" s="918">
        <f t="shared" si="432"/>
        <v>0</v>
      </c>
      <c r="BA134" s="918">
        <f t="shared" si="432"/>
        <v>0</v>
      </c>
      <c r="BB134" s="918">
        <f t="shared" si="432"/>
        <v>0</v>
      </c>
      <c r="BC134" s="918">
        <f t="shared" si="432"/>
        <v>0</v>
      </c>
      <c r="BD134" s="1137">
        <f t="shared" si="432"/>
        <v>0</v>
      </c>
      <c r="BE134" s="937">
        <f t="shared" si="412"/>
        <v>0</v>
      </c>
      <c r="BF134" s="1554">
        <f t="shared" ref="BF134:BQ134" si="433">BF33*BF101*6.5%/1000000</f>
        <v>0</v>
      </c>
      <c r="BG134" s="1555">
        <f t="shared" si="433"/>
        <v>0</v>
      </c>
      <c r="BH134" s="1555">
        <f t="shared" si="433"/>
        <v>0</v>
      </c>
      <c r="BI134" s="1555">
        <f t="shared" si="433"/>
        <v>0</v>
      </c>
      <c r="BJ134" s="1555">
        <f t="shared" si="433"/>
        <v>0</v>
      </c>
      <c r="BK134" s="1555">
        <f t="shared" si="433"/>
        <v>0</v>
      </c>
      <c r="BL134" s="1555">
        <f t="shared" si="433"/>
        <v>0</v>
      </c>
      <c r="BM134" s="1555">
        <f t="shared" si="433"/>
        <v>0</v>
      </c>
      <c r="BN134" s="1555">
        <f t="shared" si="433"/>
        <v>0</v>
      </c>
      <c r="BO134" s="1555">
        <f t="shared" si="433"/>
        <v>0</v>
      </c>
      <c r="BP134" s="1555">
        <f t="shared" si="433"/>
        <v>0</v>
      </c>
      <c r="BQ134" s="1751">
        <f t="shared" si="433"/>
        <v>0</v>
      </c>
      <c r="BR134" s="937">
        <f t="shared" si="414"/>
        <v>0</v>
      </c>
      <c r="BS134" s="1554">
        <f t="shared" ref="BS134:CD134" si="434">BS33*BS101*6.5%/1000000</f>
        <v>0</v>
      </c>
      <c r="BT134" s="1555">
        <f t="shared" si="434"/>
        <v>0</v>
      </c>
      <c r="BU134" s="1555">
        <f t="shared" si="434"/>
        <v>0</v>
      </c>
      <c r="BV134" s="1555">
        <f t="shared" si="434"/>
        <v>0</v>
      </c>
      <c r="BW134" s="1555">
        <f t="shared" si="434"/>
        <v>0</v>
      </c>
      <c r="BX134" s="1555">
        <f t="shared" si="434"/>
        <v>0</v>
      </c>
      <c r="BY134" s="1555">
        <f t="shared" si="434"/>
        <v>0</v>
      </c>
      <c r="BZ134" s="1555">
        <f t="shared" si="434"/>
        <v>0</v>
      </c>
      <c r="CA134" s="1555">
        <f t="shared" si="434"/>
        <v>0</v>
      </c>
      <c r="CB134" s="1555">
        <f t="shared" si="434"/>
        <v>0</v>
      </c>
      <c r="CC134" s="1555">
        <f t="shared" si="434"/>
        <v>0</v>
      </c>
      <c r="CD134" s="2880">
        <f t="shared" si="434"/>
        <v>0</v>
      </c>
      <c r="CE134" s="937">
        <f t="shared" si="416"/>
        <v>0</v>
      </c>
      <c r="CF134" s="1554">
        <f t="shared" ref="CF134:CQ134" si="435">CF33*CF101*6.5%/1000000</f>
        <v>0</v>
      </c>
      <c r="CG134" s="1555">
        <f t="shared" si="435"/>
        <v>0</v>
      </c>
      <c r="CH134" s="1555">
        <f t="shared" si="435"/>
        <v>0</v>
      </c>
      <c r="CI134" s="1555">
        <f t="shared" si="435"/>
        <v>0</v>
      </c>
      <c r="CJ134" s="1555">
        <f t="shared" si="435"/>
        <v>0</v>
      </c>
      <c r="CK134" s="1555">
        <f t="shared" si="435"/>
        <v>0</v>
      </c>
      <c r="CL134" s="1555">
        <f t="shared" si="435"/>
        <v>0</v>
      </c>
      <c r="CM134" s="1555">
        <f t="shared" si="435"/>
        <v>0</v>
      </c>
      <c r="CN134" s="1555">
        <f t="shared" si="435"/>
        <v>0</v>
      </c>
      <c r="CO134" s="1555">
        <f t="shared" si="435"/>
        <v>0</v>
      </c>
      <c r="CP134" s="1555">
        <f t="shared" si="435"/>
        <v>0</v>
      </c>
      <c r="CQ134" s="1751">
        <f t="shared" si="435"/>
        <v>0</v>
      </c>
    </row>
    <row r="135" spans="2:95" ht="17.5" hidden="1" customHeight="1">
      <c r="B135" s="3356"/>
      <c r="C135" s="3351"/>
      <c r="D135" s="201" t="s">
        <v>333</v>
      </c>
      <c r="E135" s="398">
        <f t="shared" si="405"/>
        <v>554.71068671619105</v>
      </c>
      <c r="F135" s="3">
        <v>61.027780040308556</v>
      </c>
      <c r="G135" s="3">
        <v>60.170426966886453</v>
      </c>
      <c r="H135" s="3">
        <v>56.868585808849474</v>
      </c>
      <c r="I135" s="3">
        <v>53.977598749454593</v>
      </c>
      <c r="J135" s="3">
        <v>50.880246617682396</v>
      </c>
      <c r="K135" s="3">
        <v>47.764134024784994</v>
      </c>
      <c r="L135" s="3">
        <v>44.422895898385072</v>
      </c>
      <c r="M135" s="3">
        <v>40.967218959121368</v>
      </c>
      <c r="N135" s="3">
        <v>38.314177411402881</v>
      </c>
      <c r="O135" s="3">
        <v>35.707471514416234</v>
      </c>
      <c r="P135" s="3">
        <v>33.40581733771976</v>
      </c>
      <c r="Q135" s="25">
        <v>31.204333387179261</v>
      </c>
      <c r="R135" s="398">
        <f t="shared" si="406"/>
        <v>0</v>
      </c>
      <c r="S135" s="3">
        <f t="shared" ref="S135:AD135" si="436">S34*S102*6.5%/1000000</f>
        <v>0</v>
      </c>
      <c r="T135" s="3">
        <f t="shared" si="436"/>
        <v>0</v>
      </c>
      <c r="U135" s="3">
        <f t="shared" si="436"/>
        <v>0</v>
      </c>
      <c r="V135" s="3">
        <f t="shared" si="436"/>
        <v>0</v>
      </c>
      <c r="W135" s="3">
        <f t="shared" si="436"/>
        <v>0</v>
      </c>
      <c r="X135" s="3">
        <f t="shared" si="436"/>
        <v>0</v>
      </c>
      <c r="Y135" s="3">
        <f t="shared" si="436"/>
        <v>0</v>
      </c>
      <c r="Z135" s="3">
        <f t="shared" si="436"/>
        <v>0</v>
      </c>
      <c r="AA135" s="3">
        <f t="shared" si="436"/>
        <v>0</v>
      </c>
      <c r="AB135" s="3">
        <f t="shared" si="436"/>
        <v>0</v>
      </c>
      <c r="AC135" s="3">
        <f t="shared" si="436"/>
        <v>0</v>
      </c>
      <c r="AD135" s="25">
        <f t="shared" si="436"/>
        <v>0</v>
      </c>
      <c r="AE135" s="398">
        <f t="shared" si="408"/>
        <v>0</v>
      </c>
      <c r="AF135" s="1217">
        <f t="shared" ref="AF135:AQ135" si="437">AF34*AF102*6.5%/1000000</f>
        <v>0</v>
      </c>
      <c r="AG135" s="1050">
        <f t="shared" si="437"/>
        <v>0</v>
      </c>
      <c r="AH135" s="1050">
        <f t="shared" si="437"/>
        <v>0</v>
      </c>
      <c r="AI135" s="1050">
        <f t="shared" si="437"/>
        <v>0</v>
      </c>
      <c r="AJ135" s="1050">
        <f t="shared" si="437"/>
        <v>0</v>
      </c>
      <c r="AK135" s="1050">
        <f t="shared" si="437"/>
        <v>0</v>
      </c>
      <c r="AL135" s="1050">
        <f t="shared" si="437"/>
        <v>0</v>
      </c>
      <c r="AM135" s="1050">
        <f t="shared" si="437"/>
        <v>0</v>
      </c>
      <c r="AN135" s="1050">
        <f t="shared" si="437"/>
        <v>0</v>
      </c>
      <c r="AO135" s="1050">
        <f t="shared" si="437"/>
        <v>0</v>
      </c>
      <c r="AP135" s="1050">
        <f t="shared" si="437"/>
        <v>0</v>
      </c>
      <c r="AQ135" s="1269">
        <f t="shared" si="437"/>
        <v>0</v>
      </c>
      <c r="AR135" s="398">
        <f t="shared" si="410"/>
        <v>0</v>
      </c>
      <c r="AS135" s="918">
        <f t="shared" ref="AS135:BD135" si="438">AS34*AS102*6.5%/1000000</f>
        <v>0</v>
      </c>
      <c r="AT135" s="918">
        <f t="shared" si="438"/>
        <v>0</v>
      </c>
      <c r="AU135" s="918">
        <f t="shared" si="438"/>
        <v>0</v>
      </c>
      <c r="AV135" s="918">
        <f t="shared" si="438"/>
        <v>0</v>
      </c>
      <c r="AW135" s="918">
        <f t="shared" si="438"/>
        <v>0</v>
      </c>
      <c r="AX135" s="918">
        <f t="shared" si="438"/>
        <v>0</v>
      </c>
      <c r="AY135" s="918">
        <f t="shared" si="438"/>
        <v>0</v>
      </c>
      <c r="AZ135" s="918">
        <f t="shared" si="438"/>
        <v>0</v>
      </c>
      <c r="BA135" s="918">
        <f t="shared" si="438"/>
        <v>0</v>
      </c>
      <c r="BB135" s="918">
        <f t="shared" si="438"/>
        <v>0</v>
      </c>
      <c r="BC135" s="918">
        <f t="shared" si="438"/>
        <v>0</v>
      </c>
      <c r="BD135" s="1137">
        <f t="shared" si="438"/>
        <v>0</v>
      </c>
      <c r="BE135" s="937">
        <f t="shared" si="412"/>
        <v>0</v>
      </c>
      <c r="BF135" s="1554">
        <f t="shared" ref="BF135:BQ135" si="439">BF34*BF102*6.5%/1000000</f>
        <v>0</v>
      </c>
      <c r="BG135" s="1555">
        <f t="shared" si="439"/>
        <v>0</v>
      </c>
      <c r="BH135" s="1555">
        <f t="shared" si="439"/>
        <v>0</v>
      </c>
      <c r="BI135" s="1555">
        <f t="shared" si="439"/>
        <v>0</v>
      </c>
      <c r="BJ135" s="1555">
        <f t="shared" si="439"/>
        <v>0</v>
      </c>
      <c r="BK135" s="1555">
        <f t="shared" si="439"/>
        <v>0</v>
      </c>
      <c r="BL135" s="1555">
        <f t="shared" si="439"/>
        <v>0</v>
      </c>
      <c r="BM135" s="1555">
        <f t="shared" si="439"/>
        <v>0</v>
      </c>
      <c r="BN135" s="1555">
        <f t="shared" si="439"/>
        <v>0</v>
      </c>
      <c r="BO135" s="1555">
        <f t="shared" si="439"/>
        <v>0</v>
      </c>
      <c r="BP135" s="1555">
        <f t="shared" si="439"/>
        <v>0</v>
      </c>
      <c r="BQ135" s="1751">
        <f t="shared" si="439"/>
        <v>0</v>
      </c>
      <c r="BR135" s="937">
        <f t="shared" si="414"/>
        <v>0</v>
      </c>
      <c r="BS135" s="1554">
        <f t="shared" ref="BS135:CD135" si="440">BS34*BS102*6.5%/1000000</f>
        <v>0</v>
      </c>
      <c r="BT135" s="1555">
        <f t="shared" si="440"/>
        <v>0</v>
      </c>
      <c r="BU135" s="1555">
        <f t="shared" si="440"/>
        <v>0</v>
      </c>
      <c r="BV135" s="1555">
        <f t="shared" si="440"/>
        <v>0</v>
      </c>
      <c r="BW135" s="1555">
        <f t="shared" si="440"/>
        <v>0</v>
      </c>
      <c r="BX135" s="1555">
        <f t="shared" si="440"/>
        <v>0</v>
      </c>
      <c r="BY135" s="1555">
        <f t="shared" si="440"/>
        <v>0</v>
      </c>
      <c r="BZ135" s="1555">
        <f t="shared" si="440"/>
        <v>0</v>
      </c>
      <c r="CA135" s="1555">
        <f t="shared" si="440"/>
        <v>0</v>
      </c>
      <c r="CB135" s="1555">
        <f t="shared" si="440"/>
        <v>0</v>
      </c>
      <c r="CC135" s="1555">
        <f t="shared" si="440"/>
        <v>0</v>
      </c>
      <c r="CD135" s="2880">
        <f t="shared" si="440"/>
        <v>0</v>
      </c>
      <c r="CE135" s="937">
        <f t="shared" si="416"/>
        <v>0</v>
      </c>
      <c r="CF135" s="1554">
        <f t="shared" ref="CF135:CQ135" si="441">CF34*CF102*6.5%/1000000</f>
        <v>0</v>
      </c>
      <c r="CG135" s="1555">
        <f t="shared" si="441"/>
        <v>0</v>
      </c>
      <c r="CH135" s="1555">
        <f t="shared" si="441"/>
        <v>0</v>
      </c>
      <c r="CI135" s="1555">
        <f t="shared" si="441"/>
        <v>0</v>
      </c>
      <c r="CJ135" s="1555">
        <f t="shared" si="441"/>
        <v>0</v>
      </c>
      <c r="CK135" s="1555">
        <f t="shared" si="441"/>
        <v>0</v>
      </c>
      <c r="CL135" s="1555">
        <f t="shared" si="441"/>
        <v>0</v>
      </c>
      <c r="CM135" s="1555">
        <f t="shared" si="441"/>
        <v>0</v>
      </c>
      <c r="CN135" s="1555">
        <f t="shared" si="441"/>
        <v>0</v>
      </c>
      <c r="CO135" s="1555">
        <f t="shared" si="441"/>
        <v>0</v>
      </c>
      <c r="CP135" s="1555">
        <f t="shared" si="441"/>
        <v>0</v>
      </c>
      <c r="CQ135" s="1751">
        <f t="shared" si="441"/>
        <v>0</v>
      </c>
    </row>
    <row r="136" spans="2:95" ht="17.5" hidden="1" customHeight="1">
      <c r="B136" s="3356"/>
      <c r="C136" s="3351"/>
      <c r="D136" s="202" t="s">
        <v>248</v>
      </c>
      <c r="E136" s="401">
        <f t="shared" si="405"/>
        <v>2095.8657776593327</v>
      </c>
      <c r="F136" s="17">
        <v>173.64452618643344</v>
      </c>
      <c r="G136" s="17">
        <v>175.32604122943678</v>
      </c>
      <c r="H136" s="17">
        <v>174.7804490675278</v>
      </c>
      <c r="I136" s="17">
        <v>173.46920923840665</v>
      </c>
      <c r="J136" s="17">
        <v>174.51856482981154</v>
      </c>
      <c r="K136" s="17">
        <v>175.85963036378371</v>
      </c>
      <c r="L136" s="17">
        <v>177.45930658250069</v>
      </c>
      <c r="M136" s="17">
        <v>178.36244347451398</v>
      </c>
      <c r="N136" s="17">
        <v>177.27740461914044</v>
      </c>
      <c r="O136" s="17">
        <v>174.15834788906341</v>
      </c>
      <c r="P136" s="17">
        <v>171.19472983727417</v>
      </c>
      <c r="Q136" s="134">
        <v>169.81512434143994</v>
      </c>
      <c r="R136" s="401">
        <f t="shared" si="406"/>
        <v>0</v>
      </c>
      <c r="S136" s="17">
        <f t="shared" ref="S136:AD136" si="442">S35*S103*6.5%/1000000</f>
        <v>0</v>
      </c>
      <c r="T136" s="17">
        <f t="shared" si="442"/>
        <v>0</v>
      </c>
      <c r="U136" s="17">
        <f t="shared" si="442"/>
        <v>0</v>
      </c>
      <c r="V136" s="17">
        <f t="shared" si="442"/>
        <v>0</v>
      </c>
      <c r="W136" s="17">
        <f t="shared" si="442"/>
        <v>0</v>
      </c>
      <c r="X136" s="17">
        <f t="shared" si="442"/>
        <v>0</v>
      </c>
      <c r="Y136" s="17">
        <f t="shared" si="442"/>
        <v>0</v>
      </c>
      <c r="Z136" s="17">
        <f t="shared" si="442"/>
        <v>0</v>
      </c>
      <c r="AA136" s="17">
        <f t="shared" si="442"/>
        <v>0</v>
      </c>
      <c r="AB136" s="17">
        <f t="shared" si="442"/>
        <v>0</v>
      </c>
      <c r="AC136" s="17">
        <f t="shared" si="442"/>
        <v>0</v>
      </c>
      <c r="AD136" s="134">
        <f t="shared" si="442"/>
        <v>0</v>
      </c>
      <c r="AE136" s="401">
        <f t="shared" si="408"/>
        <v>0</v>
      </c>
      <c r="AF136" s="1270">
        <f t="shared" ref="AF136:AQ136" si="443">AF35*AF103*6.5%/1000000</f>
        <v>0</v>
      </c>
      <c r="AG136" s="1271">
        <f t="shared" si="443"/>
        <v>0</v>
      </c>
      <c r="AH136" s="1271">
        <f t="shared" si="443"/>
        <v>0</v>
      </c>
      <c r="AI136" s="1271">
        <f t="shared" si="443"/>
        <v>0</v>
      </c>
      <c r="AJ136" s="1271">
        <f t="shared" si="443"/>
        <v>0</v>
      </c>
      <c r="AK136" s="1271">
        <f t="shared" si="443"/>
        <v>0</v>
      </c>
      <c r="AL136" s="1271">
        <f t="shared" si="443"/>
        <v>0</v>
      </c>
      <c r="AM136" s="1271">
        <f t="shared" si="443"/>
        <v>0</v>
      </c>
      <c r="AN136" s="1271">
        <f t="shared" si="443"/>
        <v>0</v>
      </c>
      <c r="AO136" s="1271">
        <f t="shared" si="443"/>
        <v>0</v>
      </c>
      <c r="AP136" s="1271">
        <f t="shared" si="443"/>
        <v>0</v>
      </c>
      <c r="AQ136" s="1272">
        <f t="shared" si="443"/>
        <v>0</v>
      </c>
      <c r="AR136" s="401">
        <f t="shared" si="410"/>
        <v>0</v>
      </c>
      <c r="AS136" s="917">
        <f t="shared" ref="AS136:BD136" si="444">AS35*AS103*6.5%/1000000</f>
        <v>0</v>
      </c>
      <c r="AT136" s="917">
        <f t="shared" si="444"/>
        <v>0</v>
      </c>
      <c r="AU136" s="917">
        <f t="shared" si="444"/>
        <v>0</v>
      </c>
      <c r="AV136" s="917">
        <f t="shared" si="444"/>
        <v>0</v>
      </c>
      <c r="AW136" s="917">
        <f t="shared" si="444"/>
        <v>0</v>
      </c>
      <c r="AX136" s="917">
        <f t="shared" si="444"/>
        <v>0</v>
      </c>
      <c r="AY136" s="917">
        <f t="shared" si="444"/>
        <v>0</v>
      </c>
      <c r="AZ136" s="917">
        <f t="shared" si="444"/>
        <v>0</v>
      </c>
      <c r="BA136" s="917">
        <f t="shared" si="444"/>
        <v>0</v>
      </c>
      <c r="BB136" s="917">
        <f t="shared" si="444"/>
        <v>0</v>
      </c>
      <c r="BC136" s="917">
        <f t="shared" si="444"/>
        <v>0</v>
      </c>
      <c r="BD136" s="1446">
        <f t="shared" si="444"/>
        <v>0</v>
      </c>
      <c r="BE136" s="938">
        <f t="shared" si="412"/>
        <v>0</v>
      </c>
      <c r="BF136" s="1556">
        <f t="shared" ref="BF136:BQ136" si="445">BF35*BF103*6.5%/1000000</f>
        <v>0</v>
      </c>
      <c r="BG136" s="1557">
        <f t="shared" si="445"/>
        <v>0</v>
      </c>
      <c r="BH136" s="1557">
        <f t="shared" si="445"/>
        <v>0</v>
      </c>
      <c r="BI136" s="1557">
        <f t="shared" si="445"/>
        <v>0</v>
      </c>
      <c r="BJ136" s="1557">
        <f t="shared" si="445"/>
        <v>0</v>
      </c>
      <c r="BK136" s="1557">
        <f t="shared" si="445"/>
        <v>0</v>
      </c>
      <c r="BL136" s="1557">
        <f t="shared" si="445"/>
        <v>0</v>
      </c>
      <c r="BM136" s="1557">
        <f t="shared" si="445"/>
        <v>0</v>
      </c>
      <c r="BN136" s="1557">
        <f t="shared" si="445"/>
        <v>0</v>
      </c>
      <c r="BO136" s="1557">
        <f t="shared" si="445"/>
        <v>0</v>
      </c>
      <c r="BP136" s="1557">
        <f t="shared" si="445"/>
        <v>0</v>
      </c>
      <c r="BQ136" s="1752">
        <f t="shared" si="445"/>
        <v>0</v>
      </c>
      <c r="BR136" s="938">
        <f t="shared" si="414"/>
        <v>0</v>
      </c>
      <c r="BS136" s="1556">
        <f t="shared" ref="BS136:CD136" si="446">BS35*BS103*6.5%/1000000</f>
        <v>0</v>
      </c>
      <c r="BT136" s="1557">
        <f t="shared" si="446"/>
        <v>0</v>
      </c>
      <c r="BU136" s="1557">
        <f t="shared" si="446"/>
        <v>0</v>
      </c>
      <c r="BV136" s="1557">
        <f t="shared" si="446"/>
        <v>0</v>
      </c>
      <c r="BW136" s="1557">
        <f t="shared" si="446"/>
        <v>0</v>
      </c>
      <c r="BX136" s="1557">
        <f t="shared" si="446"/>
        <v>0</v>
      </c>
      <c r="BY136" s="1557">
        <f t="shared" si="446"/>
        <v>0</v>
      </c>
      <c r="BZ136" s="1557">
        <f t="shared" si="446"/>
        <v>0</v>
      </c>
      <c r="CA136" s="1557">
        <f t="shared" si="446"/>
        <v>0</v>
      </c>
      <c r="CB136" s="1557">
        <f t="shared" si="446"/>
        <v>0</v>
      </c>
      <c r="CC136" s="1557">
        <f t="shared" si="446"/>
        <v>0</v>
      </c>
      <c r="CD136" s="2881">
        <f t="shared" si="446"/>
        <v>0</v>
      </c>
      <c r="CE136" s="938">
        <f t="shared" si="416"/>
        <v>0</v>
      </c>
      <c r="CF136" s="1556">
        <f t="shared" ref="CF136:CQ136" si="447">CF35*CF103*6.5%/1000000</f>
        <v>0</v>
      </c>
      <c r="CG136" s="1557">
        <f t="shared" si="447"/>
        <v>0</v>
      </c>
      <c r="CH136" s="1557">
        <f t="shared" si="447"/>
        <v>0</v>
      </c>
      <c r="CI136" s="1557">
        <f t="shared" si="447"/>
        <v>0</v>
      </c>
      <c r="CJ136" s="1557">
        <f t="shared" si="447"/>
        <v>0</v>
      </c>
      <c r="CK136" s="1557">
        <f t="shared" si="447"/>
        <v>0</v>
      </c>
      <c r="CL136" s="1557">
        <f t="shared" si="447"/>
        <v>0</v>
      </c>
      <c r="CM136" s="1557">
        <f t="shared" si="447"/>
        <v>0</v>
      </c>
      <c r="CN136" s="1557">
        <f t="shared" si="447"/>
        <v>0</v>
      </c>
      <c r="CO136" s="1557">
        <f t="shared" si="447"/>
        <v>0</v>
      </c>
      <c r="CP136" s="1557">
        <f t="shared" si="447"/>
        <v>0</v>
      </c>
      <c r="CQ136" s="1752">
        <f t="shared" si="447"/>
        <v>0</v>
      </c>
    </row>
    <row r="137" spans="2:95" ht="17.5" hidden="1" customHeight="1">
      <c r="B137" s="3356"/>
      <c r="C137" s="3351"/>
      <c r="D137" s="203" t="s">
        <v>57</v>
      </c>
      <c r="E137" s="399">
        <f t="shared" si="405"/>
        <v>3459.3614978608412</v>
      </c>
      <c r="F137" s="6">
        <v>300.56678777451344</v>
      </c>
      <c r="G137" s="6">
        <v>305.111683962065</v>
      </c>
      <c r="H137" s="6">
        <v>302.10261327908478</v>
      </c>
      <c r="I137" s="6">
        <v>294.9410772038637</v>
      </c>
      <c r="J137" s="6">
        <v>295.64510587319177</v>
      </c>
      <c r="K137" s="6">
        <v>293.75074724998115</v>
      </c>
      <c r="L137" s="6">
        <v>291.88116000587644</v>
      </c>
      <c r="M137" s="6">
        <v>288.72606856185035</v>
      </c>
      <c r="N137" s="6">
        <v>281.62462982145132</v>
      </c>
      <c r="O137" s="6">
        <v>275.04464145591191</v>
      </c>
      <c r="P137" s="6">
        <v>268.28688313986891</v>
      </c>
      <c r="Q137" s="100">
        <v>261.6800995331821</v>
      </c>
      <c r="R137" s="399">
        <f t="shared" si="406"/>
        <v>0</v>
      </c>
      <c r="S137" s="6">
        <f t="shared" ref="S137:AD137" si="448">S36*S104*6.5%/1000000</f>
        <v>0</v>
      </c>
      <c r="T137" s="6">
        <f t="shared" si="448"/>
        <v>0</v>
      </c>
      <c r="U137" s="6">
        <f t="shared" si="448"/>
        <v>0</v>
      </c>
      <c r="V137" s="6">
        <f t="shared" si="448"/>
        <v>0</v>
      </c>
      <c r="W137" s="6">
        <f t="shared" si="448"/>
        <v>0</v>
      </c>
      <c r="X137" s="6">
        <f t="shared" si="448"/>
        <v>0</v>
      </c>
      <c r="Y137" s="6">
        <f t="shared" si="448"/>
        <v>0</v>
      </c>
      <c r="Z137" s="6">
        <f t="shared" si="448"/>
        <v>0</v>
      </c>
      <c r="AA137" s="6">
        <f t="shared" si="448"/>
        <v>0</v>
      </c>
      <c r="AB137" s="6">
        <f t="shared" si="448"/>
        <v>0</v>
      </c>
      <c r="AC137" s="6">
        <f t="shared" si="448"/>
        <v>0</v>
      </c>
      <c r="AD137" s="100">
        <f t="shared" si="448"/>
        <v>0</v>
      </c>
      <c r="AE137" s="399">
        <f t="shared" si="408"/>
        <v>0</v>
      </c>
      <c r="AF137" s="1273">
        <f t="shared" ref="AF137:AQ137" si="449">AF36*AF104*6.5%/1000000</f>
        <v>0</v>
      </c>
      <c r="AG137" s="1196">
        <f t="shared" si="449"/>
        <v>0</v>
      </c>
      <c r="AH137" s="1196">
        <f t="shared" si="449"/>
        <v>0</v>
      </c>
      <c r="AI137" s="1196">
        <f t="shared" si="449"/>
        <v>0</v>
      </c>
      <c r="AJ137" s="1196">
        <f t="shared" si="449"/>
        <v>0</v>
      </c>
      <c r="AK137" s="1196">
        <f t="shared" si="449"/>
        <v>0</v>
      </c>
      <c r="AL137" s="1196">
        <f t="shared" si="449"/>
        <v>0</v>
      </c>
      <c r="AM137" s="1196">
        <f t="shared" si="449"/>
        <v>0</v>
      </c>
      <c r="AN137" s="1196">
        <f t="shared" si="449"/>
        <v>0</v>
      </c>
      <c r="AO137" s="1196">
        <f t="shared" si="449"/>
        <v>0</v>
      </c>
      <c r="AP137" s="1196">
        <f t="shared" si="449"/>
        <v>0</v>
      </c>
      <c r="AQ137" s="1274">
        <f t="shared" si="449"/>
        <v>0</v>
      </c>
      <c r="AR137" s="399">
        <f t="shared" si="410"/>
        <v>0</v>
      </c>
      <c r="AS137" s="919">
        <f t="shared" ref="AS137:BD137" si="450">AS36*AS104*6.5%/1000000</f>
        <v>0</v>
      </c>
      <c r="AT137" s="919">
        <f t="shared" si="450"/>
        <v>0</v>
      </c>
      <c r="AU137" s="919">
        <f t="shared" si="450"/>
        <v>0</v>
      </c>
      <c r="AV137" s="919">
        <f t="shared" si="450"/>
        <v>0</v>
      </c>
      <c r="AW137" s="919">
        <f t="shared" si="450"/>
        <v>0</v>
      </c>
      <c r="AX137" s="919">
        <f t="shared" si="450"/>
        <v>0</v>
      </c>
      <c r="AY137" s="919">
        <f t="shared" si="450"/>
        <v>0</v>
      </c>
      <c r="AZ137" s="919">
        <f t="shared" si="450"/>
        <v>0</v>
      </c>
      <c r="BA137" s="919">
        <f t="shared" si="450"/>
        <v>0</v>
      </c>
      <c r="BB137" s="919">
        <f t="shared" si="450"/>
        <v>0</v>
      </c>
      <c r="BC137" s="919">
        <f t="shared" si="450"/>
        <v>0</v>
      </c>
      <c r="BD137" s="1138">
        <f t="shared" si="450"/>
        <v>0</v>
      </c>
      <c r="BE137" s="940">
        <f t="shared" si="412"/>
        <v>0</v>
      </c>
      <c r="BF137" s="411">
        <f t="shared" ref="BF137:BQ137" si="451">BF36*BF104*6.5%/1000000</f>
        <v>0</v>
      </c>
      <c r="BG137" s="1558">
        <f t="shared" si="451"/>
        <v>0</v>
      </c>
      <c r="BH137" s="1558">
        <f t="shared" si="451"/>
        <v>0</v>
      </c>
      <c r="BI137" s="1558">
        <f t="shared" si="451"/>
        <v>0</v>
      </c>
      <c r="BJ137" s="1558">
        <f t="shared" si="451"/>
        <v>0</v>
      </c>
      <c r="BK137" s="1558">
        <f t="shared" si="451"/>
        <v>0</v>
      </c>
      <c r="BL137" s="1558">
        <f t="shared" si="451"/>
        <v>0</v>
      </c>
      <c r="BM137" s="1558">
        <f t="shared" si="451"/>
        <v>0</v>
      </c>
      <c r="BN137" s="1558">
        <f t="shared" si="451"/>
        <v>0</v>
      </c>
      <c r="BO137" s="1558">
        <f t="shared" si="451"/>
        <v>0</v>
      </c>
      <c r="BP137" s="1558">
        <f t="shared" si="451"/>
        <v>0</v>
      </c>
      <c r="BQ137" s="1753">
        <f t="shared" si="451"/>
        <v>0</v>
      </c>
      <c r="BR137" s="940">
        <f t="shared" si="414"/>
        <v>0</v>
      </c>
      <c r="BS137" s="411">
        <f t="shared" ref="BS137:CD137" si="452">BS36*BS104*6.5%/1000000</f>
        <v>0</v>
      </c>
      <c r="BT137" s="1558">
        <f t="shared" si="452"/>
        <v>0</v>
      </c>
      <c r="BU137" s="1558">
        <f t="shared" si="452"/>
        <v>0</v>
      </c>
      <c r="BV137" s="1558">
        <f t="shared" si="452"/>
        <v>0</v>
      </c>
      <c r="BW137" s="1558">
        <f t="shared" si="452"/>
        <v>0</v>
      </c>
      <c r="BX137" s="1558">
        <f t="shared" si="452"/>
        <v>0</v>
      </c>
      <c r="BY137" s="1558">
        <f t="shared" si="452"/>
        <v>0</v>
      </c>
      <c r="BZ137" s="1558">
        <f t="shared" si="452"/>
        <v>0</v>
      </c>
      <c r="CA137" s="1558">
        <f t="shared" si="452"/>
        <v>0</v>
      </c>
      <c r="CB137" s="1558">
        <f t="shared" si="452"/>
        <v>0</v>
      </c>
      <c r="CC137" s="1558">
        <f t="shared" si="452"/>
        <v>0</v>
      </c>
      <c r="CD137" s="2883">
        <f t="shared" si="452"/>
        <v>0</v>
      </c>
      <c r="CE137" s="940">
        <f t="shared" si="416"/>
        <v>0</v>
      </c>
      <c r="CF137" s="411">
        <f t="shared" ref="CF137:CQ137" si="453">CF36*CF104*6.5%/1000000</f>
        <v>0</v>
      </c>
      <c r="CG137" s="1558">
        <f t="shared" si="453"/>
        <v>0</v>
      </c>
      <c r="CH137" s="1558">
        <f t="shared" si="453"/>
        <v>0</v>
      </c>
      <c r="CI137" s="1558">
        <f t="shared" si="453"/>
        <v>0</v>
      </c>
      <c r="CJ137" s="1558">
        <f t="shared" si="453"/>
        <v>0</v>
      </c>
      <c r="CK137" s="1558">
        <f t="shared" si="453"/>
        <v>0</v>
      </c>
      <c r="CL137" s="1558">
        <f t="shared" si="453"/>
        <v>0</v>
      </c>
      <c r="CM137" s="1558">
        <f t="shared" si="453"/>
        <v>0</v>
      </c>
      <c r="CN137" s="1558">
        <f t="shared" si="453"/>
        <v>0</v>
      </c>
      <c r="CO137" s="1558">
        <f t="shared" si="453"/>
        <v>0</v>
      </c>
      <c r="CP137" s="1558">
        <f t="shared" si="453"/>
        <v>0</v>
      </c>
      <c r="CQ137" s="1753">
        <f t="shared" si="453"/>
        <v>0</v>
      </c>
    </row>
    <row r="138" spans="2:95" ht="17.5" hidden="1" customHeight="1">
      <c r="B138" s="3356"/>
      <c r="C138" s="3352"/>
      <c r="D138" s="203" t="s">
        <v>300</v>
      </c>
      <c r="E138" s="399">
        <f t="shared" si="405"/>
        <v>222.03933793583599</v>
      </c>
      <c r="F138" s="3">
        <v>19.543113781561217</v>
      </c>
      <c r="G138" s="3">
        <v>19.347682643745607</v>
      </c>
      <c r="H138" s="3">
        <v>19.154205817308149</v>
      </c>
      <c r="I138" s="3">
        <v>18.962663759135069</v>
      </c>
      <c r="J138" s="3">
        <v>18.77303712154372</v>
      </c>
      <c r="K138" s="3">
        <v>18.585306750328282</v>
      </c>
      <c r="L138" s="3">
        <v>18.399453682824998</v>
      </c>
      <c r="M138" s="3">
        <v>18.215459145996746</v>
      </c>
      <c r="N138" s="3">
        <v>18.03330455453678</v>
      </c>
      <c r="O138" s="3">
        <v>17.852971508991413</v>
      </c>
      <c r="P138" s="3">
        <v>17.674441793901497</v>
      </c>
      <c r="Q138" s="25">
        <v>17.497697375962481</v>
      </c>
      <c r="R138" s="399">
        <f t="shared" si="406"/>
        <v>196.8123100721902</v>
      </c>
      <c r="S138" s="3">
        <f>Q138*99%</f>
        <v>17.322720402202854</v>
      </c>
      <c r="T138" s="3">
        <f>S138*99%</f>
        <v>17.149493198180824</v>
      </c>
      <c r="U138" s="3">
        <f t="shared" ref="U138:AD138" si="454">T138*99%</f>
        <v>16.977998266199016</v>
      </c>
      <c r="V138" s="3">
        <f t="shared" si="454"/>
        <v>16.808218283537027</v>
      </c>
      <c r="W138" s="3">
        <f t="shared" si="454"/>
        <v>16.640136100701657</v>
      </c>
      <c r="X138" s="3">
        <f t="shared" si="454"/>
        <v>16.473734739694642</v>
      </c>
      <c r="Y138" s="3">
        <f t="shared" si="454"/>
        <v>16.308997392297695</v>
      </c>
      <c r="Z138" s="3">
        <f t="shared" si="454"/>
        <v>16.145907418374719</v>
      </c>
      <c r="AA138" s="3">
        <f t="shared" si="454"/>
        <v>15.984448344190971</v>
      </c>
      <c r="AB138" s="3">
        <f t="shared" si="454"/>
        <v>15.824603860749061</v>
      </c>
      <c r="AC138" s="3">
        <f t="shared" si="454"/>
        <v>15.66635782214157</v>
      </c>
      <c r="AD138" s="25">
        <f t="shared" si="454"/>
        <v>15.509694243920155</v>
      </c>
      <c r="AE138" s="399">
        <f t="shared" si="408"/>
        <v>174.45145421549341</v>
      </c>
      <c r="AF138" s="1217">
        <f>AD138*99%</f>
        <v>15.354597301480954</v>
      </c>
      <c r="AG138" s="1050">
        <f>AF138*99%</f>
        <v>15.201051328466145</v>
      </c>
      <c r="AH138" s="1050">
        <f t="shared" ref="AH138" si="455">AG138*99%</f>
        <v>15.049040815181483</v>
      </c>
      <c r="AI138" s="1050">
        <f t="shared" ref="AI138" si="456">AH138*99%</f>
        <v>14.898550407029669</v>
      </c>
      <c r="AJ138" s="1050">
        <f t="shared" ref="AJ138" si="457">AI138*99%</f>
        <v>14.749564902959373</v>
      </c>
      <c r="AK138" s="1050">
        <f t="shared" ref="AK138" si="458">AJ138*99%</f>
        <v>14.602069253929779</v>
      </c>
      <c r="AL138" s="1050">
        <f t="shared" ref="AL138:AQ138" si="459">AK138*99%</f>
        <v>14.456048561390482</v>
      </c>
      <c r="AM138" s="1050">
        <f t="shared" si="459"/>
        <v>14.311488075776577</v>
      </c>
      <c r="AN138" s="1050">
        <f t="shared" si="459"/>
        <v>14.168373195018811</v>
      </c>
      <c r="AO138" s="1050">
        <f t="shared" si="459"/>
        <v>14.026689463068623</v>
      </c>
      <c r="AP138" s="1050">
        <f t="shared" si="459"/>
        <v>13.886422568437936</v>
      </c>
      <c r="AQ138" s="1269">
        <f t="shared" si="459"/>
        <v>13.747558342753557</v>
      </c>
      <c r="AR138" s="399">
        <f t="shared" si="410"/>
        <v>154.63112986549228</v>
      </c>
      <c r="AS138" s="918">
        <f>AQ138*99%</f>
        <v>13.610082759326021</v>
      </c>
      <c r="AT138" s="918">
        <f>AS138*99%</f>
        <v>13.47398193173276</v>
      </c>
      <c r="AU138" s="918">
        <f t="shared" ref="AU138" si="460">AT138*99%</f>
        <v>13.339242112415432</v>
      </c>
      <c r="AV138" s="918">
        <f t="shared" ref="AV138" si="461">AU138*99%</f>
        <v>13.205849691291277</v>
      </c>
      <c r="AW138" s="918">
        <f t="shared" ref="AW138" si="462">AV138*99%</f>
        <v>13.073791194378364</v>
      </c>
      <c r="AX138" s="918">
        <f t="shared" ref="AX138" si="463">AW138*99%</f>
        <v>12.94305328243458</v>
      </c>
      <c r="AY138" s="918">
        <f t="shared" ref="AY138" si="464">AX138*99%</f>
        <v>12.813622749610234</v>
      </c>
      <c r="AZ138" s="918">
        <f t="shared" ref="AZ138" si="465">AY138*99%</f>
        <v>12.685486522114131</v>
      </c>
      <c r="BA138" s="918">
        <f t="shared" ref="BA138" si="466">AZ138*99%</f>
        <v>12.55863165689299</v>
      </c>
      <c r="BB138" s="918">
        <f t="shared" ref="BB138" si="467">BA138*99%</f>
        <v>12.43304534032406</v>
      </c>
      <c r="BC138" s="918">
        <f t="shared" ref="BC138" si="468">BB138*99%</f>
        <v>12.30871488692082</v>
      </c>
      <c r="BD138" s="1137">
        <f t="shared" ref="BD138" si="469">BC138*99%</f>
        <v>12.185627738051611</v>
      </c>
      <c r="BE138" s="940">
        <f t="shared" si="412"/>
        <v>137.06269420914452</v>
      </c>
      <c r="BF138" s="1554">
        <f>BD138*99%</f>
        <v>12.063771460671095</v>
      </c>
      <c r="BG138" s="1555">
        <f>BF138*99%</f>
        <v>11.943133746064383</v>
      </c>
      <c r="BH138" s="1555">
        <f t="shared" ref="BH138" si="470">BG138*99%</f>
        <v>11.82370240860374</v>
      </c>
      <c r="BI138" s="1555">
        <f t="shared" ref="BI138" si="471">BH138*99%</f>
        <v>11.705465384517703</v>
      </c>
      <c r="BJ138" s="1555">
        <f t="shared" ref="BJ138" si="472">BI138*99%</f>
        <v>11.588410730672527</v>
      </c>
      <c r="BK138" s="1555">
        <f t="shared" ref="BK138" si="473">BJ138*99%</f>
        <v>11.472526623365802</v>
      </c>
      <c r="BL138" s="1555">
        <f t="shared" ref="BL138" si="474">BK138*99%</f>
        <v>11.357801357132145</v>
      </c>
      <c r="BM138" s="1555">
        <f t="shared" ref="BM138" si="475">BL138*99%</f>
        <v>11.244223343560822</v>
      </c>
      <c r="BN138" s="1555">
        <f t="shared" ref="BN138" si="476">BM138*99%</f>
        <v>11.131781110125214</v>
      </c>
      <c r="BO138" s="1555">
        <f t="shared" ref="BO138" si="477">BN138*99%</f>
        <v>11.020463299023962</v>
      </c>
      <c r="BP138" s="1555">
        <f t="shared" ref="BP138" si="478">BO138*99%</f>
        <v>10.910258666033723</v>
      </c>
      <c r="BQ138" s="1751">
        <f t="shared" ref="BQ138" si="479">BP138*99%</f>
        <v>10.801156079373385</v>
      </c>
      <c r="BR138" s="940">
        <f t="shared" si="414"/>
        <v>121.49029862363957</v>
      </c>
      <c r="BS138" s="1554">
        <f>BQ138*99%</f>
        <v>10.693144518579651</v>
      </c>
      <c r="BT138" s="1555">
        <f>BS138*99%</f>
        <v>10.586213073393854</v>
      </c>
      <c r="BU138" s="1555">
        <f t="shared" ref="BU138" si="480">BT138*99%</f>
        <v>10.480350942659914</v>
      </c>
      <c r="BV138" s="1555">
        <f t="shared" ref="BV138" si="481">BU138*99%</f>
        <v>10.375547433233315</v>
      </c>
      <c r="BW138" s="1555">
        <f t="shared" ref="BW138" si="482">BV138*99%</f>
        <v>10.271791958900982</v>
      </c>
      <c r="BX138" s="1555">
        <f t="shared" ref="BX138" si="483">BW138*99%</f>
        <v>10.169074039311973</v>
      </c>
      <c r="BY138" s="1555">
        <f t="shared" ref="BY138" si="484">BX138*99%</f>
        <v>10.067383298918852</v>
      </c>
      <c r="BZ138" s="1555">
        <f t="shared" ref="BZ138" si="485">BY138*99%</f>
        <v>9.9667094659296627</v>
      </c>
      <c r="CA138" s="1555">
        <f t="shared" ref="CA138" si="486">BZ138*99%</f>
        <v>9.8670423712703652</v>
      </c>
      <c r="CB138" s="1555">
        <f t="shared" ref="CB138" si="487">CA138*99%</f>
        <v>9.7683719475576609</v>
      </c>
      <c r="CC138" s="1555">
        <f t="shared" ref="CC138" si="488">CB138*99%</f>
        <v>9.6706882280820849</v>
      </c>
      <c r="CD138" s="2880">
        <f t="shared" ref="CD138" si="489">CC138*99%</f>
        <v>9.5739813458012648</v>
      </c>
      <c r="CE138" s="940">
        <f t="shared" si="416"/>
        <v>107.687162760269</v>
      </c>
      <c r="CF138" s="1554">
        <f>CD138*99%</f>
        <v>9.4782415323432527</v>
      </c>
      <c r="CG138" s="1555">
        <f>CF138*99%</f>
        <v>9.3834591170198198</v>
      </c>
      <c r="CH138" s="1555">
        <f t="shared" ref="CH138" si="490">CG138*99%</f>
        <v>9.2896245258496215</v>
      </c>
      <c r="CI138" s="1555">
        <f t="shared" ref="CI138" si="491">CH138*99%</f>
        <v>9.1967282805911257</v>
      </c>
      <c r="CJ138" s="1555">
        <f t="shared" ref="CJ138" si="492">CI138*99%</f>
        <v>9.1047609977852151</v>
      </c>
      <c r="CK138" s="1555">
        <f t="shared" ref="CK138" si="493">CJ138*99%</f>
        <v>9.0137133878073623</v>
      </c>
      <c r="CL138" s="1555">
        <f t="shared" ref="CL138" si="494">CK138*99%</f>
        <v>8.9235762539292889</v>
      </c>
      <c r="CM138" s="1555">
        <f t="shared" ref="CM138" si="495">CL138*99%</f>
        <v>8.8343404913899963</v>
      </c>
      <c r="CN138" s="1555">
        <f t="shared" ref="CN138" si="496">CM138*99%</f>
        <v>8.7459970864760965</v>
      </c>
      <c r="CO138" s="1555">
        <f t="shared" ref="CO138" si="497">CN138*99%</f>
        <v>8.6585371156113347</v>
      </c>
      <c r="CP138" s="1555">
        <f t="shared" ref="CP138" si="498">CO138*99%</f>
        <v>8.5719517444552213</v>
      </c>
      <c r="CQ138" s="1751">
        <f t="shared" ref="CQ138" si="499">CP138*99%</f>
        <v>8.4862322270106691</v>
      </c>
    </row>
    <row r="139" spans="2:95" ht="16.5" hidden="1" customHeight="1">
      <c r="B139" s="3356"/>
      <c r="C139" s="3350" t="s">
        <v>302</v>
      </c>
      <c r="D139" s="210" t="s">
        <v>14</v>
      </c>
      <c r="E139" s="397">
        <f>SUM(E140:E147)</f>
        <v>14692.299459715503</v>
      </c>
      <c r="F139" s="212">
        <v>1238.0730870274735</v>
      </c>
      <c r="G139" s="212">
        <v>1252.0307890969004</v>
      </c>
      <c r="H139" s="212">
        <v>1249.2374693126239</v>
      </c>
      <c r="I139" s="212">
        <v>1246.5575822627752</v>
      </c>
      <c r="J139" s="212">
        <v>1244.9355270909205</v>
      </c>
      <c r="K139" s="212">
        <v>1244.804254102969</v>
      </c>
      <c r="L139" s="212">
        <v>1249.9982018927251</v>
      </c>
      <c r="M139" s="212">
        <v>1249.7480432830084</v>
      </c>
      <c r="N139" s="212">
        <v>1222.780493494495</v>
      </c>
      <c r="O139" s="212">
        <v>1193.0237547261972</v>
      </c>
      <c r="P139" s="212">
        <v>1163.8366548440126</v>
      </c>
      <c r="Q139" s="226">
        <v>1137.2736025814006</v>
      </c>
      <c r="R139" s="397">
        <f>SUM(R140:R147)</f>
        <v>97.395852317211521</v>
      </c>
      <c r="S139" s="212">
        <f>SUM(S140:S147)</f>
        <v>8.5724369446527522</v>
      </c>
      <c r="T139" s="212">
        <f t="shared" ref="T139:AD139" si="500">SUM(T140:T147)</f>
        <v>8.4867125752062247</v>
      </c>
      <c r="U139" s="212">
        <f t="shared" si="500"/>
        <v>8.4018454494541626</v>
      </c>
      <c r="V139" s="212">
        <f t="shared" si="500"/>
        <v>8.3178269949596206</v>
      </c>
      <c r="W139" s="212">
        <f t="shared" si="500"/>
        <v>8.2346487250100235</v>
      </c>
      <c r="X139" s="212">
        <f t="shared" si="500"/>
        <v>8.1523022377599226</v>
      </c>
      <c r="Y139" s="212">
        <f t="shared" si="500"/>
        <v>8.0707792153823235</v>
      </c>
      <c r="Z139" s="212">
        <f t="shared" si="500"/>
        <v>7.9900714232284997</v>
      </c>
      <c r="AA139" s="212">
        <f t="shared" si="500"/>
        <v>7.9101707089962146</v>
      </c>
      <c r="AB139" s="212">
        <f t="shared" si="500"/>
        <v>7.8310690019062523</v>
      </c>
      <c r="AC139" s="212">
        <f t="shared" si="500"/>
        <v>7.7527583118871899</v>
      </c>
      <c r="AD139" s="226">
        <f t="shared" si="500"/>
        <v>7.6752307287683177</v>
      </c>
      <c r="AE139" s="397">
        <f>SUM(AE140:AE147)</f>
        <v>86.33021006187461</v>
      </c>
      <c r="AF139" s="1258">
        <f>SUM(AF140:AF147)</f>
        <v>7.5984784214806345</v>
      </c>
      <c r="AG139" s="1191">
        <f t="shared" ref="AG139:AQ139" si="501">SUM(AG140:AG147)</f>
        <v>7.5224936372658284</v>
      </c>
      <c r="AH139" s="1191">
        <f t="shared" si="501"/>
        <v>7.4472687008931704</v>
      </c>
      <c r="AI139" s="1191">
        <f t="shared" si="501"/>
        <v>7.3727960138842388</v>
      </c>
      <c r="AJ139" s="1191">
        <f t="shared" si="501"/>
        <v>7.2990680537453967</v>
      </c>
      <c r="AK139" s="1191">
        <f t="shared" si="501"/>
        <v>7.2260773732079429</v>
      </c>
      <c r="AL139" s="1191">
        <f t="shared" si="501"/>
        <v>7.1538165994758636</v>
      </c>
      <c r="AM139" s="1191">
        <f t="shared" si="501"/>
        <v>7.0822784334811049</v>
      </c>
      <c r="AN139" s="1191">
        <f t="shared" si="501"/>
        <v>7.0114556491462938</v>
      </c>
      <c r="AO139" s="1191">
        <f t="shared" si="501"/>
        <v>6.9413410926548309</v>
      </c>
      <c r="AP139" s="1191">
        <f t="shared" si="501"/>
        <v>6.8719276817282822</v>
      </c>
      <c r="AQ139" s="1268">
        <f t="shared" si="501"/>
        <v>6.8032084049109995</v>
      </c>
      <c r="AR139" s="397">
        <f>SUM(AR140:AR147)</f>
        <v>76.521792170921188</v>
      </c>
      <c r="AS139" s="916">
        <f>SUM(AS140:AS147)</f>
        <v>6.7351763208618891</v>
      </c>
      <c r="AT139" s="916">
        <f t="shared" ref="AT139:BD139" si="502">SUM(AT140:AT147)</f>
        <v>6.6678245576532698</v>
      </c>
      <c r="AU139" s="916">
        <f t="shared" si="502"/>
        <v>6.6011463120767369</v>
      </c>
      <c r="AV139" s="916">
        <f t="shared" si="502"/>
        <v>6.5351348489559697</v>
      </c>
      <c r="AW139" s="916">
        <f t="shared" si="502"/>
        <v>6.4697835004664102</v>
      </c>
      <c r="AX139" s="916">
        <f t="shared" si="502"/>
        <v>6.4050856654617458</v>
      </c>
      <c r="AY139" s="916">
        <f t="shared" si="502"/>
        <v>6.3410348088071284</v>
      </c>
      <c r="AZ139" s="916">
        <f t="shared" si="502"/>
        <v>6.277624460719057</v>
      </c>
      <c r="BA139" s="916">
        <f t="shared" si="502"/>
        <v>6.2148482161118661</v>
      </c>
      <c r="BB139" s="916">
        <f t="shared" si="502"/>
        <v>6.1526997339507474</v>
      </c>
      <c r="BC139" s="916">
        <f t="shared" si="502"/>
        <v>6.0911727366112398</v>
      </c>
      <c r="BD139" s="1445">
        <f t="shared" si="502"/>
        <v>6.0302610092451276</v>
      </c>
      <c r="BE139" s="936">
        <f>SUM(BE140:BE147)</f>
        <v>67.827758936910286</v>
      </c>
      <c r="BF139" s="397">
        <f>SUM(BF140:BF147)</f>
        <v>5.9699583991526763</v>
      </c>
      <c r="BG139" s="415">
        <f t="shared" ref="BG139:BQ139" si="503">SUM(BG140:BG147)</f>
        <v>5.9102588151611499</v>
      </c>
      <c r="BH139" s="415">
        <f t="shared" si="503"/>
        <v>5.8511562270095387</v>
      </c>
      <c r="BI139" s="415">
        <f t="shared" si="503"/>
        <v>5.7926446647394432</v>
      </c>
      <c r="BJ139" s="415">
        <f t="shared" si="503"/>
        <v>5.7347182180920484</v>
      </c>
      <c r="BK139" s="415">
        <f t="shared" si="503"/>
        <v>5.6773710359111282</v>
      </c>
      <c r="BL139" s="415">
        <f t="shared" si="503"/>
        <v>5.6205973255520165</v>
      </c>
      <c r="BM139" s="415">
        <f t="shared" si="503"/>
        <v>5.5643913522964965</v>
      </c>
      <c r="BN139" s="415">
        <f t="shared" si="503"/>
        <v>5.5087474387735318</v>
      </c>
      <c r="BO139" s="415">
        <f t="shared" si="503"/>
        <v>5.4536599643857961</v>
      </c>
      <c r="BP139" s="415">
        <f t="shared" si="503"/>
        <v>5.3991233647419383</v>
      </c>
      <c r="BQ139" s="1738">
        <f t="shared" si="503"/>
        <v>5.3451321310945188</v>
      </c>
      <c r="BR139" s="936">
        <f>SUM(BR140:BR147)</f>
        <v>60.12149940408576</v>
      </c>
      <c r="BS139" s="397">
        <f>SUM(BS140:BS147)</f>
        <v>5.2916808097835739</v>
      </c>
      <c r="BT139" s="415">
        <f t="shared" ref="BT139:CD139" si="504">SUM(BT140:BT147)</f>
        <v>5.2387640016857384</v>
      </c>
      <c r="BU139" s="415">
        <f t="shared" si="504"/>
        <v>5.1863763616688807</v>
      </c>
      <c r="BV139" s="415">
        <f t="shared" si="504"/>
        <v>5.1345125980521917</v>
      </c>
      <c r="BW139" s="415">
        <f t="shared" si="504"/>
        <v>5.0831674720716702</v>
      </c>
      <c r="BX139" s="415">
        <f t="shared" si="504"/>
        <v>5.032335797350953</v>
      </c>
      <c r="BY139" s="415">
        <f t="shared" si="504"/>
        <v>4.9820124393774439</v>
      </c>
      <c r="BZ139" s="415">
        <f t="shared" si="504"/>
        <v>4.9321923149836691</v>
      </c>
      <c r="CA139" s="415">
        <f t="shared" si="504"/>
        <v>4.8828703918338325</v>
      </c>
      <c r="CB139" s="415">
        <f t="shared" si="504"/>
        <v>4.8340416879154944</v>
      </c>
      <c r="CC139" s="415">
        <f t="shared" si="504"/>
        <v>4.7857012710363396</v>
      </c>
      <c r="CD139" s="2879">
        <f t="shared" si="504"/>
        <v>4.7378442583259766</v>
      </c>
      <c r="CE139" s="936">
        <f>SUM(CE140:CE147)</f>
        <v>53.290787536671907</v>
      </c>
      <c r="CF139" s="397">
        <f>SUM(CF140:CF147)</f>
        <v>4.6904658157427166</v>
      </c>
      <c r="CG139" s="415">
        <f t="shared" ref="CG139:CQ139" si="505">SUM(CG140:CG147)</f>
        <v>4.6435611575852898</v>
      </c>
      <c r="CH139" s="415">
        <f t="shared" si="505"/>
        <v>4.5971255460094369</v>
      </c>
      <c r="CI139" s="415">
        <f t="shared" si="505"/>
        <v>4.5511542905493423</v>
      </c>
      <c r="CJ139" s="415">
        <f t="shared" si="505"/>
        <v>4.505642747643849</v>
      </c>
      <c r="CK139" s="415">
        <f t="shared" si="505"/>
        <v>4.4605863201674101</v>
      </c>
      <c r="CL139" s="415">
        <f t="shared" si="505"/>
        <v>4.4159804569657357</v>
      </c>
      <c r="CM139" s="415">
        <f t="shared" si="505"/>
        <v>4.3718206523960781</v>
      </c>
      <c r="CN139" s="415">
        <f t="shared" si="505"/>
        <v>4.3281024458721173</v>
      </c>
      <c r="CO139" s="415">
        <f t="shared" si="505"/>
        <v>4.2848214214133957</v>
      </c>
      <c r="CP139" s="415">
        <f t="shared" si="505"/>
        <v>4.241973207199262</v>
      </c>
      <c r="CQ139" s="1738">
        <f t="shared" si="505"/>
        <v>4.199553475127269</v>
      </c>
    </row>
    <row r="140" spans="2:95" ht="17.5" hidden="1" customHeight="1">
      <c r="B140" s="3356"/>
      <c r="C140" s="3351"/>
      <c r="D140" s="201" t="s">
        <v>15</v>
      </c>
      <c r="E140" s="398">
        <f t="shared" ref="E140:E147" si="506">SUM(F140:Q140)</f>
        <v>6895.5611907200309</v>
      </c>
      <c r="F140" s="3">
        <v>594.2431595177294</v>
      </c>
      <c r="G140" s="3">
        <v>595.36267074889281</v>
      </c>
      <c r="H140" s="3">
        <v>595.29167035691</v>
      </c>
      <c r="I140" s="3">
        <v>592.33690656934232</v>
      </c>
      <c r="J140" s="3">
        <v>590.10218716107522</v>
      </c>
      <c r="K140" s="3">
        <v>586.80102752171274</v>
      </c>
      <c r="L140" s="3">
        <v>581.85968710997952</v>
      </c>
      <c r="M140" s="3">
        <v>578.55637594358734</v>
      </c>
      <c r="N140" s="3">
        <v>566.04707446332293</v>
      </c>
      <c r="O140" s="3">
        <v>551.80810699008066</v>
      </c>
      <c r="P140" s="3">
        <v>537.85753242986073</v>
      </c>
      <c r="Q140" s="25">
        <v>525.29479190753705</v>
      </c>
      <c r="R140" s="398">
        <f t="shared" ref="R140:R147" si="507">SUM(S140:AD140)</f>
        <v>0</v>
      </c>
      <c r="S140" s="3">
        <f t="shared" ref="S140:AD140" si="508">S30*S97*2%/1000000</f>
        <v>0</v>
      </c>
      <c r="T140" s="3">
        <f t="shared" si="508"/>
        <v>0</v>
      </c>
      <c r="U140" s="3">
        <f t="shared" si="508"/>
        <v>0</v>
      </c>
      <c r="V140" s="3">
        <f t="shared" si="508"/>
        <v>0</v>
      </c>
      <c r="W140" s="3">
        <f t="shared" si="508"/>
        <v>0</v>
      </c>
      <c r="X140" s="3">
        <f t="shared" si="508"/>
        <v>0</v>
      </c>
      <c r="Y140" s="3">
        <f t="shared" si="508"/>
        <v>0</v>
      </c>
      <c r="Z140" s="3">
        <f t="shared" si="508"/>
        <v>0</v>
      </c>
      <c r="AA140" s="3">
        <f t="shared" si="508"/>
        <v>0</v>
      </c>
      <c r="AB140" s="3">
        <f t="shared" si="508"/>
        <v>0</v>
      </c>
      <c r="AC140" s="3">
        <f t="shared" si="508"/>
        <v>0</v>
      </c>
      <c r="AD140" s="25">
        <f t="shared" si="508"/>
        <v>0</v>
      </c>
      <c r="AE140" s="398">
        <f t="shared" ref="AE140:AE147" si="509">SUM(AF140:AQ140)</f>
        <v>0</v>
      </c>
      <c r="AF140" s="1217">
        <f t="shared" ref="AF140:AQ140" si="510">AF30*AF97*2%/1000000</f>
        <v>0</v>
      </c>
      <c r="AG140" s="1050">
        <f t="shared" si="510"/>
        <v>0</v>
      </c>
      <c r="AH140" s="1050">
        <f t="shared" si="510"/>
        <v>0</v>
      </c>
      <c r="AI140" s="1050">
        <f t="shared" si="510"/>
        <v>0</v>
      </c>
      <c r="AJ140" s="1050">
        <f t="shared" si="510"/>
        <v>0</v>
      </c>
      <c r="AK140" s="1050">
        <f t="shared" si="510"/>
        <v>0</v>
      </c>
      <c r="AL140" s="1050">
        <f t="shared" si="510"/>
        <v>0</v>
      </c>
      <c r="AM140" s="1050">
        <f t="shared" si="510"/>
        <v>0</v>
      </c>
      <c r="AN140" s="1050">
        <f t="shared" si="510"/>
        <v>0</v>
      </c>
      <c r="AO140" s="1050">
        <f t="shared" si="510"/>
        <v>0</v>
      </c>
      <c r="AP140" s="1050">
        <f t="shared" si="510"/>
        <v>0</v>
      </c>
      <c r="AQ140" s="1269">
        <f t="shared" si="510"/>
        <v>0</v>
      </c>
      <c r="AR140" s="398">
        <f t="shared" ref="AR140:AR147" si="511">SUM(AS140:BD140)</f>
        <v>0</v>
      </c>
      <c r="AS140" s="918">
        <f t="shared" ref="AS140:BD140" si="512">AS30*AS97*2%/1000000</f>
        <v>0</v>
      </c>
      <c r="AT140" s="918">
        <f t="shared" si="512"/>
        <v>0</v>
      </c>
      <c r="AU140" s="918">
        <f t="shared" si="512"/>
        <v>0</v>
      </c>
      <c r="AV140" s="918">
        <f t="shared" si="512"/>
        <v>0</v>
      </c>
      <c r="AW140" s="918">
        <f t="shared" si="512"/>
        <v>0</v>
      </c>
      <c r="AX140" s="918">
        <f t="shared" si="512"/>
        <v>0</v>
      </c>
      <c r="AY140" s="918">
        <f t="shared" si="512"/>
        <v>0</v>
      </c>
      <c r="AZ140" s="918">
        <f t="shared" si="512"/>
        <v>0</v>
      </c>
      <c r="BA140" s="918">
        <f t="shared" si="512"/>
        <v>0</v>
      </c>
      <c r="BB140" s="918">
        <f t="shared" si="512"/>
        <v>0</v>
      </c>
      <c r="BC140" s="918">
        <f t="shared" si="512"/>
        <v>0</v>
      </c>
      <c r="BD140" s="1137">
        <f t="shared" si="512"/>
        <v>0</v>
      </c>
      <c r="BE140" s="937">
        <f t="shared" ref="BE140:BE147" si="513">SUM(BF140:BQ140)</f>
        <v>0</v>
      </c>
      <c r="BF140" s="1554">
        <f t="shared" ref="BF140:BQ140" si="514">BF30*BF97*2%/1000000</f>
        <v>0</v>
      </c>
      <c r="BG140" s="1555">
        <f t="shared" si="514"/>
        <v>0</v>
      </c>
      <c r="BH140" s="1555">
        <f t="shared" si="514"/>
        <v>0</v>
      </c>
      <c r="BI140" s="1555">
        <f t="shared" si="514"/>
        <v>0</v>
      </c>
      <c r="BJ140" s="1555">
        <f t="shared" si="514"/>
        <v>0</v>
      </c>
      <c r="BK140" s="1555">
        <f t="shared" si="514"/>
        <v>0</v>
      </c>
      <c r="BL140" s="1555">
        <f t="shared" si="514"/>
        <v>0</v>
      </c>
      <c r="BM140" s="1555">
        <f t="shared" si="514"/>
        <v>0</v>
      </c>
      <c r="BN140" s="1555">
        <f t="shared" si="514"/>
        <v>0</v>
      </c>
      <c r="BO140" s="1555">
        <f t="shared" si="514"/>
        <v>0</v>
      </c>
      <c r="BP140" s="1555">
        <f t="shared" si="514"/>
        <v>0</v>
      </c>
      <c r="BQ140" s="1751">
        <f t="shared" si="514"/>
        <v>0</v>
      </c>
      <c r="BR140" s="937">
        <f t="shared" ref="BR140:BR147" si="515">SUM(BS140:CD140)</f>
        <v>0</v>
      </c>
      <c r="BS140" s="1554">
        <f t="shared" ref="BS140:CD140" si="516">BS30*BS97*2%/1000000</f>
        <v>0</v>
      </c>
      <c r="BT140" s="1555">
        <f t="shared" si="516"/>
        <v>0</v>
      </c>
      <c r="BU140" s="1555">
        <f t="shared" si="516"/>
        <v>0</v>
      </c>
      <c r="BV140" s="1555">
        <f t="shared" si="516"/>
        <v>0</v>
      </c>
      <c r="BW140" s="1555">
        <f t="shared" si="516"/>
        <v>0</v>
      </c>
      <c r="BX140" s="1555">
        <f t="shared" si="516"/>
        <v>0</v>
      </c>
      <c r="BY140" s="1555">
        <f t="shared" si="516"/>
        <v>0</v>
      </c>
      <c r="BZ140" s="1555">
        <f t="shared" si="516"/>
        <v>0</v>
      </c>
      <c r="CA140" s="1555">
        <f t="shared" si="516"/>
        <v>0</v>
      </c>
      <c r="CB140" s="1555">
        <f t="shared" si="516"/>
        <v>0</v>
      </c>
      <c r="CC140" s="1555">
        <f t="shared" si="516"/>
        <v>0</v>
      </c>
      <c r="CD140" s="2880">
        <f t="shared" si="516"/>
        <v>0</v>
      </c>
      <c r="CE140" s="937">
        <f t="shared" ref="CE140:CE147" si="517">SUM(CF140:CQ140)</f>
        <v>0</v>
      </c>
      <c r="CF140" s="1554">
        <f t="shared" ref="CF140:CQ140" si="518">CF30*CF97*2%/1000000</f>
        <v>0</v>
      </c>
      <c r="CG140" s="1555">
        <f t="shared" si="518"/>
        <v>0</v>
      </c>
      <c r="CH140" s="1555">
        <f t="shared" si="518"/>
        <v>0</v>
      </c>
      <c r="CI140" s="1555">
        <f t="shared" si="518"/>
        <v>0</v>
      </c>
      <c r="CJ140" s="1555">
        <f t="shared" si="518"/>
        <v>0</v>
      </c>
      <c r="CK140" s="1555">
        <f t="shared" si="518"/>
        <v>0</v>
      </c>
      <c r="CL140" s="1555">
        <f t="shared" si="518"/>
        <v>0</v>
      </c>
      <c r="CM140" s="1555">
        <f t="shared" si="518"/>
        <v>0</v>
      </c>
      <c r="CN140" s="1555">
        <f t="shared" si="518"/>
        <v>0</v>
      </c>
      <c r="CO140" s="1555">
        <f t="shared" si="518"/>
        <v>0</v>
      </c>
      <c r="CP140" s="1555">
        <f t="shared" si="518"/>
        <v>0</v>
      </c>
      <c r="CQ140" s="1751">
        <f t="shared" si="518"/>
        <v>0</v>
      </c>
    </row>
    <row r="141" spans="2:95" ht="17.5" hidden="1" customHeight="1">
      <c r="B141" s="3356"/>
      <c r="C141" s="3351"/>
      <c r="D141" s="201" t="s">
        <v>16</v>
      </c>
      <c r="E141" s="398">
        <f t="shared" si="506"/>
        <v>4563.5526924690357</v>
      </c>
      <c r="F141" s="3">
        <v>360.00796793370216</v>
      </c>
      <c r="G141" s="3">
        <v>369.57944662150425</v>
      </c>
      <c r="H141" s="3">
        <v>369.82453989868247</v>
      </c>
      <c r="I141" s="3">
        <v>376.20366469376103</v>
      </c>
      <c r="J141" s="3">
        <v>377.21027785720634</v>
      </c>
      <c r="K141" s="3">
        <v>383.1745864679034</v>
      </c>
      <c r="L141" s="3">
        <v>395.50908708908923</v>
      </c>
      <c r="M141" s="3">
        <v>401.46167142001229</v>
      </c>
      <c r="N141" s="3">
        <v>394.10758908469529</v>
      </c>
      <c r="O141" s="3">
        <v>386.29927848414064</v>
      </c>
      <c r="P141" s="3">
        <v>378.60378192044328</v>
      </c>
      <c r="Q141" s="25">
        <v>371.57080099789528</v>
      </c>
      <c r="R141" s="398">
        <f t="shared" si="507"/>
        <v>0</v>
      </c>
      <c r="S141" s="3">
        <f t="shared" ref="S141:AD141" si="519">S31*S98*2%/1000000</f>
        <v>0</v>
      </c>
      <c r="T141" s="3">
        <f t="shared" si="519"/>
        <v>0</v>
      </c>
      <c r="U141" s="3">
        <f t="shared" si="519"/>
        <v>0</v>
      </c>
      <c r="V141" s="3">
        <f t="shared" si="519"/>
        <v>0</v>
      </c>
      <c r="W141" s="3">
        <f t="shared" si="519"/>
        <v>0</v>
      </c>
      <c r="X141" s="3">
        <f t="shared" si="519"/>
        <v>0</v>
      </c>
      <c r="Y141" s="3">
        <f t="shared" si="519"/>
        <v>0</v>
      </c>
      <c r="Z141" s="3">
        <f t="shared" si="519"/>
        <v>0</v>
      </c>
      <c r="AA141" s="3">
        <f t="shared" si="519"/>
        <v>0</v>
      </c>
      <c r="AB141" s="3">
        <f t="shared" si="519"/>
        <v>0</v>
      </c>
      <c r="AC141" s="3">
        <f t="shared" si="519"/>
        <v>0</v>
      </c>
      <c r="AD141" s="25">
        <f t="shared" si="519"/>
        <v>0</v>
      </c>
      <c r="AE141" s="398">
        <f t="shared" si="509"/>
        <v>0</v>
      </c>
      <c r="AF141" s="1217">
        <f t="shared" ref="AF141:AQ141" si="520">AF31*AF98*2%/1000000</f>
        <v>0</v>
      </c>
      <c r="AG141" s="1050">
        <f t="shared" si="520"/>
        <v>0</v>
      </c>
      <c r="AH141" s="1050">
        <f t="shared" si="520"/>
        <v>0</v>
      </c>
      <c r="AI141" s="1050">
        <f t="shared" si="520"/>
        <v>0</v>
      </c>
      <c r="AJ141" s="1050">
        <f t="shared" si="520"/>
        <v>0</v>
      </c>
      <c r="AK141" s="1050">
        <f t="shared" si="520"/>
        <v>0</v>
      </c>
      <c r="AL141" s="1050">
        <f t="shared" si="520"/>
        <v>0</v>
      </c>
      <c r="AM141" s="1050">
        <f t="shared" si="520"/>
        <v>0</v>
      </c>
      <c r="AN141" s="1050">
        <f t="shared" si="520"/>
        <v>0</v>
      </c>
      <c r="AO141" s="1050">
        <f t="shared" si="520"/>
        <v>0</v>
      </c>
      <c r="AP141" s="1050">
        <f t="shared" si="520"/>
        <v>0</v>
      </c>
      <c r="AQ141" s="1269">
        <f t="shared" si="520"/>
        <v>0</v>
      </c>
      <c r="AR141" s="398">
        <f t="shared" si="511"/>
        <v>0</v>
      </c>
      <c r="AS141" s="918">
        <f t="shared" ref="AS141:BD141" si="521">AS31*AS98*2%/1000000</f>
        <v>0</v>
      </c>
      <c r="AT141" s="918">
        <f t="shared" si="521"/>
        <v>0</v>
      </c>
      <c r="AU141" s="918">
        <f t="shared" si="521"/>
        <v>0</v>
      </c>
      <c r="AV141" s="918">
        <f t="shared" si="521"/>
        <v>0</v>
      </c>
      <c r="AW141" s="918">
        <f t="shared" si="521"/>
        <v>0</v>
      </c>
      <c r="AX141" s="918">
        <f t="shared" si="521"/>
        <v>0</v>
      </c>
      <c r="AY141" s="918">
        <f t="shared" si="521"/>
        <v>0</v>
      </c>
      <c r="AZ141" s="918">
        <f t="shared" si="521"/>
        <v>0</v>
      </c>
      <c r="BA141" s="918">
        <f t="shared" si="521"/>
        <v>0</v>
      </c>
      <c r="BB141" s="918">
        <f t="shared" si="521"/>
        <v>0</v>
      </c>
      <c r="BC141" s="918">
        <f t="shared" si="521"/>
        <v>0</v>
      </c>
      <c r="BD141" s="1137">
        <f t="shared" si="521"/>
        <v>0</v>
      </c>
      <c r="BE141" s="937">
        <f t="shared" si="513"/>
        <v>0</v>
      </c>
      <c r="BF141" s="1554">
        <f t="shared" ref="BF141:BQ141" si="522">BF31*BF98*2%/1000000</f>
        <v>0</v>
      </c>
      <c r="BG141" s="1555">
        <f t="shared" si="522"/>
        <v>0</v>
      </c>
      <c r="BH141" s="1555">
        <f t="shared" si="522"/>
        <v>0</v>
      </c>
      <c r="BI141" s="1555">
        <f t="shared" si="522"/>
        <v>0</v>
      </c>
      <c r="BJ141" s="1555">
        <f t="shared" si="522"/>
        <v>0</v>
      </c>
      <c r="BK141" s="1555">
        <f t="shared" si="522"/>
        <v>0</v>
      </c>
      <c r="BL141" s="1555">
        <f t="shared" si="522"/>
        <v>0</v>
      </c>
      <c r="BM141" s="1555">
        <f t="shared" si="522"/>
        <v>0</v>
      </c>
      <c r="BN141" s="1555">
        <f t="shared" si="522"/>
        <v>0</v>
      </c>
      <c r="BO141" s="1555">
        <f t="shared" si="522"/>
        <v>0</v>
      </c>
      <c r="BP141" s="1555">
        <f t="shared" si="522"/>
        <v>0</v>
      </c>
      <c r="BQ141" s="1751">
        <f t="shared" si="522"/>
        <v>0</v>
      </c>
      <c r="BR141" s="937">
        <f t="shared" si="515"/>
        <v>0</v>
      </c>
      <c r="BS141" s="1554">
        <f t="shared" ref="BS141:CD141" si="523">BS31*BS98*2%/1000000</f>
        <v>0</v>
      </c>
      <c r="BT141" s="1555">
        <f t="shared" si="523"/>
        <v>0</v>
      </c>
      <c r="BU141" s="1555">
        <f t="shared" si="523"/>
        <v>0</v>
      </c>
      <c r="BV141" s="1555">
        <f t="shared" si="523"/>
        <v>0</v>
      </c>
      <c r="BW141" s="1555">
        <f t="shared" si="523"/>
        <v>0</v>
      </c>
      <c r="BX141" s="1555">
        <f t="shared" si="523"/>
        <v>0</v>
      </c>
      <c r="BY141" s="1555">
        <f t="shared" si="523"/>
        <v>0</v>
      </c>
      <c r="BZ141" s="1555">
        <f t="shared" si="523"/>
        <v>0</v>
      </c>
      <c r="CA141" s="1555">
        <f t="shared" si="523"/>
        <v>0</v>
      </c>
      <c r="CB141" s="1555">
        <f t="shared" si="523"/>
        <v>0</v>
      </c>
      <c r="CC141" s="1555">
        <f t="shared" si="523"/>
        <v>0</v>
      </c>
      <c r="CD141" s="2880">
        <f t="shared" si="523"/>
        <v>0</v>
      </c>
      <c r="CE141" s="937">
        <f t="shared" si="517"/>
        <v>0</v>
      </c>
      <c r="CF141" s="1554">
        <f t="shared" ref="CF141:CQ141" si="524">CF31*CF98*2%/1000000</f>
        <v>0</v>
      </c>
      <c r="CG141" s="1555">
        <f t="shared" si="524"/>
        <v>0</v>
      </c>
      <c r="CH141" s="1555">
        <f t="shared" si="524"/>
        <v>0</v>
      </c>
      <c r="CI141" s="1555">
        <f t="shared" si="524"/>
        <v>0</v>
      </c>
      <c r="CJ141" s="1555">
        <f t="shared" si="524"/>
        <v>0</v>
      </c>
      <c r="CK141" s="1555">
        <f t="shared" si="524"/>
        <v>0</v>
      </c>
      <c r="CL141" s="1555">
        <f t="shared" si="524"/>
        <v>0</v>
      </c>
      <c r="CM141" s="1555">
        <f t="shared" si="524"/>
        <v>0</v>
      </c>
      <c r="CN141" s="1555">
        <f t="shared" si="524"/>
        <v>0</v>
      </c>
      <c r="CO141" s="1555">
        <f t="shared" si="524"/>
        <v>0</v>
      </c>
      <c r="CP141" s="1555">
        <f t="shared" si="524"/>
        <v>0</v>
      </c>
      <c r="CQ141" s="1751">
        <f t="shared" si="524"/>
        <v>0</v>
      </c>
    </row>
    <row r="142" spans="2:95" ht="17.5" hidden="1" customHeight="1">
      <c r="B142" s="3356"/>
      <c r="C142" s="3351"/>
      <c r="D142" s="201" t="s">
        <v>245</v>
      </c>
      <c r="E142" s="398">
        <f t="shared" si="506"/>
        <v>223.08155087303538</v>
      </c>
      <c r="F142" s="3">
        <v>21.715682974784102</v>
      </c>
      <c r="G142" s="3">
        <v>21.779527777511646</v>
      </c>
      <c r="H142" s="3">
        <v>21.369700477650291</v>
      </c>
      <c r="I142" s="3">
        <v>20.666468753489571</v>
      </c>
      <c r="J142" s="3">
        <v>19.735555196072546</v>
      </c>
      <c r="K142" s="3">
        <v>18.88632543038046</v>
      </c>
      <c r="L142" s="3">
        <v>18.028645617268555</v>
      </c>
      <c r="M142" s="3">
        <v>17.194907605179473</v>
      </c>
      <c r="N142" s="3">
        <v>16.688907872145819</v>
      </c>
      <c r="O142" s="3">
        <v>16.186168717594214</v>
      </c>
      <c r="P142" s="3">
        <v>15.676314069808473</v>
      </c>
      <c r="Q142" s="25">
        <v>15.153346381150234</v>
      </c>
      <c r="R142" s="398">
        <f t="shared" si="507"/>
        <v>0</v>
      </c>
      <c r="S142" s="3">
        <f t="shared" ref="S142:AD142" si="525">S32*S100*2%/1000000</f>
        <v>0</v>
      </c>
      <c r="T142" s="3">
        <f t="shared" si="525"/>
        <v>0</v>
      </c>
      <c r="U142" s="3">
        <f t="shared" si="525"/>
        <v>0</v>
      </c>
      <c r="V142" s="3">
        <f t="shared" si="525"/>
        <v>0</v>
      </c>
      <c r="W142" s="3">
        <f t="shared" si="525"/>
        <v>0</v>
      </c>
      <c r="X142" s="3">
        <f t="shared" si="525"/>
        <v>0</v>
      </c>
      <c r="Y142" s="3">
        <f t="shared" si="525"/>
        <v>0</v>
      </c>
      <c r="Z142" s="3">
        <f t="shared" si="525"/>
        <v>0</v>
      </c>
      <c r="AA142" s="3">
        <f t="shared" si="525"/>
        <v>0</v>
      </c>
      <c r="AB142" s="3">
        <f t="shared" si="525"/>
        <v>0</v>
      </c>
      <c r="AC142" s="3">
        <f t="shared" si="525"/>
        <v>0</v>
      </c>
      <c r="AD142" s="25">
        <f t="shared" si="525"/>
        <v>0</v>
      </c>
      <c r="AE142" s="398">
        <f t="shared" si="509"/>
        <v>0</v>
      </c>
      <c r="AF142" s="1217">
        <f t="shared" ref="AF142:AQ142" si="526">AF32*AF100*2%/1000000</f>
        <v>0</v>
      </c>
      <c r="AG142" s="1050">
        <f t="shared" si="526"/>
        <v>0</v>
      </c>
      <c r="AH142" s="1050">
        <f t="shared" si="526"/>
        <v>0</v>
      </c>
      <c r="AI142" s="1050">
        <f t="shared" si="526"/>
        <v>0</v>
      </c>
      <c r="AJ142" s="1050">
        <f t="shared" si="526"/>
        <v>0</v>
      </c>
      <c r="AK142" s="1050">
        <f t="shared" si="526"/>
        <v>0</v>
      </c>
      <c r="AL142" s="1050">
        <f t="shared" si="526"/>
        <v>0</v>
      </c>
      <c r="AM142" s="1050">
        <f t="shared" si="526"/>
        <v>0</v>
      </c>
      <c r="AN142" s="1050">
        <f t="shared" si="526"/>
        <v>0</v>
      </c>
      <c r="AO142" s="1050">
        <f t="shared" si="526"/>
        <v>0</v>
      </c>
      <c r="AP142" s="1050">
        <f t="shared" si="526"/>
        <v>0</v>
      </c>
      <c r="AQ142" s="1269">
        <f t="shared" si="526"/>
        <v>0</v>
      </c>
      <c r="AR142" s="398">
        <f t="shared" si="511"/>
        <v>0</v>
      </c>
      <c r="AS142" s="918">
        <f t="shared" ref="AS142:BD142" si="527">AS32*AS100*2%/1000000</f>
        <v>0</v>
      </c>
      <c r="AT142" s="918">
        <f t="shared" si="527"/>
        <v>0</v>
      </c>
      <c r="AU142" s="918">
        <f t="shared" si="527"/>
        <v>0</v>
      </c>
      <c r="AV142" s="918">
        <f t="shared" si="527"/>
        <v>0</v>
      </c>
      <c r="AW142" s="918">
        <f t="shared" si="527"/>
        <v>0</v>
      </c>
      <c r="AX142" s="918">
        <f t="shared" si="527"/>
        <v>0</v>
      </c>
      <c r="AY142" s="918">
        <f t="shared" si="527"/>
        <v>0</v>
      </c>
      <c r="AZ142" s="918">
        <f t="shared" si="527"/>
        <v>0</v>
      </c>
      <c r="BA142" s="918">
        <f t="shared" si="527"/>
        <v>0</v>
      </c>
      <c r="BB142" s="918">
        <f t="shared" si="527"/>
        <v>0</v>
      </c>
      <c r="BC142" s="918">
        <f t="shared" si="527"/>
        <v>0</v>
      </c>
      <c r="BD142" s="1137">
        <f t="shared" si="527"/>
        <v>0</v>
      </c>
      <c r="BE142" s="937">
        <f t="shared" si="513"/>
        <v>0</v>
      </c>
      <c r="BF142" s="1554">
        <f t="shared" ref="BF142:BQ142" si="528">BF32*BF100*2%/1000000</f>
        <v>0</v>
      </c>
      <c r="BG142" s="1555">
        <f t="shared" si="528"/>
        <v>0</v>
      </c>
      <c r="BH142" s="1555">
        <f t="shared" si="528"/>
        <v>0</v>
      </c>
      <c r="BI142" s="1555">
        <f t="shared" si="528"/>
        <v>0</v>
      </c>
      <c r="BJ142" s="1555">
        <f t="shared" si="528"/>
        <v>0</v>
      </c>
      <c r="BK142" s="1555">
        <f t="shared" si="528"/>
        <v>0</v>
      </c>
      <c r="BL142" s="1555">
        <f t="shared" si="528"/>
        <v>0</v>
      </c>
      <c r="BM142" s="1555">
        <f t="shared" si="528"/>
        <v>0</v>
      </c>
      <c r="BN142" s="1555">
        <f t="shared" si="528"/>
        <v>0</v>
      </c>
      <c r="BO142" s="1555">
        <f t="shared" si="528"/>
        <v>0</v>
      </c>
      <c r="BP142" s="1555">
        <f t="shared" si="528"/>
        <v>0</v>
      </c>
      <c r="BQ142" s="1751">
        <f t="shared" si="528"/>
        <v>0</v>
      </c>
      <c r="BR142" s="937">
        <f t="shared" si="515"/>
        <v>0</v>
      </c>
      <c r="BS142" s="1554">
        <f t="shared" ref="BS142:CD142" si="529">BS32*BS100*2%/1000000</f>
        <v>0</v>
      </c>
      <c r="BT142" s="1555">
        <f t="shared" si="529"/>
        <v>0</v>
      </c>
      <c r="BU142" s="1555">
        <f t="shared" si="529"/>
        <v>0</v>
      </c>
      <c r="BV142" s="1555">
        <f t="shared" si="529"/>
        <v>0</v>
      </c>
      <c r="BW142" s="1555">
        <f t="shared" si="529"/>
        <v>0</v>
      </c>
      <c r="BX142" s="1555">
        <f t="shared" si="529"/>
        <v>0</v>
      </c>
      <c r="BY142" s="1555">
        <f t="shared" si="529"/>
        <v>0</v>
      </c>
      <c r="BZ142" s="1555">
        <f t="shared" si="529"/>
        <v>0</v>
      </c>
      <c r="CA142" s="1555">
        <f t="shared" si="529"/>
        <v>0</v>
      </c>
      <c r="CB142" s="1555">
        <f t="shared" si="529"/>
        <v>0</v>
      </c>
      <c r="CC142" s="1555">
        <f t="shared" si="529"/>
        <v>0</v>
      </c>
      <c r="CD142" s="2880">
        <f t="shared" si="529"/>
        <v>0</v>
      </c>
      <c r="CE142" s="937">
        <f t="shared" si="517"/>
        <v>0</v>
      </c>
      <c r="CF142" s="1554">
        <f t="shared" ref="CF142:CQ142" si="530">CF32*CF100*2%/1000000</f>
        <v>0</v>
      </c>
      <c r="CG142" s="1555">
        <f t="shared" si="530"/>
        <v>0</v>
      </c>
      <c r="CH142" s="1555">
        <f t="shared" si="530"/>
        <v>0</v>
      </c>
      <c r="CI142" s="1555">
        <f t="shared" si="530"/>
        <v>0</v>
      </c>
      <c r="CJ142" s="1555">
        <f t="shared" si="530"/>
        <v>0</v>
      </c>
      <c r="CK142" s="1555">
        <f t="shared" si="530"/>
        <v>0</v>
      </c>
      <c r="CL142" s="1555">
        <f t="shared" si="530"/>
        <v>0</v>
      </c>
      <c r="CM142" s="1555">
        <f t="shared" si="530"/>
        <v>0</v>
      </c>
      <c r="CN142" s="1555">
        <f t="shared" si="530"/>
        <v>0</v>
      </c>
      <c r="CO142" s="1555">
        <f t="shared" si="530"/>
        <v>0</v>
      </c>
      <c r="CP142" s="1555">
        <f t="shared" si="530"/>
        <v>0</v>
      </c>
      <c r="CQ142" s="1751">
        <f t="shared" si="530"/>
        <v>0</v>
      </c>
    </row>
    <row r="143" spans="2:95" ht="17.5" hidden="1" customHeight="1">
      <c r="B143" s="3356"/>
      <c r="C143" s="3351"/>
      <c r="D143" s="201" t="s">
        <v>681</v>
      </c>
      <c r="E143" s="398">
        <f t="shared" si="506"/>
        <v>1020.2432466294508</v>
      </c>
      <c r="F143" s="3">
        <v>87.746088980552827</v>
      </c>
      <c r="G143" s="3">
        <v>89.393650789987433</v>
      </c>
      <c r="H143" s="3">
        <v>89.041504192379833</v>
      </c>
      <c r="I143" s="3">
        <v>87.231818089876285</v>
      </c>
      <c r="J143" s="3">
        <v>88.276151198476356</v>
      </c>
      <c r="K143" s="3">
        <v>87.552908410564811</v>
      </c>
      <c r="L143" s="3">
        <v>87.4144711083663</v>
      </c>
      <c r="M143" s="3">
        <v>87.196024414783125</v>
      </c>
      <c r="N143" s="3">
        <v>84.023237070351897</v>
      </c>
      <c r="O143" s="3">
        <v>80.692141264776055</v>
      </c>
      <c r="P143" s="3">
        <v>77.448709573431685</v>
      </c>
      <c r="Q143" s="25">
        <v>74.226541535904261</v>
      </c>
      <c r="R143" s="398">
        <f t="shared" si="507"/>
        <v>0</v>
      </c>
      <c r="S143" s="3">
        <f t="shared" ref="S143:AD143" si="531">S33*S101*2%/1000000</f>
        <v>0</v>
      </c>
      <c r="T143" s="3">
        <f t="shared" si="531"/>
        <v>0</v>
      </c>
      <c r="U143" s="3">
        <f t="shared" si="531"/>
        <v>0</v>
      </c>
      <c r="V143" s="3">
        <f t="shared" si="531"/>
        <v>0</v>
      </c>
      <c r="W143" s="3">
        <f t="shared" si="531"/>
        <v>0</v>
      </c>
      <c r="X143" s="3">
        <f t="shared" si="531"/>
        <v>0</v>
      </c>
      <c r="Y143" s="3">
        <f t="shared" si="531"/>
        <v>0</v>
      </c>
      <c r="Z143" s="3">
        <f t="shared" si="531"/>
        <v>0</v>
      </c>
      <c r="AA143" s="3">
        <f t="shared" si="531"/>
        <v>0</v>
      </c>
      <c r="AB143" s="3">
        <f t="shared" si="531"/>
        <v>0</v>
      </c>
      <c r="AC143" s="3">
        <f t="shared" si="531"/>
        <v>0</v>
      </c>
      <c r="AD143" s="25">
        <f t="shared" si="531"/>
        <v>0</v>
      </c>
      <c r="AE143" s="398">
        <f t="shared" si="509"/>
        <v>0</v>
      </c>
      <c r="AF143" s="1217">
        <f t="shared" ref="AF143:AQ143" si="532">AF33*AF101*2%/1000000</f>
        <v>0</v>
      </c>
      <c r="AG143" s="1050">
        <f t="shared" si="532"/>
        <v>0</v>
      </c>
      <c r="AH143" s="1050">
        <f t="shared" si="532"/>
        <v>0</v>
      </c>
      <c r="AI143" s="1050">
        <f t="shared" si="532"/>
        <v>0</v>
      </c>
      <c r="AJ143" s="1050">
        <f t="shared" si="532"/>
        <v>0</v>
      </c>
      <c r="AK143" s="1050">
        <f t="shared" si="532"/>
        <v>0</v>
      </c>
      <c r="AL143" s="1050">
        <f t="shared" si="532"/>
        <v>0</v>
      </c>
      <c r="AM143" s="1050">
        <f t="shared" si="532"/>
        <v>0</v>
      </c>
      <c r="AN143" s="1050">
        <f t="shared" si="532"/>
        <v>0</v>
      </c>
      <c r="AO143" s="1050">
        <f t="shared" si="532"/>
        <v>0</v>
      </c>
      <c r="AP143" s="1050">
        <f t="shared" si="532"/>
        <v>0</v>
      </c>
      <c r="AQ143" s="1269">
        <f t="shared" si="532"/>
        <v>0</v>
      </c>
      <c r="AR143" s="398">
        <f t="shared" si="511"/>
        <v>0</v>
      </c>
      <c r="AS143" s="918">
        <f t="shared" ref="AS143:BD143" si="533">AS33*AS101*2%/1000000</f>
        <v>0</v>
      </c>
      <c r="AT143" s="918">
        <f t="shared" si="533"/>
        <v>0</v>
      </c>
      <c r="AU143" s="918">
        <f t="shared" si="533"/>
        <v>0</v>
      </c>
      <c r="AV143" s="918">
        <f t="shared" si="533"/>
        <v>0</v>
      </c>
      <c r="AW143" s="918">
        <f t="shared" si="533"/>
        <v>0</v>
      </c>
      <c r="AX143" s="918">
        <f t="shared" si="533"/>
        <v>0</v>
      </c>
      <c r="AY143" s="918">
        <f t="shared" si="533"/>
        <v>0</v>
      </c>
      <c r="AZ143" s="918">
        <f t="shared" si="533"/>
        <v>0</v>
      </c>
      <c r="BA143" s="918">
        <f t="shared" si="533"/>
        <v>0</v>
      </c>
      <c r="BB143" s="918">
        <f t="shared" si="533"/>
        <v>0</v>
      </c>
      <c r="BC143" s="918">
        <f t="shared" si="533"/>
        <v>0</v>
      </c>
      <c r="BD143" s="1137">
        <f t="shared" si="533"/>
        <v>0</v>
      </c>
      <c r="BE143" s="937">
        <f t="shared" si="513"/>
        <v>0</v>
      </c>
      <c r="BF143" s="1554">
        <f t="shared" ref="BF143:BQ143" si="534">BF33*BF101*2%/1000000</f>
        <v>0</v>
      </c>
      <c r="BG143" s="1555">
        <f t="shared" si="534"/>
        <v>0</v>
      </c>
      <c r="BH143" s="1555">
        <f t="shared" si="534"/>
        <v>0</v>
      </c>
      <c r="BI143" s="1555">
        <f t="shared" si="534"/>
        <v>0</v>
      </c>
      <c r="BJ143" s="1555">
        <f t="shared" si="534"/>
        <v>0</v>
      </c>
      <c r="BK143" s="1555">
        <f t="shared" si="534"/>
        <v>0</v>
      </c>
      <c r="BL143" s="1555">
        <f t="shared" si="534"/>
        <v>0</v>
      </c>
      <c r="BM143" s="1555">
        <f t="shared" si="534"/>
        <v>0</v>
      </c>
      <c r="BN143" s="1555">
        <f t="shared" si="534"/>
        <v>0</v>
      </c>
      <c r="BO143" s="1555">
        <f t="shared" si="534"/>
        <v>0</v>
      </c>
      <c r="BP143" s="1555">
        <f t="shared" si="534"/>
        <v>0</v>
      </c>
      <c r="BQ143" s="1751">
        <f t="shared" si="534"/>
        <v>0</v>
      </c>
      <c r="BR143" s="937">
        <f t="shared" si="515"/>
        <v>0</v>
      </c>
      <c r="BS143" s="1554">
        <f t="shared" ref="BS143:CD143" si="535">BS33*BS101*2%/1000000</f>
        <v>0</v>
      </c>
      <c r="BT143" s="1555">
        <f t="shared" si="535"/>
        <v>0</v>
      </c>
      <c r="BU143" s="1555">
        <f t="shared" si="535"/>
        <v>0</v>
      </c>
      <c r="BV143" s="1555">
        <f t="shared" si="535"/>
        <v>0</v>
      </c>
      <c r="BW143" s="1555">
        <f t="shared" si="535"/>
        <v>0</v>
      </c>
      <c r="BX143" s="1555">
        <f t="shared" si="535"/>
        <v>0</v>
      </c>
      <c r="BY143" s="1555">
        <f t="shared" si="535"/>
        <v>0</v>
      </c>
      <c r="BZ143" s="1555">
        <f t="shared" si="535"/>
        <v>0</v>
      </c>
      <c r="CA143" s="1555">
        <f t="shared" si="535"/>
        <v>0</v>
      </c>
      <c r="CB143" s="1555">
        <f t="shared" si="535"/>
        <v>0</v>
      </c>
      <c r="CC143" s="1555">
        <f t="shared" si="535"/>
        <v>0</v>
      </c>
      <c r="CD143" s="2880">
        <f t="shared" si="535"/>
        <v>0</v>
      </c>
      <c r="CE143" s="937">
        <f t="shared" si="517"/>
        <v>0</v>
      </c>
      <c r="CF143" s="1554">
        <f t="shared" ref="CF143:CQ143" si="536">CF33*CF101*2%/1000000</f>
        <v>0</v>
      </c>
      <c r="CG143" s="1555">
        <f t="shared" si="536"/>
        <v>0</v>
      </c>
      <c r="CH143" s="1555">
        <f t="shared" si="536"/>
        <v>0</v>
      </c>
      <c r="CI143" s="1555">
        <f t="shared" si="536"/>
        <v>0</v>
      </c>
      <c r="CJ143" s="1555">
        <f t="shared" si="536"/>
        <v>0</v>
      </c>
      <c r="CK143" s="1555">
        <f t="shared" si="536"/>
        <v>0</v>
      </c>
      <c r="CL143" s="1555">
        <f t="shared" si="536"/>
        <v>0</v>
      </c>
      <c r="CM143" s="1555">
        <f t="shared" si="536"/>
        <v>0</v>
      </c>
      <c r="CN143" s="1555">
        <f t="shared" si="536"/>
        <v>0</v>
      </c>
      <c r="CO143" s="1555">
        <f t="shared" si="536"/>
        <v>0</v>
      </c>
      <c r="CP143" s="1555">
        <f t="shared" si="536"/>
        <v>0</v>
      </c>
      <c r="CQ143" s="1751">
        <f t="shared" si="536"/>
        <v>0</v>
      </c>
    </row>
    <row r="144" spans="2:95" ht="17.5" hidden="1" customHeight="1">
      <c r="B144" s="3356"/>
      <c r="C144" s="3351"/>
      <c r="D144" s="201" t="s">
        <v>333</v>
      </c>
      <c r="E144" s="398">
        <f t="shared" si="506"/>
        <v>170.68021129728956</v>
      </c>
      <c r="F144" s="3">
        <v>18.777778473941094</v>
      </c>
      <c r="G144" s="3">
        <v>18.513977528272754</v>
      </c>
      <c r="H144" s="3">
        <v>17.498026402722914</v>
      </c>
      <c r="I144" s="3">
        <v>16.608491922909106</v>
      </c>
      <c r="J144" s="3">
        <v>15.655460497748431</v>
      </c>
      <c r="K144" s="3">
        <v>14.696656623010769</v>
      </c>
      <c r="L144" s="3">
        <v>13.668583353349252</v>
      </c>
      <c r="M144" s="3">
        <v>12.605298141268113</v>
      </c>
      <c r="N144" s="3">
        <v>11.788977665047041</v>
      </c>
      <c r="O144" s="3">
        <v>10.986914312128073</v>
      </c>
      <c r="P144" s="3">
        <v>10.278713026990696</v>
      </c>
      <c r="Q144" s="25">
        <v>9.6013333499013118</v>
      </c>
      <c r="R144" s="398">
        <f t="shared" si="507"/>
        <v>0</v>
      </c>
      <c r="S144" s="3">
        <f t="shared" ref="S144:AD144" si="537">S34*S102*2%/1000000</f>
        <v>0</v>
      </c>
      <c r="T144" s="3">
        <f t="shared" si="537"/>
        <v>0</v>
      </c>
      <c r="U144" s="3">
        <f t="shared" si="537"/>
        <v>0</v>
      </c>
      <c r="V144" s="3">
        <f t="shared" si="537"/>
        <v>0</v>
      </c>
      <c r="W144" s="3">
        <f t="shared" si="537"/>
        <v>0</v>
      </c>
      <c r="X144" s="3">
        <f t="shared" si="537"/>
        <v>0</v>
      </c>
      <c r="Y144" s="3">
        <f t="shared" si="537"/>
        <v>0</v>
      </c>
      <c r="Z144" s="3">
        <f t="shared" si="537"/>
        <v>0</v>
      </c>
      <c r="AA144" s="3">
        <f t="shared" si="537"/>
        <v>0</v>
      </c>
      <c r="AB144" s="3">
        <f t="shared" si="537"/>
        <v>0</v>
      </c>
      <c r="AC144" s="3">
        <f t="shared" si="537"/>
        <v>0</v>
      </c>
      <c r="AD144" s="25">
        <f t="shared" si="537"/>
        <v>0</v>
      </c>
      <c r="AE144" s="398">
        <f t="shared" si="509"/>
        <v>0</v>
      </c>
      <c r="AF144" s="1217">
        <f t="shared" ref="AF144:AQ144" si="538">AF34*AF102*2%/1000000</f>
        <v>0</v>
      </c>
      <c r="AG144" s="1050">
        <f t="shared" si="538"/>
        <v>0</v>
      </c>
      <c r="AH144" s="1050">
        <f t="shared" si="538"/>
        <v>0</v>
      </c>
      <c r="AI144" s="1050">
        <f t="shared" si="538"/>
        <v>0</v>
      </c>
      <c r="AJ144" s="1050">
        <f t="shared" si="538"/>
        <v>0</v>
      </c>
      <c r="AK144" s="1050">
        <f t="shared" si="538"/>
        <v>0</v>
      </c>
      <c r="AL144" s="1050">
        <f t="shared" si="538"/>
        <v>0</v>
      </c>
      <c r="AM144" s="1050">
        <f t="shared" si="538"/>
        <v>0</v>
      </c>
      <c r="AN144" s="1050">
        <f t="shared" si="538"/>
        <v>0</v>
      </c>
      <c r="AO144" s="1050">
        <f t="shared" si="538"/>
        <v>0</v>
      </c>
      <c r="AP144" s="1050">
        <f t="shared" si="538"/>
        <v>0</v>
      </c>
      <c r="AQ144" s="1269">
        <f t="shared" si="538"/>
        <v>0</v>
      </c>
      <c r="AR144" s="398">
        <f t="shared" si="511"/>
        <v>0</v>
      </c>
      <c r="AS144" s="918">
        <f t="shared" ref="AS144:BD144" si="539">AS34*AS102*2%/1000000</f>
        <v>0</v>
      </c>
      <c r="AT144" s="918">
        <f t="shared" si="539"/>
        <v>0</v>
      </c>
      <c r="AU144" s="918">
        <f t="shared" si="539"/>
        <v>0</v>
      </c>
      <c r="AV144" s="918">
        <f t="shared" si="539"/>
        <v>0</v>
      </c>
      <c r="AW144" s="918">
        <f t="shared" si="539"/>
        <v>0</v>
      </c>
      <c r="AX144" s="918">
        <f t="shared" si="539"/>
        <v>0</v>
      </c>
      <c r="AY144" s="918">
        <f t="shared" si="539"/>
        <v>0</v>
      </c>
      <c r="AZ144" s="918">
        <f t="shared" si="539"/>
        <v>0</v>
      </c>
      <c r="BA144" s="918">
        <f t="shared" si="539"/>
        <v>0</v>
      </c>
      <c r="BB144" s="918">
        <f t="shared" si="539"/>
        <v>0</v>
      </c>
      <c r="BC144" s="918">
        <f t="shared" si="539"/>
        <v>0</v>
      </c>
      <c r="BD144" s="1137">
        <f t="shared" si="539"/>
        <v>0</v>
      </c>
      <c r="BE144" s="937">
        <f t="shared" si="513"/>
        <v>0</v>
      </c>
      <c r="BF144" s="1554">
        <f t="shared" ref="BF144:BQ144" si="540">BF34*BF102*2%/1000000</f>
        <v>0</v>
      </c>
      <c r="BG144" s="1555">
        <f t="shared" si="540"/>
        <v>0</v>
      </c>
      <c r="BH144" s="1555">
        <f t="shared" si="540"/>
        <v>0</v>
      </c>
      <c r="BI144" s="1555">
        <f t="shared" si="540"/>
        <v>0</v>
      </c>
      <c r="BJ144" s="1555">
        <f t="shared" si="540"/>
        <v>0</v>
      </c>
      <c r="BK144" s="1555">
        <f t="shared" si="540"/>
        <v>0</v>
      </c>
      <c r="BL144" s="1555">
        <f t="shared" si="540"/>
        <v>0</v>
      </c>
      <c r="BM144" s="1555">
        <f t="shared" si="540"/>
        <v>0</v>
      </c>
      <c r="BN144" s="1555">
        <f t="shared" si="540"/>
        <v>0</v>
      </c>
      <c r="BO144" s="1555">
        <f t="shared" si="540"/>
        <v>0</v>
      </c>
      <c r="BP144" s="1555">
        <f t="shared" si="540"/>
        <v>0</v>
      </c>
      <c r="BQ144" s="1751">
        <f t="shared" si="540"/>
        <v>0</v>
      </c>
      <c r="BR144" s="937">
        <f t="shared" si="515"/>
        <v>0</v>
      </c>
      <c r="BS144" s="1554">
        <f t="shared" ref="BS144:CD144" si="541">BS34*BS102*2%/1000000</f>
        <v>0</v>
      </c>
      <c r="BT144" s="1555">
        <f t="shared" si="541"/>
        <v>0</v>
      </c>
      <c r="BU144" s="1555">
        <f t="shared" si="541"/>
        <v>0</v>
      </c>
      <c r="BV144" s="1555">
        <f t="shared" si="541"/>
        <v>0</v>
      </c>
      <c r="BW144" s="1555">
        <f t="shared" si="541"/>
        <v>0</v>
      </c>
      <c r="BX144" s="1555">
        <f t="shared" si="541"/>
        <v>0</v>
      </c>
      <c r="BY144" s="1555">
        <f t="shared" si="541"/>
        <v>0</v>
      </c>
      <c r="BZ144" s="1555">
        <f t="shared" si="541"/>
        <v>0</v>
      </c>
      <c r="CA144" s="1555">
        <f t="shared" si="541"/>
        <v>0</v>
      </c>
      <c r="CB144" s="1555">
        <f t="shared" si="541"/>
        <v>0</v>
      </c>
      <c r="CC144" s="1555">
        <f t="shared" si="541"/>
        <v>0</v>
      </c>
      <c r="CD144" s="2880">
        <f t="shared" si="541"/>
        <v>0</v>
      </c>
      <c r="CE144" s="937">
        <f t="shared" si="517"/>
        <v>0</v>
      </c>
      <c r="CF144" s="1554">
        <f t="shared" ref="CF144:CQ144" si="542">CF34*CF102*2%/1000000</f>
        <v>0</v>
      </c>
      <c r="CG144" s="1555">
        <f t="shared" si="542"/>
        <v>0</v>
      </c>
      <c r="CH144" s="1555">
        <f t="shared" si="542"/>
        <v>0</v>
      </c>
      <c r="CI144" s="1555">
        <f t="shared" si="542"/>
        <v>0</v>
      </c>
      <c r="CJ144" s="1555">
        <f t="shared" si="542"/>
        <v>0</v>
      </c>
      <c r="CK144" s="1555">
        <f t="shared" si="542"/>
        <v>0</v>
      </c>
      <c r="CL144" s="1555">
        <f t="shared" si="542"/>
        <v>0</v>
      </c>
      <c r="CM144" s="1555">
        <f t="shared" si="542"/>
        <v>0</v>
      </c>
      <c r="CN144" s="1555">
        <f t="shared" si="542"/>
        <v>0</v>
      </c>
      <c r="CO144" s="1555">
        <f t="shared" si="542"/>
        <v>0</v>
      </c>
      <c r="CP144" s="1555">
        <f t="shared" si="542"/>
        <v>0</v>
      </c>
      <c r="CQ144" s="1751">
        <f t="shared" si="542"/>
        <v>0</v>
      </c>
    </row>
    <row r="145" spans="2:95" ht="17.5" hidden="1" customHeight="1">
      <c r="B145" s="3356"/>
      <c r="C145" s="3351"/>
      <c r="D145" s="202" t="s">
        <v>248</v>
      </c>
      <c r="E145" s="401">
        <f t="shared" si="506"/>
        <v>644.88177774133294</v>
      </c>
      <c r="F145" s="17">
        <v>53.429084980441054</v>
      </c>
      <c r="G145" s="17">
        <v>53.946474224442078</v>
      </c>
      <c r="H145" s="17">
        <v>53.778599713085477</v>
      </c>
      <c r="I145" s="17">
        <v>53.37514130412513</v>
      </c>
      <c r="J145" s="17">
        <v>53.698019947634315</v>
      </c>
      <c r="K145" s="17">
        <v>54.11065549654883</v>
      </c>
      <c r="L145" s="17">
        <v>54.60286356384637</v>
      </c>
      <c r="M145" s="17">
        <v>54.880751838311987</v>
      </c>
      <c r="N145" s="17">
        <v>54.546893728966296</v>
      </c>
      <c r="O145" s="17">
        <v>53.58718396586567</v>
      </c>
      <c r="P145" s="17">
        <v>52.675301488392044</v>
      </c>
      <c r="Q145" s="134">
        <v>52.250807489673825</v>
      </c>
      <c r="R145" s="401">
        <f t="shared" si="507"/>
        <v>0</v>
      </c>
      <c r="S145" s="17">
        <f t="shared" ref="S145:AD145" si="543">S35*S103*2%/1000000</f>
        <v>0</v>
      </c>
      <c r="T145" s="17">
        <f t="shared" si="543"/>
        <v>0</v>
      </c>
      <c r="U145" s="17">
        <f t="shared" si="543"/>
        <v>0</v>
      </c>
      <c r="V145" s="17">
        <f t="shared" si="543"/>
        <v>0</v>
      </c>
      <c r="W145" s="17">
        <f t="shared" si="543"/>
        <v>0</v>
      </c>
      <c r="X145" s="17">
        <f t="shared" si="543"/>
        <v>0</v>
      </c>
      <c r="Y145" s="17">
        <f t="shared" si="543"/>
        <v>0</v>
      </c>
      <c r="Z145" s="17">
        <f t="shared" si="543"/>
        <v>0</v>
      </c>
      <c r="AA145" s="17">
        <f t="shared" si="543"/>
        <v>0</v>
      </c>
      <c r="AB145" s="17">
        <f t="shared" si="543"/>
        <v>0</v>
      </c>
      <c r="AC145" s="17">
        <f t="shared" si="543"/>
        <v>0</v>
      </c>
      <c r="AD145" s="134">
        <f t="shared" si="543"/>
        <v>0</v>
      </c>
      <c r="AE145" s="401">
        <f t="shared" si="509"/>
        <v>0</v>
      </c>
      <c r="AF145" s="1270">
        <f t="shared" ref="AF145:AQ145" si="544">AF35*AF103*2%/1000000</f>
        <v>0</v>
      </c>
      <c r="AG145" s="1271">
        <f t="shared" si="544"/>
        <v>0</v>
      </c>
      <c r="AH145" s="1271">
        <f t="shared" si="544"/>
        <v>0</v>
      </c>
      <c r="AI145" s="1271">
        <f t="shared" si="544"/>
        <v>0</v>
      </c>
      <c r="AJ145" s="1271">
        <f t="shared" si="544"/>
        <v>0</v>
      </c>
      <c r="AK145" s="1271">
        <f t="shared" si="544"/>
        <v>0</v>
      </c>
      <c r="AL145" s="1271">
        <f t="shared" si="544"/>
        <v>0</v>
      </c>
      <c r="AM145" s="1271">
        <f t="shared" si="544"/>
        <v>0</v>
      </c>
      <c r="AN145" s="1271">
        <f t="shared" si="544"/>
        <v>0</v>
      </c>
      <c r="AO145" s="1271">
        <f t="shared" si="544"/>
        <v>0</v>
      </c>
      <c r="AP145" s="1271">
        <f t="shared" si="544"/>
        <v>0</v>
      </c>
      <c r="AQ145" s="1272">
        <f t="shared" si="544"/>
        <v>0</v>
      </c>
      <c r="AR145" s="401">
        <f t="shared" si="511"/>
        <v>0</v>
      </c>
      <c r="AS145" s="917">
        <f t="shared" ref="AS145:BD145" si="545">AS35*AS103*2%/1000000</f>
        <v>0</v>
      </c>
      <c r="AT145" s="917">
        <f t="shared" si="545"/>
        <v>0</v>
      </c>
      <c r="AU145" s="917">
        <f t="shared" si="545"/>
        <v>0</v>
      </c>
      <c r="AV145" s="917">
        <f t="shared" si="545"/>
        <v>0</v>
      </c>
      <c r="AW145" s="917">
        <f t="shared" si="545"/>
        <v>0</v>
      </c>
      <c r="AX145" s="917">
        <f t="shared" si="545"/>
        <v>0</v>
      </c>
      <c r="AY145" s="917">
        <f t="shared" si="545"/>
        <v>0</v>
      </c>
      <c r="AZ145" s="917">
        <f t="shared" si="545"/>
        <v>0</v>
      </c>
      <c r="BA145" s="917">
        <f t="shared" si="545"/>
        <v>0</v>
      </c>
      <c r="BB145" s="917">
        <f t="shared" si="545"/>
        <v>0</v>
      </c>
      <c r="BC145" s="917">
        <f t="shared" si="545"/>
        <v>0</v>
      </c>
      <c r="BD145" s="1446">
        <f t="shared" si="545"/>
        <v>0</v>
      </c>
      <c r="BE145" s="938">
        <f t="shared" si="513"/>
        <v>0</v>
      </c>
      <c r="BF145" s="1556">
        <f t="shared" ref="BF145:BQ145" si="546">BF35*BF103*2%/1000000</f>
        <v>0</v>
      </c>
      <c r="BG145" s="1557">
        <f t="shared" si="546"/>
        <v>0</v>
      </c>
      <c r="BH145" s="1557">
        <f t="shared" si="546"/>
        <v>0</v>
      </c>
      <c r="BI145" s="1557">
        <f t="shared" si="546"/>
        <v>0</v>
      </c>
      <c r="BJ145" s="1557">
        <f t="shared" si="546"/>
        <v>0</v>
      </c>
      <c r="BK145" s="1557">
        <f t="shared" si="546"/>
        <v>0</v>
      </c>
      <c r="BL145" s="1557">
        <f t="shared" si="546"/>
        <v>0</v>
      </c>
      <c r="BM145" s="1557">
        <f t="shared" si="546"/>
        <v>0</v>
      </c>
      <c r="BN145" s="1557">
        <f t="shared" si="546"/>
        <v>0</v>
      </c>
      <c r="BO145" s="1557">
        <f t="shared" si="546"/>
        <v>0</v>
      </c>
      <c r="BP145" s="1557">
        <f t="shared" si="546"/>
        <v>0</v>
      </c>
      <c r="BQ145" s="1752">
        <f t="shared" si="546"/>
        <v>0</v>
      </c>
      <c r="BR145" s="938">
        <f t="shared" si="515"/>
        <v>0</v>
      </c>
      <c r="BS145" s="1556">
        <f t="shared" ref="BS145:CD145" si="547">BS35*BS103*2%/1000000</f>
        <v>0</v>
      </c>
      <c r="BT145" s="1557">
        <f t="shared" si="547"/>
        <v>0</v>
      </c>
      <c r="BU145" s="1557">
        <f t="shared" si="547"/>
        <v>0</v>
      </c>
      <c r="BV145" s="1557">
        <f t="shared" si="547"/>
        <v>0</v>
      </c>
      <c r="BW145" s="1557">
        <f t="shared" si="547"/>
        <v>0</v>
      </c>
      <c r="BX145" s="1557">
        <f t="shared" si="547"/>
        <v>0</v>
      </c>
      <c r="BY145" s="1557">
        <f t="shared" si="547"/>
        <v>0</v>
      </c>
      <c r="BZ145" s="1557">
        <f t="shared" si="547"/>
        <v>0</v>
      </c>
      <c r="CA145" s="1557">
        <f t="shared" si="547"/>
        <v>0</v>
      </c>
      <c r="CB145" s="1557">
        <f t="shared" si="547"/>
        <v>0</v>
      </c>
      <c r="CC145" s="1557">
        <f t="shared" si="547"/>
        <v>0</v>
      </c>
      <c r="CD145" s="2881">
        <f t="shared" si="547"/>
        <v>0</v>
      </c>
      <c r="CE145" s="938">
        <f t="shared" si="517"/>
        <v>0</v>
      </c>
      <c r="CF145" s="1556">
        <f t="shared" ref="CF145:CQ145" si="548">CF35*CF103*2%/1000000</f>
        <v>0</v>
      </c>
      <c r="CG145" s="1557">
        <f t="shared" si="548"/>
        <v>0</v>
      </c>
      <c r="CH145" s="1557">
        <f t="shared" si="548"/>
        <v>0</v>
      </c>
      <c r="CI145" s="1557">
        <f t="shared" si="548"/>
        <v>0</v>
      </c>
      <c r="CJ145" s="1557">
        <f t="shared" si="548"/>
        <v>0</v>
      </c>
      <c r="CK145" s="1557">
        <f t="shared" si="548"/>
        <v>0</v>
      </c>
      <c r="CL145" s="1557">
        <f t="shared" si="548"/>
        <v>0</v>
      </c>
      <c r="CM145" s="1557">
        <f t="shared" si="548"/>
        <v>0</v>
      </c>
      <c r="CN145" s="1557">
        <f t="shared" si="548"/>
        <v>0</v>
      </c>
      <c r="CO145" s="1557">
        <f t="shared" si="548"/>
        <v>0</v>
      </c>
      <c r="CP145" s="1557">
        <f t="shared" si="548"/>
        <v>0</v>
      </c>
      <c r="CQ145" s="1752">
        <f t="shared" si="548"/>
        <v>0</v>
      </c>
    </row>
    <row r="146" spans="2:95" ht="17.5" hidden="1" customHeight="1">
      <c r="B146" s="3356"/>
      <c r="C146" s="3351"/>
      <c r="D146" s="203" t="s">
        <v>57</v>
      </c>
      <c r="E146" s="399">
        <f t="shared" si="506"/>
        <v>1064.4189224187203</v>
      </c>
      <c r="F146" s="6">
        <v>92.482088546004135</v>
      </c>
      <c r="G146" s="6">
        <v>93.880518142173841</v>
      </c>
      <c r="H146" s="6">
        <v>92.954650239718404</v>
      </c>
      <c r="I146" s="6">
        <v>90.751100678111897</v>
      </c>
      <c r="J146" s="6">
        <v>90.96772488405901</v>
      </c>
      <c r="K146" s="6">
        <v>90.384845307686504</v>
      </c>
      <c r="L146" s="6">
        <v>89.80958769411582</v>
      </c>
      <c r="M146" s="6">
        <v>88.838790326723199</v>
      </c>
      <c r="N146" s="6">
        <v>86.653732252754253</v>
      </c>
      <c r="O146" s="6">
        <v>84.629120447972909</v>
      </c>
      <c r="P146" s="6">
        <v>82.549810196882746</v>
      </c>
      <c r="Q146" s="100">
        <v>80.516953702517569</v>
      </c>
      <c r="R146" s="399">
        <f t="shared" si="507"/>
        <v>0</v>
      </c>
      <c r="S146" s="6">
        <f t="shared" ref="S146:AD146" si="549">S36*S104*2%/1000000</f>
        <v>0</v>
      </c>
      <c r="T146" s="6">
        <f t="shared" si="549"/>
        <v>0</v>
      </c>
      <c r="U146" s="6">
        <f t="shared" si="549"/>
        <v>0</v>
      </c>
      <c r="V146" s="6">
        <f t="shared" si="549"/>
        <v>0</v>
      </c>
      <c r="W146" s="6">
        <f t="shared" si="549"/>
        <v>0</v>
      </c>
      <c r="X146" s="6">
        <f t="shared" si="549"/>
        <v>0</v>
      </c>
      <c r="Y146" s="6">
        <f t="shared" si="549"/>
        <v>0</v>
      </c>
      <c r="Z146" s="6">
        <f t="shared" si="549"/>
        <v>0</v>
      </c>
      <c r="AA146" s="6">
        <f t="shared" si="549"/>
        <v>0</v>
      </c>
      <c r="AB146" s="6">
        <f t="shared" si="549"/>
        <v>0</v>
      </c>
      <c r="AC146" s="6">
        <f t="shared" si="549"/>
        <v>0</v>
      </c>
      <c r="AD146" s="100">
        <f t="shared" si="549"/>
        <v>0</v>
      </c>
      <c r="AE146" s="399">
        <f t="shared" si="509"/>
        <v>0</v>
      </c>
      <c r="AF146" s="1273">
        <f t="shared" ref="AF146:AQ146" si="550">AF36*AF104*2%/1000000</f>
        <v>0</v>
      </c>
      <c r="AG146" s="1196">
        <f t="shared" si="550"/>
        <v>0</v>
      </c>
      <c r="AH146" s="1196">
        <f t="shared" si="550"/>
        <v>0</v>
      </c>
      <c r="AI146" s="1196">
        <f t="shared" si="550"/>
        <v>0</v>
      </c>
      <c r="AJ146" s="1196">
        <f t="shared" si="550"/>
        <v>0</v>
      </c>
      <c r="AK146" s="1196">
        <f t="shared" si="550"/>
        <v>0</v>
      </c>
      <c r="AL146" s="1196">
        <f t="shared" si="550"/>
        <v>0</v>
      </c>
      <c r="AM146" s="1196">
        <f t="shared" si="550"/>
        <v>0</v>
      </c>
      <c r="AN146" s="1196">
        <f t="shared" si="550"/>
        <v>0</v>
      </c>
      <c r="AO146" s="1196">
        <f t="shared" si="550"/>
        <v>0</v>
      </c>
      <c r="AP146" s="1196">
        <f t="shared" si="550"/>
        <v>0</v>
      </c>
      <c r="AQ146" s="1274">
        <f t="shared" si="550"/>
        <v>0</v>
      </c>
      <c r="AR146" s="399">
        <f t="shared" si="511"/>
        <v>0</v>
      </c>
      <c r="AS146" s="919">
        <f t="shared" ref="AS146:BD146" si="551">AS36*AS104*2%/1000000</f>
        <v>0</v>
      </c>
      <c r="AT146" s="919">
        <f t="shared" si="551"/>
        <v>0</v>
      </c>
      <c r="AU146" s="919">
        <f t="shared" si="551"/>
        <v>0</v>
      </c>
      <c r="AV146" s="919">
        <f t="shared" si="551"/>
        <v>0</v>
      </c>
      <c r="AW146" s="919">
        <f t="shared" si="551"/>
        <v>0</v>
      </c>
      <c r="AX146" s="919">
        <f t="shared" si="551"/>
        <v>0</v>
      </c>
      <c r="AY146" s="919">
        <f t="shared" si="551"/>
        <v>0</v>
      </c>
      <c r="AZ146" s="919">
        <f t="shared" si="551"/>
        <v>0</v>
      </c>
      <c r="BA146" s="919">
        <f t="shared" si="551"/>
        <v>0</v>
      </c>
      <c r="BB146" s="919">
        <f t="shared" si="551"/>
        <v>0</v>
      </c>
      <c r="BC146" s="919">
        <f t="shared" si="551"/>
        <v>0</v>
      </c>
      <c r="BD146" s="1138">
        <f t="shared" si="551"/>
        <v>0</v>
      </c>
      <c r="BE146" s="940">
        <f t="shared" si="513"/>
        <v>0</v>
      </c>
      <c r="BF146" s="411">
        <f t="shared" ref="BF146:BQ146" si="552">BF36*BF104*2%/1000000</f>
        <v>0</v>
      </c>
      <c r="BG146" s="1558">
        <f t="shared" si="552"/>
        <v>0</v>
      </c>
      <c r="BH146" s="1558">
        <f t="shared" si="552"/>
        <v>0</v>
      </c>
      <c r="BI146" s="1558">
        <f t="shared" si="552"/>
        <v>0</v>
      </c>
      <c r="BJ146" s="1558">
        <f t="shared" si="552"/>
        <v>0</v>
      </c>
      <c r="BK146" s="1558">
        <f t="shared" si="552"/>
        <v>0</v>
      </c>
      <c r="BL146" s="1558">
        <f t="shared" si="552"/>
        <v>0</v>
      </c>
      <c r="BM146" s="1558">
        <f t="shared" si="552"/>
        <v>0</v>
      </c>
      <c r="BN146" s="1558">
        <f t="shared" si="552"/>
        <v>0</v>
      </c>
      <c r="BO146" s="1558">
        <f t="shared" si="552"/>
        <v>0</v>
      </c>
      <c r="BP146" s="1558">
        <f t="shared" si="552"/>
        <v>0</v>
      </c>
      <c r="BQ146" s="1753">
        <f t="shared" si="552"/>
        <v>0</v>
      </c>
      <c r="BR146" s="940">
        <f t="shared" si="515"/>
        <v>0</v>
      </c>
      <c r="BS146" s="411">
        <f t="shared" ref="BS146:CD146" si="553">BS36*BS104*2%/1000000</f>
        <v>0</v>
      </c>
      <c r="BT146" s="1558">
        <f t="shared" si="553"/>
        <v>0</v>
      </c>
      <c r="BU146" s="1558">
        <f t="shared" si="553"/>
        <v>0</v>
      </c>
      <c r="BV146" s="1558">
        <f t="shared" si="553"/>
        <v>0</v>
      </c>
      <c r="BW146" s="1558">
        <f t="shared" si="553"/>
        <v>0</v>
      </c>
      <c r="BX146" s="1558">
        <f t="shared" si="553"/>
        <v>0</v>
      </c>
      <c r="BY146" s="1558">
        <f t="shared" si="553"/>
        <v>0</v>
      </c>
      <c r="BZ146" s="1558">
        <f t="shared" si="553"/>
        <v>0</v>
      </c>
      <c r="CA146" s="1558">
        <f t="shared" si="553"/>
        <v>0</v>
      </c>
      <c r="CB146" s="1558">
        <f t="shared" si="553"/>
        <v>0</v>
      </c>
      <c r="CC146" s="1558">
        <f t="shared" si="553"/>
        <v>0</v>
      </c>
      <c r="CD146" s="2883">
        <f t="shared" si="553"/>
        <v>0</v>
      </c>
      <c r="CE146" s="940">
        <f t="shared" si="517"/>
        <v>0</v>
      </c>
      <c r="CF146" s="411">
        <f t="shared" ref="CF146:CQ146" si="554">CF36*CF104*2%/1000000</f>
        <v>0</v>
      </c>
      <c r="CG146" s="1558">
        <f t="shared" si="554"/>
        <v>0</v>
      </c>
      <c r="CH146" s="1558">
        <f t="shared" si="554"/>
        <v>0</v>
      </c>
      <c r="CI146" s="1558">
        <f t="shared" si="554"/>
        <v>0</v>
      </c>
      <c r="CJ146" s="1558">
        <f t="shared" si="554"/>
        <v>0</v>
      </c>
      <c r="CK146" s="1558">
        <f t="shared" si="554"/>
        <v>0</v>
      </c>
      <c r="CL146" s="1558">
        <f t="shared" si="554"/>
        <v>0</v>
      </c>
      <c r="CM146" s="1558">
        <f t="shared" si="554"/>
        <v>0</v>
      </c>
      <c r="CN146" s="1558">
        <f t="shared" si="554"/>
        <v>0</v>
      </c>
      <c r="CO146" s="1558">
        <f t="shared" si="554"/>
        <v>0</v>
      </c>
      <c r="CP146" s="1558">
        <f t="shared" si="554"/>
        <v>0</v>
      </c>
      <c r="CQ146" s="1753">
        <f t="shared" si="554"/>
        <v>0</v>
      </c>
    </row>
    <row r="147" spans="2:95" ht="17.5" hidden="1" customHeight="1">
      <c r="B147" s="3356"/>
      <c r="C147" s="3351"/>
      <c r="D147" s="203" t="s">
        <v>300</v>
      </c>
      <c r="E147" s="399">
        <f t="shared" si="506"/>
        <v>109.87986756660621</v>
      </c>
      <c r="F147" s="3">
        <v>9.6712356203188143</v>
      </c>
      <c r="G147" s="3">
        <v>9.5745232641156264</v>
      </c>
      <c r="H147" s="3">
        <v>9.4787780314744694</v>
      </c>
      <c r="I147" s="3">
        <v>9.3839902511597248</v>
      </c>
      <c r="J147" s="3">
        <v>9.2901503486481278</v>
      </c>
      <c r="K147" s="3">
        <v>9.1972488451616456</v>
      </c>
      <c r="L147" s="3">
        <v>9.1052763567100286</v>
      </c>
      <c r="M147" s="3">
        <v>9.014223593142928</v>
      </c>
      <c r="N147" s="3">
        <v>8.9240813572114988</v>
      </c>
      <c r="O147" s="3">
        <v>8.834840543639384</v>
      </c>
      <c r="P147" s="3">
        <v>8.7464921382029903</v>
      </c>
      <c r="Q147" s="25">
        <v>8.6590272168209612</v>
      </c>
      <c r="R147" s="399">
        <f t="shared" si="507"/>
        <v>97.395852317211521</v>
      </c>
      <c r="S147" s="3">
        <f>Q147*99%</f>
        <v>8.5724369446527522</v>
      </c>
      <c r="T147" s="3">
        <f>S147*99%</f>
        <v>8.4867125752062247</v>
      </c>
      <c r="U147" s="3">
        <f t="shared" ref="U147:AD147" si="555">T147*99%</f>
        <v>8.4018454494541626</v>
      </c>
      <c r="V147" s="3">
        <f t="shared" si="555"/>
        <v>8.3178269949596206</v>
      </c>
      <c r="W147" s="3">
        <f t="shared" si="555"/>
        <v>8.2346487250100235</v>
      </c>
      <c r="X147" s="3">
        <f t="shared" si="555"/>
        <v>8.1523022377599226</v>
      </c>
      <c r="Y147" s="3">
        <f t="shared" si="555"/>
        <v>8.0707792153823235</v>
      </c>
      <c r="Z147" s="3">
        <f t="shared" si="555"/>
        <v>7.9900714232284997</v>
      </c>
      <c r="AA147" s="3">
        <f t="shared" si="555"/>
        <v>7.9101707089962146</v>
      </c>
      <c r="AB147" s="3">
        <f t="shared" si="555"/>
        <v>7.8310690019062523</v>
      </c>
      <c r="AC147" s="3">
        <f t="shared" si="555"/>
        <v>7.7527583118871899</v>
      </c>
      <c r="AD147" s="25">
        <f t="shared" si="555"/>
        <v>7.6752307287683177</v>
      </c>
      <c r="AE147" s="399">
        <f t="shared" si="509"/>
        <v>86.33021006187461</v>
      </c>
      <c r="AF147" s="1217">
        <f>AD147*99%</f>
        <v>7.5984784214806345</v>
      </c>
      <c r="AG147" s="1050">
        <f>AF147*99%</f>
        <v>7.5224936372658284</v>
      </c>
      <c r="AH147" s="1050">
        <f t="shared" ref="AH147" si="556">AG147*99%</f>
        <v>7.4472687008931704</v>
      </c>
      <c r="AI147" s="1050">
        <f t="shared" ref="AI147" si="557">AH147*99%</f>
        <v>7.3727960138842388</v>
      </c>
      <c r="AJ147" s="1050">
        <f t="shared" ref="AJ147" si="558">AI147*99%</f>
        <v>7.2990680537453967</v>
      </c>
      <c r="AK147" s="1050">
        <f t="shared" ref="AK147" si="559">AJ147*99%</f>
        <v>7.2260773732079429</v>
      </c>
      <c r="AL147" s="1050">
        <f t="shared" ref="AL147:AQ147" si="560">AK147*99%</f>
        <v>7.1538165994758636</v>
      </c>
      <c r="AM147" s="1050">
        <f t="shared" si="560"/>
        <v>7.0822784334811049</v>
      </c>
      <c r="AN147" s="1050">
        <f t="shared" si="560"/>
        <v>7.0114556491462938</v>
      </c>
      <c r="AO147" s="1050">
        <f t="shared" si="560"/>
        <v>6.9413410926548309</v>
      </c>
      <c r="AP147" s="1050">
        <f t="shared" si="560"/>
        <v>6.8719276817282822</v>
      </c>
      <c r="AQ147" s="1269">
        <f t="shared" si="560"/>
        <v>6.8032084049109995</v>
      </c>
      <c r="AR147" s="399">
        <f t="shared" si="511"/>
        <v>76.521792170921188</v>
      </c>
      <c r="AS147" s="918">
        <f>AQ147*99%</f>
        <v>6.7351763208618891</v>
      </c>
      <c r="AT147" s="918">
        <f>AS147*99%</f>
        <v>6.6678245576532698</v>
      </c>
      <c r="AU147" s="918">
        <f t="shared" ref="AU147" si="561">AT147*99%</f>
        <v>6.6011463120767369</v>
      </c>
      <c r="AV147" s="918">
        <f t="shared" ref="AV147" si="562">AU147*99%</f>
        <v>6.5351348489559697</v>
      </c>
      <c r="AW147" s="918">
        <f t="shared" ref="AW147" si="563">AV147*99%</f>
        <v>6.4697835004664102</v>
      </c>
      <c r="AX147" s="918">
        <f t="shared" ref="AX147" si="564">AW147*99%</f>
        <v>6.4050856654617458</v>
      </c>
      <c r="AY147" s="918">
        <f t="shared" ref="AY147" si="565">AX147*99%</f>
        <v>6.3410348088071284</v>
      </c>
      <c r="AZ147" s="918">
        <f t="shared" ref="AZ147" si="566">AY147*99%</f>
        <v>6.277624460719057</v>
      </c>
      <c r="BA147" s="918">
        <f t="shared" ref="BA147" si="567">AZ147*99%</f>
        <v>6.2148482161118661</v>
      </c>
      <c r="BB147" s="918">
        <f t="shared" ref="BB147" si="568">BA147*99%</f>
        <v>6.1526997339507474</v>
      </c>
      <c r="BC147" s="918">
        <f t="shared" ref="BC147" si="569">BB147*99%</f>
        <v>6.0911727366112398</v>
      </c>
      <c r="BD147" s="1137">
        <f t="shared" ref="BD147" si="570">BC147*99%</f>
        <v>6.0302610092451276</v>
      </c>
      <c r="BE147" s="940">
        <f t="shared" si="513"/>
        <v>67.827758936910286</v>
      </c>
      <c r="BF147" s="1554">
        <f>BD147*99%</f>
        <v>5.9699583991526763</v>
      </c>
      <c r="BG147" s="1555">
        <f>BF147*99%</f>
        <v>5.9102588151611499</v>
      </c>
      <c r="BH147" s="1555">
        <f t="shared" ref="BH147" si="571">BG147*99%</f>
        <v>5.8511562270095387</v>
      </c>
      <c r="BI147" s="1555">
        <f t="shared" ref="BI147" si="572">BH147*99%</f>
        <v>5.7926446647394432</v>
      </c>
      <c r="BJ147" s="1555">
        <f t="shared" ref="BJ147" si="573">BI147*99%</f>
        <v>5.7347182180920484</v>
      </c>
      <c r="BK147" s="1555">
        <f t="shared" ref="BK147" si="574">BJ147*99%</f>
        <v>5.6773710359111282</v>
      </c>
      <c r="BL147" s="1555">
        <f t="shared" ref="BL147" si="575">BK147*99%</f>
        <v>5.6205973255520165</v>
      </c>
      <c r="BM147" s="1555">
        <f t="shared" ref="BM147" si="576">BL147*99%</f>
        <v>5.5643913522964965</v>
      </c>
      <c r="BN147" s="1555">
        <f t="shared" ref="BN147" si="577">BM147*99%</f>
        <v>5.5087474387735318</v>
      </c>
      <c r="BO147" s="1555">
        <f t="shared" ref="BO147" si="578">BN147*99%</f>
        <v>5.4536599643857961</v>
      </c>
      <c r="BP147" s="1555">
        <f t="shared" ref="BP147" si="579">BO147*99%</f>
        <v>5.3991233647419383</v>
      </c>
      <c r="BQ147" s="1751">
        <f t="shared" ref="BQ147" si="580">BP147*99%</f>
        <v>5.3451321310945188</v>
      </c>
      <c r="BR147" s="940">
        <f t="shared" si="515"/>
        <v>60.12149940408576</v>
      </c>
      <c r="BS147" s="1554">
        <f>BQ147*99%</f>
        <v>5.2916808097835739</v>
      </c>
      <c r="BT147" s="1555">
        <f>BS147*99%</f>
        <v>5.2387640016857384</v>
      </c>
      <c r="BU147" s="1555">
        <f t="shared" ref="BU147" si="581">BT147*99%</f>
        <v>5.1863763616688807</v>
      </c>
      <c r="BV147" s="1555">
        <f t="shared" ref="BV147" si="582">BU147*99%</f>
        <v>5.1345125980521917</v>
      </c>
      <c r="BW147" s="1555">
        <f t="shared" ref="BW147" si="583">BV147*99%</f>
        <v>5.0831674720716702</v>
      </c>
      <c r="BX147" s="1555">
        <f t="shared" ref="BX147" si="584">BW147*99%</f>
        <v>5.032335797350953</v>
      </c>
      <c r="BY147" s="1555">
        <f t="shared" ref="BY147" si="585">BX147*99%</f>
        <v>4.9820124393774439</v>
      </c>
      <c r="BZ147" s="1555">
        <f t="shared" ref="BZ147" si="586">BY147*99%</f>
        <v>4.9321923149836691</v>
      </c>
      <c r="CA147" s="1555">
        <f t="shared" ref="CA147" si="587">BZ147*99%</f>
        <v>4.8828703918338325</v>
      </c>
      <c r="CB147" s="1555">
        <f t="shared" ref="CB147" si="588">CA147*99%</f>
        <v>4.8340416879154944</v>
      </c>
      <c r="CC147" s="1555">
        <f t="shared" ref="CC147" si="589">CB147*99%</f>
        <v>4.7857012710363396</v>
      </c>
      <c r="CD147" s="2880">
        <f t="shared" ref="CD147" si="590">CC147*99%</f>
        <v>4.7378442583259766</v>
      </c>
      <c r="CE147" s="940">
        <f t="shared" si="517"/>
        <v>53.290787536671907</v>
      </c>
      <c r="CF147" s="1554">
        <f>CD147*99%</f>
        <v>4.6904658157427166</v>
      </c>
      <c r="CG147" s="1555">
        <f>CF147*99%</f>
        <v>4.6435611575852898</v>
      </c>
      <c r="CH147" s="1555">
        <f t="shared" ref="CH147" si="591">CG147*99%</f>
        <v>4.5971255460094369</v>
      </c>
      <c r="CI147" s="1555">
        <f t="shared" ref="CI147" si="592">CH147*99%</f>
        <v>4.5511542905493423</v>
      </c>
      <c r="CJ147" s="1555">
        <f t="shared" ref="CJ147" si="593">CI147*99%</f>
        <v>4.505642747643849</v>
      </c>
      <c r="CK147" s="1555">
        <f t="shared" ref="CK147" si="594">CJ147*99%</f>
        <v>4.4605863201674101</v>
      </c>
      <c r="CL147" s="1555">
        <f t="shared" ref="CL147" si="595">CK147*99%</f>
        <v>4.4159804569657357</v>
      </c>
      <c r="CM147" s="1555">
        <f t="shared" ref="CM147" si="596">CL147*99%</f>
        <v>4.3718206523960781</v>
      </c>
      <c r="CN147" s="1555">
        <f t="shared" ref="CN147" si="597">CM147*99%</f>
        <v>4.3281024458721173</v>
      </c>
      <c r="CO147" s="1555">
        <f t="shared" ref="CO147" si="598">CN147*99%</f>
        <v>4.2848214214133957</v>
      </c>
      <c r="CP147" s="1555">
        <f t="shared" ref="CP147" si="599">CO147*99%</f>
        <v>4.241973207199262</v>
      </c>
      <c r="CQ147" s="1751">
        <f t="shared" ref="CQ147" si="600">CP147*99%</f>
        <v>4.199553475127269</v>
      </c>
    </row>
    <row r="148" spans="2:95" ht="17.5" hidden="1" customHeight="1">
      <c r="B148" s="3356"/>
      <c r="C148" s="3350" t="s">
        <v>301</v>
      </c>
      <c r="D148" s="210" t="s">
        <v>14</v>
      </c>
      <c r="E148" s="411">
        <f t="shared" ref="E148" si="601">SUM(E149:E154)</f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0</v>
      </c>
      <c r="O148" s="9">
        <v>0</v>
      </c>
      <c r="P148" s="9">
        <v>0</v>
      </c>
      <c r="Q148" s="268">
        <v>0</v>
      </c>
      <c r="R148" s="411">
        <f t="shared" ref="R148" si="602">SUM(R149:R154)</f>
        <v>0</v>
      </c>
      <c r="S148" s="9">
        <f>SUM(S149:S154)</f>
        <v>0</v>
      </c>
      <c r="T148" s="9">
        <f t="shared" ref="T148:AE148" si="603">SUM(T149:T154)</f>
        <v>0</v>
      </c>
      <c r="U148" s="9">
        <f t="shared" si="603"/>
        <v>0</v>
      </c>
      <c r="V148" s="9">
        <f t="shared" si="603"/>
        <v>0</v>
      </c>
      <c r="W148" s="9">
        <f t="shared" si="603"/>
        <v>0</v>
      </c>
      <c r="X148" s="9">
        <f t="shared" si="603"/>
        <v>0</v>
      </c>
      <c r="Y148" s="9">
        <f t="shared" si="603"/>
        <v>0</v>
      </c>
      <c r="Z148" s="9">
        <f t="shared" si="603"/>
        <v>0</v>
      </c>
      <c r="AA148" s="9">
        <f t="shared" si="603"/>
        <v>0</v>
      </c>
      <c r="AB148" s="9">
        <f t="shared" si="603"/>
        <v>0</v>
      </c>
      <c r="AC148" s="9">
        <f t="shared" si="603"/>
        <v>0</v>
      </c>
      <c r="AD148" s="268">
        <f t="shared" si="603"/>
        <v>0</v>
      </c>
      <c r="AE148" s="411">
        <f t="shared" si="603"/>
        <v>0</v>
      </c>
      <c r="AF148" s="1275">
        <f>SUM(AF149:AF154)</f>
        <v>0</v>
      </c>
      <c r="AG148" s="1276">
        <f t="shared" ref="AG148:AR148" si="604">SUM(AG149:AG154)</f>
        <v>0</v>
      </c>
      <c r="AH148" s="1276">
        <f t="shared" si="604"/>
        <v>0</v>
      </c>
      <c r="AI148" s="1276">
        <f t="shared" si="604"/>
        <v>0</v>
      </c>
      <c r="AJ148" s="1276">
        <f t="shared" si="604"/>
        <v>0</v>
      </c>
      <c r="AK148" s="1276">
        <f t="shared" si="604"/>
        <v>0</v>
      </c>
      <c r="AL148" s="1276">
        <f t="shared" si="604"/>
        <v>0</v>
      </c>
      <c r="AM148" s="1276">
        <f t="shared" si="604"/>
        <v>0</v>
      </c>
      <c r="AN148" s="1276">
        <f t="shared" si="604"/>
        <v>0</v>
      </c>
      <c r="AO148" s="1276">
        <f t="shared" si="604"/>
        <v>0</v>
      </c>
      <c r="AP148" s="1276">
        <f t="shared" si="604"/>
        <v>0</v>
      </c>
      <c r="AQ148" s="1277">
        <f t="shared" si="604"/>
        <v>0</v>
      </c>
      <c r="AR148" s="411">
        <f t="shared" si="604"/>
        <v>0</v>
      </c>
      <c r="AS148" s="1447">
        <f>SUM(AS149:AS154)</f>
        <v>0</v>
      </c>
      <c r="AT148" s="1447">
        <f t="shared" ref="AT148:BE148" si="605">SUM(AT149:AT154)</f>
        <v>0</v>
      </c>
      <c r="AU148" s="1447">
        <f t="shared" si="605"/>
        <v>0</v>
      </c>
      <c r="AV148" s="1447">
        <f t="shared" si="605"/>
        <v>0</v>
      </c>
      <c r="AW148" s="1447">
        <f t="shared" si="605"/>
        <v>0</v>
      </c>
      <c r="AX148" s="1447">
        <f t="shared" si="605"/>
        <v>0</v>
      </c>
      <c r="AY148" s="1447">
        <f t="shared" si="605"/>
        <v>0</v>
      </c>
      <c r="AZ148" s="1447">
        <f t="shared" si="605"/>
        <v>0</v>
      </c>
      <c r="BA148" s="1447">
        <f t="shared" si="605"/>
        <v>0</v>
      </c>
      <c r="BB148" s="1447">
        <f t="shared" si="605"/>
        <v>0</v>
      </c>
      <c r="BC148" s="1447">
        <f t="shared" si="605"/>
        <v>0</v>
      </c>
      <c r="BD148" s="1448">
        <f t="shared" si="605"/>
        <v>0</v>
      </c>
      <c r="BE148" s="952">
        <f t="shared" si="605"/>
        <v>0</v>
      </c>
      <c r="BF148" s="964">
        <f>SUM(BF149:BF154)</f>
        <v>0</v>
      </c>
      <c r="BG148" s="915">
        <f t="shared" ref="BG148:BR148" si="606">SUM(BG149:BG154)</f>
        <v>0</v>
      </c>
      <c r="BH148" s="915">
        <f t="shared" si="606"/>
        <v>0</v>
      </c>
      <c r="BI148" s="915">
        <f t="shared" si="606"/>
        <v>0</v>
      </c>
      <c r="BJ148" s="915">
        <f t="shared" si="606"/>
        <v>0</v>
      </c>
      <c r="BK148" s="915">
        <f t="shared" si="606"/>
        <v>0</v>
      </c>
      <c r="BL148" s="915">
        <f t="shared" si="606"/>
        <v>0</v>
      </c>
      <c r="BM148" s="915">
        <f t="shared" si="606"/>
        <v>0</v>
      </c>
      <c r="BN148" s="915">
        <f t="shared" si="606"/>
        <v>0</v>
      </c>
      <c r="BO148" s="915">
        <f t="shared" si="606"/>
        <v>0</v>
      </c>
      <c r="BP148" s="915">
        <f t="shared" si="606"/>
        <v>0</v>
      </c>
      <c r="BQ148" s="1754">
        <f t="shared" si="606"/>
        <v>0</v>
      </c>
      <c r="BR148" s="952">
        <f t="shared" si="606"/>
        <v>0</v>
      </c>
      <c r="BS148" s="964">
        <f>SUM(BS149:BS154)</f>
        <v>0</v>
      </c>
      <c r="BT148" s="915">
        <f t="shared" ref="BT148:CE148" si="607">SUM(BT149:BT154)</f>
        <v>0</v>
      </c>
      <c r="BU148" s="915">
        <f t="shared" si="607"/>
        <v>0</v>
      </c>
      <c r="BV148" s="915">
        <f t="shared" si="607"/>
        <v>0</v>
      </c>
      <c r="BW148" s="915">
        <f t="shared" si="607"/>
        <v>0</v>
      </c>
      <c r="BX148" s="915">
        <f t="shared" si="607"/>
        <v>0</v>
      </c>
      <c r="BY148" s="915">
        <f t="shared" si="607"/>
        <v>0</v>
      </c>
      <c r="BZ148" s="915">
        <f t="shared" si="607"/>
        <v>0</v>
      </c>
      <c r="CA148" s="915">
        <f t="shared" si="607"/>
        <v>0</v>
      </c>
      <c r="CB148" s="915">
        <f t="shared" si="607"/>
        <v>0</v>
      </c>
      <c r="CC148" s="915">
        <f t="shared" si="607"/>
        <v>0</v>
      </c>
      <c r="CD148" s="2884">
        <f t="shared" si="607"/>
        <v>0</v>
      </c>
      <c r="CE148" s="952">
        <f t="shared" si="607"/>
        <v>0</v>
      </c>
      <c r="CF148" s="964">
        <f>SUM(CF149:CF154)</f>
        <v>0</v>
      </c>
      <c r="CG148" s="915">
        <f t="shared" ref="CG148:CQ148" si="608">SUM(CG149:CG154)</f>
        <v>0</v>
      </c>
      <c r="CH148" s="915">
        <f t="shared" si="608"/>
        <v>0</v>
      </c>
      <c r="CI148" s="915">
        <f t="shared" si="608"/>
        <v>0</v>
      </c>
      <c r="CJ148" s="915">
        <f t="shared" si="608"/>
        <v>0</v>
      </c>
      <c r="CK148" s="915">
        <f t="shared" si="608"/>
        <v>0</v>
      </c>
      <c r="CL148" s="915">
        <f t="shared" si="608"/>
        <v>0</v>
      </c>
      <c r="CM148" s="915">
        <f t="shared" si="608"/>
        <v>0</v>
      </c>
      <c r="CN148" s="915">
        <f t="shared" si="608"/>
        <v>0</v>
      </c>
      <c r="CO148" s="915">
        <f t="shared" si="608"/>
        <v>0</v>
      </c>
      <c r="CP148" s="915">
        <f t="shared" si="608"/>
        <v>0</v>
      </c>
      <c r="CQ148" s="1754">
        <f t="shared" si="608"/>
        <v>0</v>
      </c>
    </row>
    <row r="149" spans="2:95" ht="17.5" hidden="1" customHeight="1">
      <c r="B149" s="3356"/>
      <c r="C149" s="3351"/>
      <c r="D149" s="201" t="s">
        <v>304</v>
      </c>
      <c r="E149" s="401">
        <f t="shared" ref="E149:E154" si="609">SUM(F149:Q149)</f>
        <v>0</v>
      </c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34"/>
      <c r="R149" s="401">
        <f t="shared" ref="R149:R154" si="610">SUM(S149:AD149)</f>
        <v>0</v>
      </c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34"/>
      <c r="AE149" s="401">
        <f t="shared" ref="AE149:AE154" si="611">SUM(AF149:AQ149)</f>
        <v>0</v>
      </c>
      <c r="AF149" s="1270"/>
      <c r="AG149" s="1271"/>
      <c r="AH149" s="1271"/>
      <c r="AI149" s="1271"/>
      <c r="AJ149" s="1271"/>
      <c r="AK149" s="1271"/>
      <c r="AL149" s="1271"/>
      <c r="AM149" s="1271"/>
      <c r="AN149" s="1271"/>
      <c r="AO149" s="1271"/>
      <c r="AP149" s="1271"/>
      <c r="AQ149" s="1272"/>
      <c r="AR149" s="401">
        <f t="shared" ref="AR149:AR154" si="612">SUM(AS149:BD149)</f>
        <v>0</v>
      </c>
      <c r="AS149" s="917"/>
      <c r="AT149" s="917"/>
      <c r="AU149" s="917"/>
      <c r="AV149" s="917"/>
      <c r="AW149" s="917"/>
      <c r="AX149" s="917"/>
      <c r="AY149" s="917"/>
      <c r="AZ149" s="917"/>
      <c r="BA149" s="917"/>
      <c r="BB149" s="917"/>
      <c r="BC149" s="917"/>
      <c r="BD149" s="1446"/>
      <c r="BE149" s="938">
        <f t="shared" ref="BE149:BE154" si="613">SUM(BF149:BQ149)</f>
        <v>0</v>
      </c>
      <c r="BF149" s="1556"/>
      <c r="BG149" s="1557"/>
      <c r="BH149" s="1557"/>
      <c r="BI149" s="1557"/>
      <c r="BJ149" s="1557"/>
      <c r="BK149" s="1557"/>
      <c r="BL149" s="1557"/>
      <c r="BM149" s="1557"/>
      <c r="BN149" s="1557"/>
      <c r="BO149" s="1557"/>
      <c r="BP149" s="1557"/>
      <c r="BQ149" s="1752"/>
      <c r="BR149" s="938">
        <f t="shared" ref="BR149:BR154" si="614">SUM(BS149:CD149)</f>
        <v>0</v>
      </c>
      <c r="BS149" s="1556"/>
      <c r="BT149" s="1557"/>
      <c r="BU149" s="1557"/>
      <c r="BV149" s="1557"/>
      <c r="BW149" s="1557"/>
      <c r="BX149" s="1557"/>
      <c r="BY149" s="1557"/>
      <c r="BZ149" s="1557"/>
      <c r="CA149" s="1557"/>
      <c r="CB149" s="1557"/>
      <c r="CC149" s="1557"/>
      <c r="CD149" s="2881"/>
      <c r="CE149" s="938">
        <f t="shared" ref="CE149:CE154" si="615">SUM(CF149:CQ149)</f>
        <v>0</v>
      </c>
      <c r="CF149" s="1556"/>
      <c r="CG149" s="1557"/>
      <c r="CH149" s="1557"/>
      <c r="CI149" s="1557"/>
      <c r="CJ149" s="1557"/>
      <c r="CK149" s="1557"/>
      <c r="CL149" s="1557"/>
      <c r="CM149" s="1557"/>
      <c r="CN149" s="1557"/>
      <c r="CO149" s="1557"/>
      <c r="CP149" s="1557"/>
      <c r="CQ149" s="1752"/>
    </row>
    <row r="150" spans="2:95" ht="17.5" hidden="1" customHeight="1">
      <c r="B150" s="3356"/>
      <c r="C150" s="3351"/>
      <c r="D150" s="201" t="s">
        <v>305</v>
      </c>
      <c r="E150" s="398">
        <f t="shared" si="609"/>
        <v>0</v>
      </c>
      <c r="F150" s="303"/>
      <c r="G150" s="303"/>
      <c r="H150" s="303"/>
      <c r="I150" s="303"/>
      <c r="J150" s="303"/>
      <c r="K150" s="303"/>
      <c r="L150" s="303"/>
      <c r="M150" s="303"/>
      <c r="N150" s="303"/>
      <c r="O150" s="303"/>
      <c r="P150" s="303"/>
      <c r="Q150" s="304"/>
      <c r="R150" s="398">
        <f t="shared" si="610"/>
        <v>0</v>
      </c>
      <c r="S150" s="303"/>
      <c r="T150" s="303"/>
      <c r="U150" s="303"/>
      <c r="V150" s="303"/>
      <c r="W150" s="303"/>
      <c r="X150" s="303"/>
      <c r="Y150" s="303"/>
      <c r="Z150" s="303"/>
      <c r="AA150" s="303"/>
      <c r="AB150" s="303"/>
      <c r="AC150" s="303"/>
      <c r="AD150" s="304"/>
      <c r="AE150" s="398">
        <f t="shared" si="611"/>
        <v>0</v>
      </c>
      <c r="AF150" s="1278"/>
      <c r="AG150" s="1279"/>
      <c r="AH150" s="1279"/>
      <c r="AI150" s="1279"/>
      <c r="AJ150" s="1279"/>
      <c r="AK150" s="1279"/>
      <c r="AL150" s="1279"/>
      <c r="AM150" s="1279"/>
      <c r="AN150" s="1279"/>
      <c r="AO150" s="1279"/>
      <c r="AP150" s="1279"/>
      <c r="AQ150" s="1280"/>
      <c r="AR150" s="398">
        <f t="shared" si="612"/>
        <v>0</v>
      </c>
      <c r="AS150" s="1449"/>
      <c r="AT150" s="1449"/>
      <c r="AU150" s="1449"/>
      <c r="AV150" s="1449"/>
      <c r="AW150" s="1449"/>
      <c r="AX150" s="1449"/>
      <c r="AY150" s="1449"/>
      <c r="AZ150" s="1449"/>
      <c r="BA150" s="1449"/>
      <c r="BB150" s="1449"/>
      <c r="BC150" s="1449"/>
      <c r="BD150" s="1450"/>
      <c r="BE150" s="937">
        <f t="shared" si="613"/>
        <v>0</v>
      </c>
      <c r="BF150" s="1559"/>
      <c r="BG150" s="1560"/>
      <c r="BH150" s="1560"/>
      <c r="BI150" s="1560"/>
      <c r="BJ150" s="1560"/>
      <c r="BK150" s="1560"/>
      <c r="BL150" s="1560"/>
      <c r="BM150" s="1560"/>
      <c r="BN150" s="1560"/>
      <c r="BO150" s="1560"/>
      <c r="BP150" s="1560"/>
      <c r="BQ150" s="1755"/>
      <c r="BR150" s="937">
        <f t="shared" si="614"/>
        <v>0</v>
      </c>
      <c r="BS150" s="1559"/>
      <c r="BT150" s="1560"/>
      <c r="BU150" s="1560"/>
      <c r="BV150" s="1560"/>
      <c r="BW150" s="1560"/>
      <c r="BX150" s="1560"/>
      <c r="BY150" s="1560"/>
      <c r="BZ150" s="1560"/>
      <c r="CA150" s="1560"/>
      <c r="CB150" s="1560"/>
      <c r="CC150" s="1560"/>
      <c r="CD150" s="2885"/>
      <c r="CE150" s="937">
        <f t="shared" si="615"/>
        <v>0</v>
      </c>
      <c r="CF150" s="1559"/>
      <c r="CG150" s="1560"/>
      <c r="CH150" s="1560"/>
      <c r="CI150" s="1560"/>
      <c r="CJ150" s="1560"/>
      <c r="CK150" s="1560"/>
      <c r="CL150" s="1560"/>
      <c r="CM150" s="1560"/>
      <c r="CN150" s="1560"/>
      <c r="CO150" s="1560"/>
      <c r="CP150" s="1560"/>
      <c r="CQ150" s="1755"/>
    </row>
    <row r="151" spans="2:95" ht="17.5" hidden="1" customHeight="1">
      <c r="B151" s="3356"/>
      <c r="C151" s="3351"/>
      <c r="D151" s="201" t="s">
        <v>306</v>
      </c>
      <c r="E151" s="398">
        <f t="shared" si="609"/>
        <v>0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25"/>
      <c r="R151" s="398">
        <f t="shared" si="610"/>
        <v>0</v>
      </c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25"/>
      <c r="AE151" s="398">
        <f t="shared" si="611"/>
        <v>0</v>
      </c>
      <c r="AF151" s="1217"/>
      <c r="AG151" s="1050"/>
      <c r="AH151" s="1050"/>
      <c r="AI151" s="1050"/>
      <c r="AJ151" s="1050"/>
      <c r="AK151" s="1050"/>
      <c r="AL151" s="1050"/>
      <c r="AM151" s="1050"/>
      <c r="AN151" s="1050"/>
      <c r="AO151" s="1050"/>
      <c r="AP151" s="1050"/>
      <c r="AQ151" s="1269"/>
      <c r="AR151" s="398">
        <f t="shared" si="612"/>
        <v>0</v>
      </c>
      <c r="AS151" s="918"/>
      <c r="AT151" s="918"/>
      <c r="AU151" s="918"/>
      <c r="AV151" s="918"/>
      <c r="AW151" s="918"/>
      <c r="AX151" s="918"/>
      <c r="AY151" s="918"/>
      <c r="AZ151" s="918"/>
      <c r="BA151" s="918"/>
      <c r="BB151" s="918"/>
      <c r="BC151" s="918"/>
      <c r="BD151" s="1137"/>
      <c r="BE151" s="937">
        <f t="shared" si="613"/>
        <v>0</v>
      </c>
      <c r="BF151" s="1554"/>
      <c r="BG151" s="1555"/>
      <c r="BH151" s="1555"/>
      <c r="BI151" s="1555"/>
      <c r="BJ151" s="1555"/>
      <c r="BK151" s="1555"/>
      <c r="BL151" s="1555"/>
      <c r="BM151" s="1555"/>
      <c r="BN151" s="1555"/>
      <c r="BO151" s="1555"/>
      <c r="BP151" s="1555"/>
      <c r="BQ151" s="1751"/>
      <c r="BR151" s="937">
        <f t="shared" si="614"/>
        <v>0</v>
      </c>
      <c r="BS151" s="1554"/>
      <c r="BT151" s="1555"/>
      <c r="BU151" s="1555"/>
      <c r="BV151" s="1555"/>
      <c r="BW151" s="1555"/>
      <c r="BX151" s="1555"/>
      <c r="BY151" s="1555"/>
      <c r="BZ151" s="1555"/>
      <c r="CA151" s="1555"/>
      <c r="CB151" s="1555"/>
      <c r="CC151" s="1555"/>
      <c r="CD151" s="2880"/>
      <c r="CE151" s="937">
        <f t="shared" si="615"/>
        <v>0</v>
      </c>
      <c r="CF151" s="1554"/>
      <c r="CG151" s="1555"/>
      <c r="CH151" s="1555"/>
      <c r="CI151" s="1555"/>
      <c r="CJ151" s="1555"/>
      <c r="CK151" s="1555"/>
      <c r="CL151" s="1555"/>
      <c r="CM151" s="1555"/>
      <c r="CN151" s="1555"/>
      <c r="CO151" s="1555"/>
      <c r="CP151" s="1555"/>
      <c r="CQ151" s="1751"/>
    </row>
    <row r="152" spans="2:95" ht="17.5" hidden="1" customHeight="1">
      <c r="B152" s="3356"/>
      <c r="C152" s="3351"/>
      <c r="D152" s="201" t="s">
        <v>681</v>
      </c>
      <c r="E152" s="398">
        <f t="shared" si="609"/>
        <v>0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25"/>
      <c r="R152" s="398">
        <f t="shared" si="610"/>
        <v>0</v>
      </c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25"/>
      <c r="AE152" s="398">
        <f t="shared" si="611"/>
        <v>0</v>
      </c>
      <c r="AF152" s="1217"/>
      <c r="AG152" s="1050"/>
      <c r="AH152" s="1050"/>
      <c r="AI152" s="1050"/>
      <c r="AJ152" s="1050"/>
      <c r="AK152" s="1050"/>
      <c r="AL152" s="1050"/>
      <c r="AM152" s="1050"/>
      <c r="AN152" s="1050"/>
      <c r="AO152" s="1050"/>
      <c r="AP152" s="1050"/>
      <c r="AQ152" s="1269"/>
      <c r="AR152" s="398">
        <f t="shared" si="612"/>
        <v>0</v>
      </c>
      <c r="AS152" s="918"/>
      <c r="AT152" s="918"/>
      <c r="AU152" s="918"/>
      <c r="AV152" s="918"/>
      <c r="AW152" s="918"/>
      <c r="AX152" s="918"/>
      <c r="AY152" s="918"/>
      <c r="AZ152" s="918"/>
      <c r="BA152" s="918"/>
      <c r="BB152" s="918"/>
      <c r="BC152" s="918"/>
      <c r="BD152" s="1137"/>
      <c r="BE152" s="937">
        <f t="shared" si="613"/>
        <v>0</v>
      </c>
      <c r="BF152" s="1554"/>
      <c r="BG152" s="1555"/>
      <c r="BH152" s="1555"/>
      <c r="BI152" s="1555"/>
      <c r="BJ152" s="1555"/>
      <c r="BK152" s="1555"/>
      <c r="BL152" s="1555"/>
      <c r="BM152" s="1555"/>
      <c r="BN152" s="1555"/>
      <c r="BO152" s="1555"/>
      <c r="BP152" s="1555"/>
      <c r="BQ152" s="1751"/>
      <c r="BR152" s="937">
        <f t="shared" si="614"/>
        <v>0</v>
      </c>
      <c r="BS152" s="1554"/>
      <c r="BT152" s="1555"/>
      <c r="BU152" s="1555"/>
      <c r="BV152" s="1555"/>
      <c r="BW152" s="1555"/>
      <c r="BX152" s="1555"/>
      <c r="BY152" s="1555"/>
      <c r="BZ152" s="1555"/>
      <c r="CA152" s="1555"/>
      <c r="CB152" s="1555"/>
      <c r="CC152" s="1555"/>
      <c r="CD152" s="2880"/>
      <c r="CE152" s="937">
        <f t="shared" si="615"/>
        <v>0</v>
      </c>
      <c r="CF152" s="1554"/>
      <c r="CG152" s="1555"/>
      <c r="CH152" s="1555"/>
      <c r="CI152" s="1555"/>
      <c r="CJ152" s="1555"/>
      <c r="CK152" s="1555"/>
      <c r="CL152" s="1555"/>
      <c r="CM152" s="1555"/>
      <c r="CN152" s="1555"/>
      <c r="CO152" s="1555"/>
      <c r="CP152" s="1555"/>
      <c r="CQ152" s="1751"/>
    </row>
    <row r="153" spans="2:95" ht="17.5" hidden="1" customHeight="1">
      <c r="B153" s="3356"/>
      <c r="C153" s="3351"/>
      <c r="D153" s="201" t="s">
        <v>334</v>
      </c>
      <c r="E153" s="398">
        <f t="shared" si="609"/>
        <v>0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25"/>
      <c r="R153" s="398">
        <f t="shared" si="610"/>
        <v>0</v>
      </c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25"/>
      <c r="AE153" s="398">
        <f t="shared" si="611"/>
        <v>0</v>
      </c>
      <c r="AF153" s="1217"/>
      <c r="AG153" s="1050"/>
      <c r="AH153" s="1050"/>
      <c r="AI153" s="1050"/>
      <c r="AJ153" s="1050"/>
      <c r="AK153" s="1050"/>
      <c r="AL153" s="1050"/>
      <c r="AM153" s="1050"/>
      <c r="AN153" s="1050"/>
      <c r="AO153" s="1050"/>
      <c r="AP153" s="1050"/>
      <c r="AQ153" s="1269"/>
      <c r="AR153" s="398">
        <f t="shared" si="612"/>
        <v>0</v>
      </c>
      <c r="AS153" s="918"/>
      <c r="AT153" s="918"/>
      <c r="AU153" s="918"/>
      <c r="AV153" s="918"/>
      <c r="AW153" s="918"/>
      <c r="AX153" s="918"/>
      <c r="AY153" s="918"/>
      <c r="AZ153" s="918"/>
      <c r="BA153" s="918"/>
      <c r="BB153" s="918"/>
      <c r="BC153" s="918"/>
      <c r="BD153" s="1137"/>
      <c r="BE153" s="937">
        <f t="shared" si="613"/>
        <v>0</v>
      </c>
      <c r="BF153" s="1554"/>
      <c r="BG153" s="1555"/>
      <c r="BH153" s="1555"/>
      <c r="BI153" s="1555"/>
      <c r="BJ153" s="1555"/>
      <c r="BK153" s="1555"/>
      <c r="BL153" s="1555"/>
      <c r="BM153" s="1555"/>
      <c r="BN153" s="1555"/>
      <c r="BO153" s="1555"/>
      <c r="BP153" s="1555"/>
      <c r="BQ153" s="1751"/>
      <c r="BR153" s="937">
        <f t="shared" si="614"/>
        <v>0</v>
      </c>
      <c r="BS153" s="1554"/>
      <c r="BT153" s="1555"/>
      <c r="BU153" s="1555"/>
      <c r="BV153" s="1555"/>
      <c r="BW153" s="1555"/>
      <c r="BX153" s="1555"/>
      <c r="BY153" s="1555"/>
      <c r="BZ153" s="1555"/>
      <c r="CA153" s="1555"/>
      <c r="CB153" s="1555"/>
      <c r="CC153" s="1555"/>
      <c r="CD153" s="2880"/>
      <c r="CE153" s="937">
        <f t="shared" si="615"/>
        <v>0</v>
      </c>
      <c r="CF153" s="1554"/>
      <c r="CG153" s="1555"/>
      <c r="CH153" s="1555"/>
      <c r="CI153" s="1555"/>
      <c r="CJ153" s="1555"/>
      <c r="CK153" s="1555"/>
      <c r="CL153" s="1555"/>
      <c r="CM153" s="1555"/>
      <c r="CN153" s="1555"/>
      <c r="CO153" s="1555"/>
      <c r="CP153" s="1555"/>
      <c r="CQ153" s="1751"/>
    </row>
    <row r="154" spans="2:95" ht="17.5" hidden="1" customHeight="1">
      <c r="B154" s="3356"/>
      <c r="C154" s="3351"/>
      <c r="D154" s="305" t="s">
        <v>295</v>
      </c>
      <c r="E154" s="412">
        <f t="shared" si="609"/>
        <v>0</v>
      </c>
      <c r="F154" s="225"/>
      <c r="G154" s="225"/>
      <c r="H154" s="225"/>
      <c r="I154" s="225"/>
      <c r="J154" s="225"/>
      <c r="K154" s="225"/>
      <c r="L154" s="225"/>
      <c r="M154" s="225"/>
      <c r="N154" s="225"/>
      <c r="O154" s="225"/>
      <c r="P154" s="225"/>
      <c r="Q154" s="306"/>
      <c r="R154" s="412">
        <f t="shared" si="610"/>
        <v>0</v>
      </c>
      <c r="S154" s="225"/>
      <c r="T154" s="225"/>
      <c r="U154" s="225"/>
      <c r="V154" s="225"/>
      <c r="W154" s="225"/>
      <c r="X154" s="225"/>
      <c r="Y154" s="225"/>
      <c r="Z154" s="225"/>
      <c r="AA154" s="225"/>
      <c r="AB154" s="225"/>
      <c r="AC154" s="225"/>
      <c r="AD154" s="306"/>
      <c r="AE154" s="412">
        <f t="shared" si="611"/>
        <v>0</v>
      </c>
      <c r="AF154" s="1281"/>
      <c r="AG154" s="1282"/>
      <c r="AH154" s="1282"/>
      <c r="AI154" s="1282"/>
      <c r="AJ154" s="1282"/>
      <c r="AK154" s="1282"/>
      <c r="AL154" s="1282"/>
      <c r="AM154" s="1282"/>
      <c r="AN154" s="1282"/>
      <c r="AO154" s="1282"/>
      <c r="AP154" s="1282"/>
      <c r="AQ154" s="1283"/>
      <c r="AR154" s="412">
        <f t="shared" si="612"/>
        <v>0</v>
      </c>
      <c r="AS154" s="1451"/>
      <c r="AT154" s="1451"/>
      <c r="AU154" s="1451"/>
      <c r="AV154" s="1451"/>
      <c r="AW154" s="1451"/>
      <c r="AX154" s="1451"/>
      <c r="AY154" s="1451"/>
      <c r="AZ154" s="1451"/>
      <c r="BA154" s="1451"/>
      <c r="BB154" s="1451"/>
      <c r="BC154" s="1451"/>
      <c r="BD154" s="1452"/>
      <c r="BE154" s="950">
        <f t="shared" si="613"/>
        <v>0</v>
      </c>
      <c r="BF154" s="1561"/>
      <c r="BG154" s="1562"/>
      <c r="BH154" s="1562"/>
      <c r="BI154" s="1562"/>
      <c r="BJ154" s="1562"/>
      <c r="BK154" s="1562"/>
      <c r="BL154" s="1562"/>
      <c r="BM154" s="1562"/>
      <c r="BN154" s="1562"/>
      <c r="BO154" s="1562"/>
      <c r="BP154" s="1562"/>
      <c r="BQ154" s="1756"/>
      <c r="BR154" s="950">
        <f t="shared" si="614"/>
        <v>0</v>
      </c>
      <c r="BS154" s="1561"/>
      <c r="BT154" s="1562"/>
      <c r="BU154" s="1562"/>
      <c r="BV154" s="1562"/>
      <c r="BW154" s="1562"/>
      <c r="BX154" s="1562"/>
      <c r="BY154" s="1562"/>
      <c r="BZ154" s="1562"/>
      <c r="CA154" s="1562"/>
      <c r="CB154" s="1562"/>
      <c r="CC154" s="1562"/>
      <c r="CD154" s="2886"/>
      <c r="CE154" s="950">
        <f t="shared" si="615"/>
        <v>0</v>
      </c>
      <c r="CF154" s="1561"/>
      <c r="CG154" s="1562"/>
      <c r="CH154" s="1562"/>
      <c r="CI154" s="1562"/>
      <c r="CJ154" s="1562"/>
      <c r="CK154" s="1562"/>
      <c r="CL154" s="1562"/>
      <c r="CM154" s="1562"/>
      <c r="CN154" s="1562"/>
      <c r="CO154" s="1562"/>
      <c r="CP154" s="1562"/>
      <c r="CQ154" s="1756"/>
    </row>
    <row r="155" spans="2:95" ht="17.5" hidden="1" customHeight="1">
      <c r="B155" s="3356"/>
      <c r="C155" s="3350" t="s">
        <v>308</v>
      </c>
      <c r="D155" s="210" t="s">
        <v>14</v>
      </c>
      <c r="E155" s="397">
        <f>SUM(E156:E163)</f>
        <v>0</v>
      </c>
      <c r="F155" s="212">
        <v>0</v>
      </c>
      <c r="G155" s="212">
        <v>0</v>
      </c>
      <c r="H155" s="212">
        <v>0</v>
      </c>
      <c r="I155" s="212">
        <v>0</v>
      </c>
      <c r="J155" s="212">
        <v>0</v>
      </c>
      <c r="K155" s="212">
        <v>0</v>
      </c>
      <c r="L155" s="212">
        <v>0</v>
      </c>
      <c r="M155" s="212">
        <v>0</v>
      </c>
      <c r="N155" s="212">
        <v>0</v>
      </c>
      <c r="O155" s="212">
        <v>0</v>
      </c>
      <c r="P155" s="212">
        <v>0</v>
      </c>
      <c r="Q155" s="226">
        <v>0</v>
      </c>
      <c r="R155" s="397">
        <f>SUM(R156:R163)</f>
        <v>0</v>
      </c>
      <c r="S155" s="212">
        <f>SUM(S156:S163)</f>
        <v>0</v>
      </c>
      <c r="T155" s="212">
        <f t="shared" ref="T155:AD155" si="616">SUM(T156:T163)</f>
        <v>0</v>
      </c>
      <c r="U155" s="212">
        <f t="shared" si="616"/>
        <v>0</v>
      </c>
      <c r="V155" s="212">
        <f t="shared" si="616"/>
        <v>0</v>
      </c>
      <c r="W155" s="212">
        <f t="shared" si="616"/>
        <v>0</v>
      </c>
      <c r="X155" s="212">
        <f t="shared" si="616"/>
        <v>0</v>
      </c>
      <c r="Y155" s="212">
        <f t="shared" si="616"/>
        <v>0</v>
      </c>
      <c r="Z155" s="212">
        <f t="shared" si="616"/>
        <v>0</v>
      </c>
      <c r="AA155" s="212">
        <f t="shared" si="616"/>
        <v>0</v>
      </c>
      <c r="AB155" s="212">
        <f t="shared" si="616"/>
        <v>0</v>
      </c>
      <c r="AC155" s="212">
        <f t="shared" si="616"/>
        <v>0</v>
      </c>
      <c r="AD155" s="226">
        <f t="shared" si="616"/>
        <v>0</v>
      </c>
      <c r="AE155" s="397">
        <f>SUM(AE156:AE163)</f>
        <v>0</v>
      </c>
      <c r="AF155" s="1258">
        <f>SUM(AF156:AF163)</f>
        <v>0</v>
      </c>
      <c r="AG155" s="1191">
        <f t="shared" ref="AG155:AQ155" si="617">SUM(AG156:AG163)</f>
        <v>0</v>
      </c>
      <c r="AH155" s="1191">
        <f t="shared" si="617"/>
        <v>0</v>
      </c>
      <c r="AI155" s="1191">
        <f t="shared" si="617"/>
        <v>0</v>
      </c>
      <c r="AJ155" s="1191">
        <f t="shared" si="617"/>
        <v>0</v>
      </c>
      <c r="AK155" s="1191">
        <f t="shared" si="617"/>
        <v>0</v>
      </c>
      <c r="AL155" s="1191">
        <f t="shared" si="617"/>
        <v>0</v>
      </c>
      <c r="AM155" s="1191">
        <f t="shared" si="617"/>
        <v>0</v>
      </c>
      <c r="AN155" s="1191">
        <f t="shared" si="617"/>
        <v>0</v>
      </c>
      <c r="AO155" s="1191">
        <f t="shared" si="617"/>
        <v>0</v>
      </c>
      <c r="AP155" s="1191">
        <f t="shared" si="617"/>
        <v>0</v>
      </c>
      <c r="AQ155" s="1268">
        <f t="shared" si="617"/>
        <v>0</v>
      </c>
      <c r="AR155" s="397">
        <f>SUM(AR156:AR163)</f>
        <v>0</v>
      </c>
      <c r="AS155" s="916">
        <f>SUM(AS156:AS163)</f>
        <v>0</v>
      </c>
      <c r="AT155" s="916">
        <f t="shared" ref="AT155:BD155" si="618">SUM(AT156:AT163)</f>
        <v>0</v>
      </c>
      <c r="AU155" s="916">
        <f t="shared" si="618"/>
        <v>0</v>
      </c>
      <c r="AV155" s="916">
        <f t="shared" si="618"/>
        <v>0</v>
      </c>
      <c r="AW155" s="916">
        <f t="shared" si="618"/>
        <v>0</v>
      </c>
      <c r="AX155" s="916">
        <f t="shared" si="618"/>
        <v>0</v>
      </c>
      <c r="AY155" s="916">
        <f t="shared" si="618"/>
        <v>0</v>
      </c>
      <c r="AZ155" s="916">
        <f t="shared" si="618"/>
        <v>0</v>
      </c>
      <c r="BA155" s="916">
        <f t="shared" si="618"/>
        <v>0</v>
      </c>
      <c r="BB155" s="916">
        <f t="shared" si="618"/>
        <v>0</v>
      </c>
      <c r="BC155" s="916">
        <f t="shared" si="618"/>
        <v>0</v>
      </c>
      <c r="BD155" s="1445">
        <f t="shared" si="618"/>
        <v>0</v>
      </c>
      <c r="BE155" s="936">
        <f>SUM(BE156:BE163)</f>
        <v>0</v>
      </c>
      <c r="BF155" s="397">
        <f>SUM(BF156:BF163)</f>
        <v>0</v>
      </c>
      <c r="BG155" s="415">
        <f t="shared" ref="BG155:BQ155" si="619">SUM(BG156:BG163)</f>
        <v>0</v>
      </c>
      <c r="BH155" s="415">
        <f t="shared" si="619"/>
        <v>0</v>
      </c>
      <c r="BI155" s="415">
        <f t="shared" si="619"/>
        <v>0</v>
      </c>
      <c r="BJ155" s="415">
        <f t="shared" si="619"/>
        <v>0</v>
      </c>
      <c r="BK155" s="415">
        <f t="shared" si="619"/>
        <v>0</v>
      </c>
      <c r="BL155" s="415">
        <f t="shared" si="619"/>
        <v>0</v>
      </c>
      <c r="BM155" s="415">
        <f t="shared" si="619"/>
        <v>0</v>
      </c>
      <c r="BN155" s="415">
        <f t="shared" si="619"/>
        <v>0</v>
      </c>
      <c r="BO155" s="415">
        <f t="shared" si="619"/>
        <v>0</v>
      </c>
      <c r="BP155" s="415">
        <f t="shared" si="619"/>
        <v>0</v>
      </c>
      <c r="BQ155" s="1738">
        <f t="shared" si="619"/>
        <v>0</v>
      </c>
      <c r="BR155" s="936">
        <f>SUM(BR156:BR163)</f>
        <v>0</v>
      </c>
      <c r="BS155" s="397">
        <f>SUM(BS156:BS163)</f>
        <v>0</v>
      </c>
      <c r="BT155" s="415">
        <f t="shared" ref="BT155:CD155" si="620">SUM(BT156:BT163)</f>
        <v>0</v>
      </c>
      <c r="BU155" s="415">
        <f t="shared" si="620"/>
        <v>0</v>
      </c>
      <c r="BV155" s="415">
        <f t="shared" si="620"/>
        <v>0</v>
      </c>
      <c r="BW155" s="415">
        <f t="shared" si="620"/>
        <v>0</v>
      </c>
      <c r="BX155" s="415">
        <f t="shared" si="620"/>
        <v>0</v>
      </c>
      <c r="BY155" s="415">
        <f t="shared" si="620"/>
        <v>0</v>
      </c>
      <c r="BZ155" s="415">
        <f t="shared" si="620"/>
        <v>0</v>
      </c>
      <c r="CA155" s="415">
        <f t="shared" si="620"/>
        <v>0</v>
      </c>
      <c r="CB155" s="415">
        <f t="shared" si="620"/>
        <v>0</v>
      </c>
      <c r="CC155" s="415">
        <f t="shared" si="620"/>
        <v>0</v>
      </c>
      <c r="CD155" s="2879">
        <f t="shared" si="620"/>
        <v>0</v>
      </c>
      <c r="CE155" s="936">
        <f>SUM(CE156:CE163)</f>
        <v>0</v>
      </c>
      <c r="CF155" s="397">
        <f>SUM(CF156:CF163)</f>
        <v>0</v>
      </c>
      <c r="CG155" s="415">
        <f t="shared" ref="CG155:CQ155" si="621">SUM(CG156:CG163)</f>
        <v>0</v>
      </c>
      <c r="CH155" s="415">
        <f t="shared" si="621"/>
        <v>0</v>
      </c>
      <c r="CI155" s="415">
        <f t="shared" si="621"/>
        <v>0</v>
      </c>
      <c r="CJ155" s="415">
        <f t="shared" si="621"/>
        <v>0</v>
      </c>
      <c r="CK155" s="415">
        <f t="shared" si="621"/>
        <v>0</v>
      </c>
      <c r="CL155" s="415">
        <f t="shared" si="621"/>
        <v>0</v>
      </c>
      <c r="CM155" s="415">
        <f t="shared" si="621"/>
        <v>0</v>
      </c>
      <c r="CN155" s="415">
        <f t="shared" si="621"/>
        <v>0</v>
      </c>
      <c r="CO155" s="415">
        <f t="shared" si="621"/>
        <v>0</v>
      </c>
      <c r="CP155" s="415">
        <f t="shared" si="621"/>
        <v>0</v>
      </c>
      <c r="CQ155" s="1738">
        <f t="shared" si="621"/>
        <v>0</v>
      </c>
    </row>
    <row r="156" spans="2:95" ht="17.5" hidden="1" customHeight="1">
      <c r="B156" s="3356"/>
      <c r="C156" s="3351"/>
      <c r="D156" s="201" t="s">
        <v>304</v>
      </c>
      <c r="E156" s="401">
        <f>SUM(F156:Q156)</f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0</v>
      </c>
      <c r="Q156" s="134">
        <v>0</v>
      </c>
      <c r="R156" s="401">
        <f>SUM(S156:AD156)</f>
        <v>0</v>
      </c>
      <c r="S156" s="17">
        <f>Q156*99%</f>
        <v>0</v>
      </c>
      <c r="T156" s="17">
        <f>S156*99%</f>
        <v>0</v>
      </c>
      <c r="U156" s="17">
        <f t="shared" ref="U156:AD163" si="622">T156*99%</f>
        <v>0</v>
      </c>
      <c r="V156" s="17">
        <f t="shared" si="622"/>
        <v>0</v>
      </c>
      <c r="W156" s="17">
        <f t="shared" si="622"/>
        <v>0</v>
      </c>
      <c r="X156" s="17">
        <f t="shared" si="622"/>
        <v>0</v>
      </c>
      <c r="Y156" s="17">
        <f t="shared" si="622"/>
        <v>0</v>
      </c>
      <c r="Z156" s="17">
        <f t="shared" si="622"/>
        <v>0</v>
      </c>
      <c r="AA156" s="17">
        <f t="shared" si="622"/>
        <v>0</v>
      </c>
      <c r="AB156" s="17">
        <f t="shared" si="622"/>
        <v>0</v>
      </c>
      <c r="AC156" s="17">
        <f t="shared" si="622"/>
        <v>0</v>
      </c>
      <c r="AD156" s="134">
        <f t="shared" si="622"/>
        <v>0</v>
      </c>
      <c r="AE156" s="401">
        <f>SUM(AF156:AQ156)</f>
        <v>0</v>
      </c>
      <c r="AF156" s="1270">
        <f>AD156*99%</f>
        <v>0</v>
      </c>
      <c r="AG156" s="1271">
        <f>AF156*99%</f>
        <v>0</v>
      </c>
      <c r="AH156" s="1271">
        <f t="shared" ref="AH156:AH163" si="623">AG156*99%</f>
        <v>0</v>
      </c>
      <c r="AI156" s="1271">
        <f t="shared" ref="AI156:AI163" si="624">AH156*99%</f>
        <v>0</v>
      </c>
      <c r="AJ156" s="1271">
        <f t="shared" ref="AJ156:AJ163" si="625">AI156*99%</f>
        <v>0</v>
      </c>
      <c r="AK156" s="1271">
        <f t="shared" ref="AK156:AK163" si="626">AJ156*99%</f>
        <v>0</v>
      </c>
      <c r="AL156" s="1271">
        <f t="shared" ref="AL156:AQ163" si="627">AK156*99%</f>
        <v>0</v>
      </c>
      <c r="AM156" s="1271">
        <f t="shared" si="627"/>
        <v>0</v>
      </c>
      <c r="AN156" s="1271">
        <f t="shared" si="627"/>
        <v>0</v>
      </c>
      <c r="AO156" s="1271">
        <f t="shared" si="627"/>
        <v>0</v>
      </c>
      <c r="AP156" s="1271">
        <f t="shared" si="627"/>
        <v>0</v>
      </c>
      <c r="AQ156" s="1272">
        <f t="shared" si="627"/>
        <v>0</v>
      </c>
      <c r="AR156" s="401">
        <f>SUM(AS156:BD156)</f>
        <v>0</v>
      </c>
      <c r="AS156" s="917">
        <f>AQ156*99%</f>
        <v>0</v>
      </c>
      <c r="AT156" s="917">
        <f>AS156*99%</f>
        <v>0</v>
      </c>
      <c r="AU156" s="917">
        <f t="shared" ref="AU156:AU163" si="628">AT156*99%</f>
        <v>0</v>
      </c>
      <c r="AV156" s="917">
        <f t="shared" ref="AV156:AV163" si="629">AU156*99%</f>
        <v>0</v>
      </c>
      <c r="AW156" s="917">
        <f t="shared" ref="AW156:AW163" si="630">AV156*99%</f>
        <v>0</v>
      </c>
      <c r="AX156" s="917">
        <f t="shared" ref="AX156:AX163" si="631">AW156*99%</f>
        <v>0</v>
      </c>
      <c r="AY156" s="917">
        <f t="shared" ref="AY156:AY163" si="632">AX156*99%</f>
        <v>0</v>
      </c>
      <c r="AZ156" s="917">
        <f t="shared" ref="AZ156:AZ163" si="633">AY156*99%</f>
        <v>0</v>
      </c>
      <c r="BA156" s="917">
        <f t="shared" ref="BA156:BA163" si="634">AZ156*99%</f>
        <v>0</v>
      </c>
      <c r="BB156" s="917">
        <f t="shared" ref="BB156:BB163" si="635">BA156*99%</f>
        <v>0</v>
      </c>
      <c r="BC156" s="917">
        <f t="shared" ref="BC156:BC163" si="636">BB156*99%</f>
        <v>0</v>
      </c>
      <c r="BD156" s="1446">
        <f t="shared" ref="BD156:BD163" si="637">BC156*99%</f>
        <v>0</v>
      </c>
      <c r="BE156" s="938">
        <f>SUM(BF156:BQ156)</f>
        <v>0</v>
      </c>
      <c r="BF156" s="1556">
        <f>BD156*99%</f>
        <v>0</v>
      </c>
      <c r="BG156" s="1557">
        <f>BF156*99%</f>
        <v>0</v>
      </c>
      <c r="BH156" s="1557">
        <f t="shared" ref="BH156:BH163" si="638">BG156*99%</f>
        <v>0</v>
      </c>
      <c r="BI156" s="1557">
        <f t="shared" ref="BI156:BI163" si="639">BH156*99%</f>
        <v>0</v>
      </c>
      <c r="BJ156" s="1557">
        <f t="shared" ref="BJ156:BJ163" si="640">BI156*99%</f>
        <v>0</v>
      </c>
      <c r="BK156" s="1557">
        <f t="shared" ref="BK156:BK163" si="641">BJ156*99%</f>
        <v>0</v>
      </c>
      <c r="BL156" s="1557">
        <f t="shared" ref="BL156:BL163" si="642">BK156*99%</f>
        <v>0</v>
      </c>
      <c r="BM156" s="1557">
        <f t="shared" ref="BM156:BM163" si="643">BL156*99%</f>
        <v>0</v>
      </c>
      <c r="BN156" s="1557">
        <f t="shared" ref="BN156:BN163" si="644">BM156*99%</f>
        <v>0</v>
      </c>
      <c r="BO156" s="1557">
        <f t="shared" ref="BO156:BO163" si="645">BN156*99%</f>
        <v>0</v>
      </c>
      <c r="BP156" s="1557">
        <f t="shared" ref="BP156:BP163" si="646">BO156*99%</f>
        <v>0</v>
      </c>
      <c r="BQ156" s="1752">
        <f t="shared" ref="BQ156:BQ163" si="647">BP156*99%</f>
        <v>0</v>
      </c>
      <c r="BR156" s="938">
        <f>SUM(BS156:CD156)</f>
        <v>0</v>
      </c>
      <c r="BS156" s="1556">
        <f>BQ156*99%</f>
        <v>0</v>
      </c>
      <c r="BT156" s="1557">
        <f>BS156*99%</f>
        <v>0</v>
      </c>
      <c r="BU156" s="1557">
        <f t="shared" ref="BU156:BU163" si="648">BT156*99%</f>
        <v>0</v>
      </c>
      <c r="BV156" s="1557">
        <f t="shared" ref="BV156:BV163" si="649">BU156*99%</f>
        <v>0</v>
      </c>
      <c r="BW156" s="1557">
        <f t="shared" ref="BW156:BW163" si="650">BV156*99%</f>
        <v>0</v>
      </c>
      <c r="BX156" s="1557">
        <f t="shared" ref="BX156:BX163" si="651">BW156*99%</f>
        <v>0</v>
      </c>
      <c r="BY156" s="1557">
        <f t="shared" ref="BY156:BY163" si="652">BX156*99%</f>
        <v>0</v>
      </c>
      <c r="BZ156" s="1557">
        <f t="shared" ref="BZ156:BZ163" si="653">BY156*99%</f>
        <v>0</v>
      </c>
      <c r="CA156" s="1557">
        <f t="shared" ref="CA156:CA163" si="654">BZ156*99%</f>
        <v>0</v>
      </c>
      <c r="CB156" s="1557">
        <f t="shared" ref="CB156:CB163" si="655">CA156*99%</f>
        <v>0</v>
      </c>
      <c r="CC156" s="1557">
        <f t="shared" ref="CC156:CC163" si="656">CB156*99%</f>
        <v>0</v>
      </c>
      <c r="CD156" s="2881">
        <f t="shared" ref="CD156:CD163" si="657">CC156*99%</f>
        <v>0</v>
      </c>
      <c r="CE156" s="938">
        <f>SUM(CF156:CQ156)</f>
        <v>0</v>
      </c>
      <c r="CF156" s="1556">
        <f>CD156*99%</f>
        <v>0</v>
      </c>
      <c r="CG156" s="1557">
        <f>CF156*99%</f>
        <v>0</v>
      </c>
      <c r="CH156" s="1557">
        <f t="shared" ref="CH156:CH163" si="658">CG156*99%</f>
        <v>0</v>
      </c>
      <c r="CI156" s="1557">
        <f t="shared" ref="CI156:CI163" si="659">CH156*99%</f>
        <v>0</v>
      </c>
      <c r="CJ156" s="1557">
        <f t="shared" ref="CJ156:CJ163" si="660">CI156*99%</f>
        <v>0</v>
      </c>
      <c r="CK156" s="1557">
        <f t="shared" ref="CK156:CK163" si="661">CJ156*99%</f>
        <v>0</v>
      </c>
      <c r="CL156" s="1557">
        <f t="shared" ref="CL156:CL163" si="662">CK156*99%</f>
        <v>0</v>
      </c>
      <c r="CM156" s="1557">
        <f t="shared" ref="CM156:CM163" si="663">CL156*99%</f>
        <v>0</v>
      </c>
      <c r="CN156" s="1557">
        <f t="shared" ref="CN156:CN163" si="664">CM156*99%</f>
        <v>0</v>
      </c>
      <c r="CO156" s="1557">
        <f t="shared" ref="CO156:CO163" si="665">CN156*99%</f>
        <v>0</v>
      </c>
      <c r="CP156" s="1557">
        <f t="shared" ref="CP156:CP163" si="666">CO156*99%</f>
        <v>0</v>
      </c>
      <c r="CQ156" s="1752">
        <f t="shared" ref="CQ156:CQ163" si="667">CP156*99%</f>
        <v>0</v>
      </c>
    </row>
    <row r="157" spans="2:95" ht="17.5" hidden="1" customHeight="1">
      <c r="B157" s="3356"/>
      <c r="C157" s="3351"/>
      <c r="D157" s="201" t="s">
        <v>305</v>
      </c>
      <c r="E157" s="398">
        <f t="shared" ref="E157:E163" si="668">SUM(F157:Q157)</f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25">
        <v>0</v>
      </c>
      <c r="R157" s="398">
        <f t="shared" ref="R157:R163" si="669">SUM(S157:AD157)</f>
        <v>0</v>
      </c>
      <c r="S157" s="3">
        <f t="shared" ref="S157:S163" si="670">Q157*99%</f>
        <v>0</v>
      </c>
      <c r="T157" s="3">
        <f t="shared" ref="T157:T163" si="671">S157*99%</f>
        <v>0</v>
      </c>
      <c r="U157" s="3">
        <f t="shared" si="622"/>
        <v>0</v>
      </c>
      <c r="V157" s="3">
        <f t="shared" si="622"/>
        <v>0</v>
      </c>
      <c r="W157" s="3">
        <f t="shared" si="622"/>
        <v>0</v>
      </c>
      <c r="X157" s="3">
        <f t="shared" si="622"/>
        <v>0</v>
      </c>
      <c r="Y157" s="3">
        <f t="shared" si="622"/>
        <v>0</v>
      </c>
      <c r="Z157" s="3">
        <f t="shared" si="622"/>
        <v>0</v>
      </c>
      <c r="AA157" s="3">
        <f t="shared" si="622"/>
        <v>0</v>
      </c>
      <c r="AB157" s="3">
        <f t="shared" si="622"/>
        <v>0</v>
      </c>
      <c r="AC157" s="3">
        <f t="shared" si="622"/>
        <v>0</v>
      </c>
      <c r="AD157" s="25">
        <f t="shared" si="622"/>
        <v>0</v>
      </c>
      <c r="AE157" s="398">
        <f t="shared" ref="AE157:AE163" si="672">SUM(AF157:AQ157)</f>
        <v>0</v>
      </c>
      <c r="AF157" s="1217">
        <f t="shared" ref="AF157:AF163" si="673">AD157*99%</f>
        <v>0</v>
      </c>
      <c r="AG157" s="1050">
        <f t="shared" ref="AG157:AG163" si="674">AF157*99%</f>
        <v>0</v>
      </c>
      <c r="AH157" s="1050">
        <f t="shared" si="623"/>
        <v>0</v>
      </c>
      <c r="AI157" s="1050">
        <f t="shared" si="624"/>
        <v>0</v>
      </c>
      <c r="AJ157" s="1050">
        <f t="shared" si="625"/>
        <v>0</v>
      </c>
      <c r="AK157" s="1050">
        <f t="shared" si="626"/>
        <v>0</v>
      </c>
      <c r="AL157" s="1050">
        <f t="shared" si="627"/>
        <v>0</v>
      </c>
      <c r="AM157" s="1050">
        <f t="shared" si="627"/>
        <v>0</v>
      </c>
      <c r="AN157" s="1050">
        <f t="shared" si="627"/>
        <v>0</v>
      </c>
      <c r="AO157" s="1050">
        <f t="shared" si="627"/>
        <v>0</v>
      </c>
      <c r="AP157" s="1050">
        <f t="shared" si="627"/>
        <v>0</v>
      </c>
      <c r="AQ157" s="1269">
        <f t="shared" si="627"/>
        <v>0</v>
      </c>
      <c r="AR157" s="398">
        <f t="shared" ref="AR157:AR163" si="675">SUM(AS157:BD157)</f>
        <v>0</v>
      </c>
      <c r="AS157" s="918">
        <f t="shared" ref="AS157:AS163" si="676">AQ157*99%</f>
        <v>0</v>
      </c>
      <c r="AT157" s="918">
        <f t="shared" ref="AT157:AT163" si="677">AS157*99%</f>
        <v>0</v>
      </c>
      <c r="AU157" s="918">
        <f t="shared" si="628"/>
        <v>0</v>
      </c>
      <c r="AV157" s="918">
        <f t="shared" si="629"/>
        <v>0</v>
      </c>
      <c r="AW157" s="918">
        <f t="shared" si="630"/>
        <v>0</v>
      </c>
      <c r="AX157" s="918">
        <f t="shared" si="631"/>
        <v>0</v>
      </c>
      <c r="AY157" s="918">
        <f t="shared" si="632"/>
        <v>0</v>
      </c>
      <c r="AZ157" s="918">
        <f t="shared" si="633"/>
        <v>0</v>
      </c>
      <c r="BA157" s="918">
        <f t="shared" si="634"/>
        <v>0</v>
      </c>
      <c r="BB157" s="918">
        <f t="shared" si="635"/>
        <v>0</v>
      </c>
      <c r="BC157" s="918">
        <f t="shared" si="636"/>
        <v>0</v>
      </c>
      <c r="BD157" s="1137">
        <f t="shared" si="637"/>
        <v>0</v>
      </c>
      <c r="BE157" s="937">
        <f t="shared" ref="BE157:BE163" si="678">SUM(BF157:BQ157)</f>
        <v>0</v>
      </c>
      <c r="BF157" s="1554">
        <f t="shared" ref="BF157:BF163" si="679">BD157*99%</f>
        <v>0</v>
      </c>
      <c r="BG157" s="1555">
        <f t="shared" ref="BG157:BG163" si="680">BF157*99%</f>
        <v>0</v>
      </c>
      <c r="BH157" s="1555">
        <f t="shared" si="638"/>
        <v>0</v>
      </c>
      <c r="BI157" s="1555">
        <f t="shared" si="639"/>
        <v>0</v>
      </c>
      <c r="BJ157" s="1555">
        <f t="shared" si="640"/>
        <v>0</v>
      </c>
      <c r="BK157" s="1555">
        <f t="shared" si="641"/>
        <v>0</v>
      </c>
      <c r="BL157" s="1555">
        <f t="shared" si="642"/>
        <v>0</v>
      </c>
      <c r="BM157" s="1555">
        <f t="shared" si="643"/>
        <v>0</v>
      </c>
      <c r="BN157" s="1555">
        <f t="shared" si="644"/>
        <v>0</v>
      </c>
      <c r="BO157" s="1555">
        <f t="shared" si="645"/>
        <v>0</v>
      </c>
      <c r="BP157" s="1555">
        <f t="shared" si="646"/>
        <v>0</v>
      </c>
      <c r="BQ157" s="1751">
        <f t="shared" si="647"/>
        <v>0</v>
      </c>
      <c r="BR157" s="937">
        <f t="shared" ref="BR157:BR163" si="681">SUM(BS157:CD157)</f>
        <v>0</v>
      </c>
      <c r="BS157" s="1554">
        <f t="shared" ref="BS157:BS163" si="682">BQ157*99%</f>
        <v>0</v>
      </c>
      <c r="BT157" s="1555">
        <f t="shared" ref="BT157:BT163" si="683">BS157*99%</f>
        <v>0</v>
      </c>
      <c r="BU157" s="1555">
        <f t="shared" si="648"/>
        <v>0</v>
      </c>
      <c r="BV157" s="1555">
        <f t="shared" si="649"/>
        <v>0</v>
      </c>
      <c r="BW157" s="1555">
        <f t="shared" si="650"/>
        <v>0</v>
      </c>
      <c r="BX157" s="1555">
        <f t="shared" si="651"/>
        <v>0</v>
      </c>
      <c r="BY157" s="1555">
        <f t="shared" si="652"/>
        <v>0</v>
      </c>
      <c r="BZ157" s="1555">
        <f t="shared" si="653"/>
        <v>0</v>
      </c>
      <c r="CA157" s="1555">
        <f t="shared" si="654"/>
        <v>0</v>
      </c>
      <c r="CB157" s="1555">
        <f t="shared" si="655"/>
        <v>0</v>
      </c>
      <c r="CC157" s="1555">
        <f t="shared" si="656"/>
        <v>0</v>
      </c>
      <c r="CD157" s="2880">
        <f t="shared" si="657"/>
        <v>0</v>
      </c>
      <c r="CE157" s="937">
        <f t="shared" ref="CE157:CE163" si="684">SUM(CF157:CQ157)</f>
        <v>0</v>
      </c>
      <c r="CF157" s="1554">
        <f t="shared" ref="CF157:CF163" si="685">CD157*99%</f>
        <v>0</v>
      </c>
      <c r="CG157" s="1555">
        <f t="shared" ref="CG157:CG163" si="686">CF157*99%</f>
        <v>0</v>
      </c>
      <c r="CH157" s="1555">
        <f t="shared" si="658"/>
        <v>0</v>
      </c>
      <c r="CI157" s="1555">
        <f t="shared" si="659"/>
        <v>0</v>
      </c>
      <c r="CJ157" s="1555">
        <f t="shared" si="660"/>
        <v>0</v>
      </c>
      <c r="CK157" s="1555">
        <f t="shared" si="661"/>
        <v>0</v>
      </c>
      <c r="CL157" s="1555">
        <f t="shared" si="662"/>
        <v>0</v>
      </c>
      <c r="CM157" s="1555">
        <f t="shared" si="663"/>
        <v>0</v>
      </c>
      <c r="CN157" s="1555">
        <f t="shared" si="664"/>
        <v>0</v>
      </c>
      <c r="CO157" s="1555">
        <f t="shared" si="665"/>
        <v>0</v>
      </c>
      <c r="CP157" s="1555">
        <f t="shared" si="666"/>
        <v>0</v>
      </c>
      <c r="CQ157" s="1751">
        <f t="shared" si="667"/>
        <v>0</v>
      </c>
    </row>
    <row r="158" spans="2:95" ht="17.5" hidden="1" customHeight="1">
      <c r="B158" s="3356"/>
      <c r="C158" s="3351"/>
      <c r="D158" s="201" t="s">
        <v>306</v>
      </c>
      <c r="E158" s="398">
        <f t="shared" si="668"/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25">
        <v>0</v>
      </c>
      <c r="R158" s="398">
        <f t="shared" si="669"/>
        <v>0</v>
      </c>
      <c r="S158" s="3">
        <f t="shared" si="670"/>
        <v>0</v>
      </c>
      <c r="T158" s="3">
        <f t="shared" si="671"/>
        <v>0</v>
      </c>
      <c r="U158" s="3">
        <f t="shared" si="622"/>
        <v>0</v>
      </c>
      <c r="V158" s="3">
        <f t="shared" si="622"/>
        <v>0</v>
      </c>
      <c r="W158" s="3">
        <f t="shared" si="622"/>
        <v>0</v>
      </c>
      <c r="X158" s="3">
        <f t="shared" si="622"/>
        <v>0</v>
      </c>
      <c r="Y158" s="3">
        <f t="shared" si="622"/>
        <v>0</v>
      </c>
      <c r="Z158" s="3">
        <f t="shared" si="622"/>
        <v>0</v>
      </c>
      <c r="AA158" s="3">
        <f t="shared" si="622"/>
        <v>0</v>
      </c>
      <c r="AB158" s="3">
        <f t="shared" si="622"/>
        <v>0</v>
      </c>
      <c r="AC158" s="3">
        <f t="shared" si="622"/>
        <v>0</v>
      </c>
      <c r="AD158" s="25">
        <f t="shared" si="622"/>
        <v>0</v>
      </c>
      <c r="AE158" s="398">
        <f t="shared" si="672"/>
        <v>0</v>
      </c>
      <c r="AF158" s="1217">
        <f t="shared" si="673"/>
        <v>0</v>
      </c>
      <c r="AG158" s="1050">
        <f t="shared" si="674"/>
        <v>0</v>
      </c>
      <c r="AH158" s="1050">
        <f t="shared" si="623"/>
        <v>0</v>
      </c>
      <c r="AI158" s="1050">
        <f t="shared" si="624"/>
        <v>0</v>
      </c>
      <c r="AJ158" s="1050">
        <f t="shared" si="625"/>
        <v>0</v>
      </c>
      <c r="AK158" s="1050">
        <f t="shared" si="626"/>
        <v>0</v>
      </c>
      <c r="AL158" s="1050">
        <f t="shared" si="627"/>
        <v>0</v>
      </c>
      <c r="AM158" s="1050">
        <f t="shared" si="627"/>
        <v>0</v>
      </c>
      <c r="AN158" s="1050">
        <f t="shared" si="627"/>
        <v>0</v>
      </c>
      <c r="AO158" s="1050">
        <f t="shared" si="627"/>
        <v>0</v>
      </c>
      <c r="AP158" s="1050">
        <f t="shared" si="627"/>
        <v>0</v>
      </c>
      <c r="AQ158" s="1269">
        <f t="shared" si="627"/>
        <v>0</v>
      </c>
      <c r="AR158" s="398">
        <f t="shared" si="675"/>
        <v>0</v>
      </c>
      <c r="AS158" s="918">
        <f t="shared" si="676"/>
        <v>0</v>
      </c>
      <c r="AT158" s="918">
        <f t="shared" si="677"/>
        <v>0</v>
      </c>
      <c r="AU158" s="918">
        <f t="shared" si="628"/>
        <v>0</v>
      </c>
      <c r="AV158" s="918">
        <f t="shared" si="629"/>
        <v>0</v>
      </c>
      <c r="AW158" s="918">
        <f t="shared" si="630"/>
        <v>0</v>
      </c>
      <c r="AX158" s="918">
        <f t="shared" si="631"/>
        <v>0</v>
      </c>
      <c r="AY158" s="918">
        <f t="shared" si="632"/>
        <v>0</v>
      </c>
      <c r="AZ158" s="918">
        <f t="shared" si="633"/>
        <v>0</v>
      </c>
      <c r="BA158" s="918">
        <f t="shared" si="634"/>
        <v>0</v>
      </c>
      <c r="BB158" s="918">
        <f t="shared" si="635"/>
        <v>0</v>
      </c>
      <c r="BC158" s="918">
        <f t="shared" si="636"/>
        <v>0</v>
      </c>
      <c r="BD158" s="1137">
        <f t="shared" si="637"/>
        <v>0</v>
      </c>
      <c r="BE158" s="937">
        <f t="shared" si="678"/>
        <v>0</v>
      </c>
      <c r="BF158" s="1554">
        <f t="shared" si="679"/>
        <v>0</v>
      </c>
      <c r="BG158" s="1555">
        <f t="shared" si="680"/>
        <v>0</v>
      </c>
      <c r="BH158" s="1555">
        <f t="shared" si="638"/>
        <v>0</v>
      </c>
      <c r="BI158" s="1555">
        <f t="shared" si="639"/>
        <v>0</v>
      </c>
      <c r="BJ158" s="1555">
        <f t="shared" si="640"/>
        <v>0</v>
      </c>
      <c r="BK158" s="1555">
        <f t="shared" si="641"/>
        <v>0</v>
      </c>
      <c r="BL158" s="1555">
        <f t="shared" si="642"/>
        <v>0</v>
      </c>
      <c r="BM158" s="1555">
        <f t="shared" si="643"/>
        <v>0</v>
      </c>
      <c r="BN158" s="1555">
        <f t="shared" si="644"/>
        <v>0</v>
      </c>
      <c r="BO158" s="1555">
        <f t="shared" si="645"/>
        <v>0</v>
      </c>
      <c r="BP158" s="1555">
        <f t="shared" si="646"/>
        <v>0</v>
      </c>
      <c r="BQ158" s="1751">
        <f t="shared" si="647"/>
        <v>0</v>
      </c>
      <c r="BR158" s="937">
        <f t="shared" si="681"/>
        <v>0</v>
      </c>
      <c r="BS158" s="1554">
        <f t="shared" si="682"/>
        <v>0</v>
      </c>
      <c r="BT158" s="1555">
        <f t="shared" si="683"/>
        <v>0</v>
      </c>
      <c r="BU158" s="1555">
        <f t="shared" si="648"/>
        <v>0</v>
      </c>
      <c r="BV158" s="1555">
        <f t="shared" si="649"/>
        <v>0</v>
      </c>
      <c r="BW158" s="1555">
        <f t="shared" si="650"/>
        <v>0</v>
      </c>
      <c r="BX158" s="1555">
        <f t="shared" si="651"/>
        <v>0</v>
      </c>
      <c r="BY158" s="1555">
        <f t="shared" si="652"/>
        <v>0</v>
      </c>
      <c r="BZ158" s="1555">
        <f t="shared" si="653"/>
        <v>0</v>
      </c>
      <c r="CA158" s="1555">
        <f t="shared" si="654"/>
        <v>0</v>
      </c>
      <c r="CB158" s="1555">
        <f t="shared" si="655"/>
        <v>0</v>
      </c>
      <c r="CC158" s="1555">
        <f t="shared" si="656"/>
        <v>0</v>
      </c>
      <c r="CD158" s="2880">
        <f t="shared" si="657"/>
        <v>0</v>
      </c>
      <c r="CE158" s="937">
        <f t="shared" si="684"/>
        <v>0</v>
      </c>
      <c r="CF158" s="1554">
        <f t="shared" si="685"/>
        <v>0</v>
      </c>
      <c r="CG158" s="1555">
        <f t="shared" si="686"/>
        <v>0</v>
      </c>
      <c r="CH158" s="1555">
        <f t="shared" si="658"/>
        <v>0</v>
      </c>
      <c r="CI158" s="1555">
        <f t="shared" si="659"/>
        <v>0</v>
      </c>
      <c r="CJ158" s="1555">
        <f t="shared" si="660"/>
        <v>0</v>
      </c>
      <c r="CK158" s="1555">
        <f t="shared" si="661"/>
        <v>0</v>
      </c>
      <c r="CL158" s="1555">
        <f t="shared" si="662"/>
        <v>0</v>
      </c>
      <c r="CM158" s="1555">
        <f t="shared" si="663"/>
        <v>0</v>
      </c>
      <c r="CN158" s="1555">
        <f t="shared" si="664"/>
        <v>0</v>
      </c>
      <c r="CO158" s="1555">
        <f t="shared" si="665"/>
        <v>0</v>
      </c>
      <c r="CP158" s="1555">
        <f t="shared" si="666"/>
        <v>0</v>
      </c>
      <c r="CQ158" s="1751">
        <f t="shared" si="667"/>
        <v>0</v>
      </c>
    </row>
    <row r="159" spans="2:95" ht="17.5" hidden="1" customHeight="1">
      <c r="B159" s="3356"/>
      <c r="C159" s="3351"/>
      <c r="D159" s="201" t="s">
        <v>681</v>
      </c>
      <c r="E159" s="398">
        <f t="shared" si="668"/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25">
        <v>0</v>
      </c>
      <c r="R159" s="398">
        <f t="shared" si="669"/>
        <v>0</v>
      </c>
      <c r="S159" s="3">
        <f t="shared" si="670"/>
        <v>0</v>
      </c>
      <c r="T159" s="3">
        <f t="shared" si="671"/>
        <v>0</v>
      </c>
      <c r="U159" s="3">
        <f t="shared" si="622"/>
        <v>0</v>
      </c>
      <c r="V159" s="3">
        <f t="shared" si="622"/>
        <v>0</v>
      </c>
      <c r="W159" s="3">
        <f t="shared" si="622"/>
        <v>0</v>
      </c>
      <c r="X159" s="3">
        <f t="shared" si="622"/>
        <v>0</v>
      </c>
      <c r="Y159" s="3">
        <f t="shared" si="622"/>
        <v>0</v>
      </c>
      <c r="Z159" s="3">
        <f t="shared" si="622"/>
        <v>0</v>
      </c>
      <c r="AA159" s="3">
        <f t="shared" si="622"/>
        <v>0</v>
      </c>
      <c r="AB159" s="3">
        <f t="shared" si="622"/>
        <v>0</v>
      </c>
      <c r="AC159" s="3">
        <f t="shared" si="622"/>
        <v>0</v>
      </c>
      <c r="AD159" s="25">
        <f t="shared" si="622"/>
        <v>0</v>
      </c>
      <c r="AE159" s="398">
        <f t="shared" si="672"/>
        <v>0</v>
      </c>
      <c r="AF159" s="1217">
        <f t="shared" si="673"/>
        <v>0</v>
      </c>
      <c r="AG159" s="1050">
        <f t="shared" si="674"/>
        <v>0</v>
      </c>
      <c r="AH159" s="1050">
        <f t="shared" si="623"/>
        <v>0</v>
      </c>
      <c r="AI159" s="1050">
        <f t="shared" si="624"/>
        <v>0</v>
      </c>
      <c r="AJ159" s="1050">
        <f t="shared" si="625"/>
        <v>0</v>
      </c>
      <c r="AK159" s="1050">
        <f t="shared" si="626"/>
        <v>0</v>
      </c>
      <c r="AL159" s="1050">
        <f t="shared" si="627"/>
        <v>0</v>
      </c>
      <c r="AM159" s="1050">
        <f t="shared" si="627"/>
        <v>0</v>
      </c>
      <c r="AN159" s="1050">
        <f t="shared" si="627"/>
        <v>0</v>
      </c>
      <c r="AO159" s="1050">
        <f t="shared" si="627"/>
        <v>0</v>
      </c>
      <c r="AP159" s="1050">
        <f t="shared" si="627"/>
        <v>0</v>
      </c>
      <c r="AQ159" s="1269">
        <f t="shared" si="627"/>
        <v>0</v>
      </c>
      <c r="AR159" s="398">
        <f t="shared" si="675"/>
        <v>0</v>
      </c>
      <c r="AS159" s="918">
        <f t="shared" si="676"/>
        <v>0</v>
      </c>
      <c r="AT159" s="918">
        <f t="shared" si="677"/>
        <v>0</v>
      </c>
      <c r="AU159" s="918">
        <f t="shared" si="628"/>
        <v>0</v>
      </c>
      <c r="AV159" s="918">
        <f t="shared" si="629"/>
        <v>0</v>
      </c>
      <c r="AW159" s="918">
        <f t="shared" si="630"/>
        <v>0</v>
      </c>
      <c r="AX159" s="918">
        <f t="shared" si="631"/>
        <v>0</v>
      </c>
      <c r="AY159" s="918">
        <f t="shared" si="632"/>
        <v>0</v>
      </c>
      <c r="AZ159" s="918">
        <f t="shared" si="633"/>
        <v>0</v>
      </c>
      <c r="BA159" s="918">
        <f t="shared" si="634"/>
        <v>0</v>
      </c>
      <c r="BB159" s="918">
        <f t="shared" si="635"/>
        <v>0</v>
      </c>
      <c r="BC159" s="918">
        <f t="shared" si="636"/>
        <v>0</v>
      </c>
      <c r="BD159" s="1137">
        <f t="shared" si="637"/>
        <v>0</v>
      </c>
      <c r="BE159" s="937">
        <f t="shared" si="678"/>
        <v>0</v>
      </c>
      <c r="BF159" s="1554">
        <f t="shared" si="679"/>
        <v>0</v>
      </c>
      <c r="BG159" s="1555">
        <f t="shared" si="680"/>
        <v>0</v>
      </c>
      <c r="BH159" s="1555">
        <f t="shared" si="638"/>
        <v>0</v>
      </c>
      <c r="BI159" s="1555">
        <f t="shared" si="639"/>
        <v>0</v>
      </c>
      <c r="BJ159" s="1555">
        <f t="shared" si="640"/>
        <v>0</v>
      </c>
      <c r="BK159" s="1555">
        <f t="shared" si="641"/>
        <v>0</v>
      </c>
      <c r="BL159" s="1555">
        <f t="shared" si="642"/>
        <v>0</v>
      </c>
      <c r="BM159" s="1555">
        <f t="shared" si="643"/>
        <v>0</v>
      </c>
      <c r="BN159" s="1555">
        <f t="shared" si="644"/>
        <v>0</v>
      </c>
      <c r="BO159" s="1555">
        <f t="shared" si="645"/>
        <v>0</v>
      </c>
      <c r="BP159" s="1555">
        <f t="shared" si="646"/>
        <v>0</v>
      </c>
      <c r="BQ159" s="1751">
        <f t="shared" si="647"/>
        <v>0</v>
      </c>
      <c r="BR159" s="937">
        <f t="shared" si="681"/>
        <v>0</v>
      </c>
      <c r="BS159" s="1554">
        <f t="shared" si="682"/>
        <v>0</v>
      </c>
      <c r="BT159" s="1555">
        <f t="shared" si="683"/>
        <v>0</v>
      </c>
      <c r="BU159" s="1555">
        <f t="shared" si="648"/>
        <v>0</v>
      </c>
      <c r="BV159" s="1555">
        <f t="shared" si="649"/>
        <v>0</v>
      </c>
      <c r="BW159" s="1555">
        <f t="shared" si="650"/>
        <v>0</v>
      </c>
      <c r="BX159" s="1555">
        <f t="shared" si="651"/>
        <v>0</v>
      </c>
      <c r="BY159" s="1555">
        <f t="shared" si="652"/>
        <v>0</v>
      </c>
      <c r="BZ159" s="1555">
        <f t="shared" si="653"/>
        <v>0</v>
      </c>
      <c r="CA159" s="1555">
        <f t="shared" si="654"/>
        <v>0</v>
      </c>
      <c r="CB159" s="1555">
        <f t="shared" si="655"/>
        <v>0</v>
      </c>
      <c r="CC159" s="1555">
        <f t="shared" si="656"/>
        <v>0</v>
      </c>
      <c r="CD159" s="2880">
        <f t="shared" si="657"/>
        <v>0</v>
      </c>
      <c r="CE159" s="937">
        <f t="shared" si="684"/>
        <v>0</v>
      </c>
      <c r="CF159" s="1554">
        <f t="shared" si="685"/>
        <v>0</v>
      </c>
      <c r="CG159" s="1555">
        <f t="shared" si="686"/>
        <v>0</v>
      </c>
      <c r="CH159" s="1555">
        <f t="shared" si="658"/>
        <v>0</v>
      </c>
      <c r="CI159" s="1555">
        <f t="shared" si="659"/>
        <v>0</v>
      </c>
      <c r="CJ159" s="1555">
        <f t="shared" si="660"/>
        <v>0</v>
      </c>
      <c r="CK159" s="1555">
        <f t="shared" si="661"/>
        <v>0</v>
      </c>
      <c r="CL159" s="1555">
        <f t="shared" si="662"/>
        <v>0</v>
      </c>
      <c r="CM159" s="1555">
        <f t="shared" si="663"/>
        <v>0</v>
      </c>
      <c r="CN159" s="1555">
        <f t="shared" si="664"/>
        <v>0</v>
      </c>
      <c r="CO159" s="1555">
        <f t="shared" si="665"/>
        <v>0</v>
      </c>
      <c r="CP159" s="1555">
        <f t="shared" si="666"/>
        <v>0</v>
      </c>
      <c r="CQ159" s="1751">
        <f t="shared" si="667"/>
        <v>0</v>
      </c>
    </row>
    <row r="160" spans="2:95" ht="17.5" hidden="1" customHeight="1">
      <c r="B160" s="3356"/>
      <c r="C160" s="3351"/>
      <c r="D160" s="201" t="s">
        <v>332</v>
      </c>
      <c r="E160" s="398">
        <f t="shared" si="668"/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25">
        <v>0</v>
      </c>
      <c r="R160" s="398">
        <f t="shared" si="669"/>
        <v>0</v>
      </c>
      <c r="S160" s="3">
        <f t="shared" si="670"/>
        <v>0</v>
      </c>
      <c r="T160" s="3">
        <f t="shared" si="671"/>
        <v>0</v>
      </c>
      <c r="U160" s="3">
        <f t="shared" si="622"/>
        <v>0</v>
      </c>
      <c r="V160" s="3">
        <f t="shared" si="622"/>
        <v>0</v>
      </c>
      <c r="W160" s="3">
        <f t="shared" si="622"/>
        <v>0</v>
      </c>
      <c r="X160" s="3">
        <f t="shared" si="622"/>
        <v>0</v>
      </c>
      <c r="Y160" s="3">
        <f t="shared" si="622"/>
        <v>0</v>
      </c>
      <c r="Z160" s="3">
        <f t="shared" si="622"/>
        <v>0</v>
      </c>
      <c r="AA160" s="3">
        <f t="shared" si="622"/>
        <v>0</v>
      </c>
      <c r="AB160" s="3">
        <f t="shared" si="622"/>
        <v>0</v>
      </c>
      <c r="AC160" s="3">
        <f t="shared" si="622"/>
        <v>0</v>
      </c>
      <c r="AD160" s="25">
        <f t="shared" si="622"/>
        <v>0</v>
      </c>
      <c r="AE160" s="398">
        <f t="shared" si="672"/>
        <v>0</v>
      </c>
      <c r="AF160" s="1217">
        <f t="shared" si="673"/>
        <v>0</v>
      </c>
      <c r="AG160" s="1050">
        <f t="shared" si="674"/>
        <v>0</v>
      </c>
      <c r="AH160" s="1050">
        <f t="shared" si="623"/>
        <v>0</v>
      </c>
      <c r="AI160" s="1050">
        <f t="shared" si="624"/>
        <v>0</v>
      </c>
      <c r="AJ160" s="1050">
        <f t="shared" si="625"/>
        <v>0</v>
      </c>
      <c r="AK160" s="1050">
        <f t="shared" si="626"/>
        <v>0</v>
      </c>
      <c r="AL160" s="1050">
        <f t="shared" si="627"/>
        <v>0</v>
      </c>
      <c r="AM160" s="1050">
        <f t="shared" si="627"/>
        <v>0</v>
      </c>
      <c r="AN160" s="1050">
        <f t="shared" si="627"/>
        <v>0</v>
      </c>
      <c r="AO160" s="1050">
        <f t="shared" si="627"/>
        <v>0</v>
      </c>
      <c r="AP160" s="1050">
        <f t="shared" si="627"/>
        <v>0</v>
      </c>
      <c r="AQ160" s="1269">
        <f t="shared" si="627"/>
        <v>0</v>
      </c>
      <c r="AR160" s="398">
        <f t="shared" si="675"/>
        <v>0</v>
      </c>
      <c r="AS160" s="918">
        <f t="shared" si="676"/>
        <v>0</v>
      </c>
      <c r="AT160" s="918">
        <f t="shared" si="677"/>
        <v>0</v>
      </c>
      <c r="AU160" s="918">
        <f t="shared" si="628"/>
        <v>0</v>
      </c>
      <c r="AV160" s="918">
        <f t="shared" si="629"/>
        <v>0</v>
      </c>
      <c r="AW160" s="918">
        <f t="shared" si="630"/>
        <v>0</v>
      </c>
      <c r="AX160" s="918">
        <f t="shared" si="631"/>
        <v>0</v>
      </c>
      <c r="AY160" s="918">
        <f t="shared" si="632"/>
        <v>0</v>
      </c>
      <c r="AZ160" s="918">
        <f t="shared" si="633"/>
        <v>0</v>
      </c>
      <c r="BA160" s="918">
        <f t="shared" si="634"/>
        <v>0</v>
      </c>
      <c r="BB160" s="918">
        <f t="shared" si="635"/>
        <v>0</v>
      </c>
      <c r="BC160" s="918">
        <f t="shared" si="636"/>
        <v>0</v>
      </c>
      <c r="BD160" s="1137">
        <f t="shared" si="637"/>
        <v>0</v>
      </c>
      <c r="BE160" s="937">
        <f t="shared" si="678"/>
        <v>0</v>
      </c>
      <c r="BF160" s="1554">
        <f t="shared" si="679"/>
        <v>0</v>
      </c>
      <c r="BG160" s="1555">
        <f t="shared" si="680"/>
        <v>0</v>
      </c>
      <c r="BH160" s="1555">
        <f t="shared" si="638"/>
        <v>0</v>
      </c>
      <c r="BI160" s="1555">
        <f t="shared" si="639"/>
        <v>0</v>
      </c>
      <c r="BJ160" s="1555">
        <f t="shared" si="640"/>
        <v>0</v>
      </c>
      <c r="BK160" s="1555">
        <f t="shared" si="641"/>
        <v>0</v>
      </c>
      <c r="BL160" s="1555">
        <f t="shared" si="642"/>
        <v>0</v>
      </c>
      <c r="BM160" s="1555">
        <f t="shared" si="643"/>
        <v>0</v>
      </c>
      <c r="BN160" s="1555">
        <f t="shared" si="644"/>
        <v>0</v>
      </c>
      <c r="BO160" s="1555">
        <f t="shared" si="645"/>
        <v>0</v>
      </c>
      <c r="BP160" s="1555">
        <f t="shared" si="646"/>
        <v>0</v>
      </c>
      <c r="BQ160" s="1751">
        <f t="shared" si="647"/>
        <v>0</v>
      </c>
      <c r="BR160" s="937">
        <f t="shared" si="681"/>
        <v>0</v>
      </c>
      <c r="BS160" s="1554">
        <f t="shared" si="682"/>
        <v>0</v>
      </c>
      <c r="BT160" s="1555">
        <f t="shared" si="683"/>
        <v>0</v>
      </c>
      <c r="BU160" s="1555">
        <f t="shared" si="648"/>
        <v>0</v>
      </c>
      <c r="BV160" s="1555">
        <f t="shared" si="649"/>
        <v>0</v>
      </c>
      <c r="BW160" s="1555">
        <f t="shared" si="650"/>
        <v>0</v>
      </c>
      <c r="BX160" s="1555">
        <f t="shared" si="651"/>
        <v>0</v>
      </c>
      <c r="BY160" s="1555">
        <f t="shared" si="652"/>
        <v>0</v>
      </c>
      <c r="BZ160" s="1555">
        <f t="shared" si="653"/>
        <v>0</v>
      </c>
      <c r="CA160" s="1555">
        <f t="shared" si="654"/>
        <v>0</v>
      </c>
      <c r="CB160" s="1555">
        <f t="shared" si="655"/>
        <v>0</v>
      </c>
      <c r="CC160" s="1555">
        <f t="shared" si="656"/>
        <v>0</v>
      </c>
      <c r="CD160" s="2880">
        <f t="shared" si="657"/>
        <v>0</v>
      </c>
      <c r="CE160" s="937">
        <f t="shared" si="684"/>
        <v>0</v>
      </c>
      <c r="CF160" s="1554">
        <f t="shared" si="685"/>
        <v>0</v>
      </c>
      <c r="CG160" s="1555">
        <f t="shared" si="686"/>
        <v>0</v>
      </c>
      <c r="CH160" s="1555">
        <f t="shared" si="658"/>
        <v>0</v>
      </c>
      <c r="CI160" s="1555">
        <f t="shared" si="659"/>
        <v>0</v>
      </c>
      <c r="CJ160" s="1555">
        <f t="shared" si="660"/>
        <v>0</v>
      </c>
      <c r="CK160" s="1555">
        <f t="shared" si="661"/>
        <v>0</v>
      </c>
      <c r="CL160" s="1555">
        <f t="shared" si="662"/>
        <v>0</v>
      </c>
      <c r="CM160" s="1555">
        <f t="shared" si="663"/>
        <v>0</v>
      </c>
      <c r="CN160" s="1555">
        <f t="shared" si="664"/>
        <v>0</v>
      </c>
      <c r="CO160" s="1555">
        <f t="shared" si="665"/>
        <v>0</v>
      </c>
      <c r="CP160" s="1555">
        <f t="shared" si="666"/>
        <v>0</v>
      </c>
      <c r="CQ160" s="1751">
        <f t="shared" si="667"/>
        <v>0</v>
      </c>
    </row>
    <row r="161" spans="2:95" ht="17.5" hidden="1" customHeight="1">
      <c r="B161" s="3356"/>
      <c r="C161" s="3351"/>
      <c r="D161" s="202" t="s">
        <v>311</v>
      </c>
      <c r="E161" s="401">
        <f t="shared" si="668"/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34">
        <v>0</v>
      </c>
      <c r="R161" s="401">
        <f t="shared" si="669"/>
        <v>0</v>
      </c>
      <c r="S161" s="17">
        <f t="shared" si="670"/>
        <v>0</v>
      </c>
      <c r="T161" s="17">
        <f t="shared" si="671"/>
        <v>0</v>
      </c>
      <c r="U161" s="17">
        <f t="shared" si="622"/>
        <v>0</v>
      </c>
      <c r="V161" s="17">
        <f t="shared" si="622"/>
        <v>0</v>
      </c>
      <c r="W161" s="17">
        <f t="shared" si="622"/>
        <v>0</v>
      </c>
      <c r="X161" s="17">
        <f t="shared" si="622"/>
        <v>0</v>
      </c>
      <c r="Y161" s="17">
        <f t="shared" si="622"/>
        <v>0</v>
      </c>
      <c r="Z161" s="17">
        <f t="shared" si="622"/>
        <v>0</v>
      </c>
      <c r="AA161" s="17">
        <f t="shared" si="622"/>
        <v>0</v>
      </c>
      <c r="AB161" s="17">
        <f t="shared" si="622"/>
        <v>0</v>
      </c>
      <c r="AC161" s="17">
        <f t="shared" si="622"/>
        <v>0</v>
      </c>
      <c r="AD161" s="134">
        <f t="shared" si="622"/>
        <v>0</v>
      </c>
      <c r="AE161" s="401">
        <f t="shared" si="672"/>
        <v>0</v>
      </c>
      <c r="AF161" s="1270">
        <f t="shared" si="673"/>
        <v>0</v>
      </c>
      <c r="AG161" s="1271">
        <f t="shared" si="674"/>
        <v>0</v>
      </c>
      <c r="AH161" s="1271">
        <f t="shared" si="623"/>
        <v>0</v>
      </c>
      <c r="AI161" s="1271">
        <f t="shared" si="624"/>
        <v>0</v>
      </c>
      <c r="AJ161" s="1271">
        <f t="shared" si="625"/>
        <v>0</v>
      </c>
      <c r="AK161" s="1271">
        <f t="shared" si="626"/>
        <v>0</v>
      </c>
      <c r="AL161" s="1271">
        <f t="shared" si="627"/>
        <v>0</v>
      </c>
      <c r="AM161" s="1271">
        <f t="shared" si="627"/>
        <v>0</v>
      </c>
      <c r="AN161" s="1271">
        <f t="shared" si="627"/>
        <v>0</v>
      </c>
      <c r="AO161" s="1271">
        <f t="shared" si="627"/>
        <v>0</v>
      </c>
      <c r="AP161" s="1271">
        <f t="shared" si="627"/>
        <v>0</v>
      </c>
      <c r="AQ161" s="1272">
        <f t="shared" si="627"/>
        <v>0</v>
      </c>
      <c r="AR161" s="401">
        <f t="shared" si="675"/>
        <v>0</v>
      </c>
      <c r="AS161" s="917">
        <f t="shared" si="676"/>
        <v>0</v>
      </c>
      <c r="AT161" s="917">
        <f t="shared" si="677"/>
        <v>0</v>
      </c>
      <c r="AU161" s="917">
        <f t="shared" si="628"/>
        <v>0</v>
      </c>
      <c r="AV161" s="917">
        <f t="shared" si="629"/>
        <v>0</v>
      </c>
      <c r="AW161" s="917">
        <f t="shared" si="630"/>
        <v>0</v>
      </c>
      <c r="AX161" s="917">
        <f t="shared" si="631"/>
        <v>0</v>
      </c>
      <c r="AY161" s="917">
        <f t="shared" si="632"/>
        <v>0</v>
      </c>
      <c r="AZ161" s="917">
        <f t="shared" si="633"/>
        <v>0</v>
      </c>
      <c r="BA161" s="917">
        <f t="shared" si="634"/>
        <v>0</v>
      </c>
      <c r="BB161" s="917">
        <f t="shared" si="635"/>
        <v>0</v>
      </c>
      <c r="BC161" s="917">
        <f t="shared" si="636"/>
        <v>0</v>
      </c>
      <c r="BD161" s="1446">
        <f t="shared" si="637"/>
        <v>0</v>
      </c>
      <c r="BE161" s="938">
        <f t="shared" si="678"/>
        <v>0</v>
      </c>
      <c r="BF161" s="1556">
        <f t="shared" si="679"/>
        <v>0</v>
      </c>
      <c r="BG161" s="1557">
        <f t="shared" si="680"/>
        <v>0</v>
      </c>
      <c r="BH161" s="1557">
        <f t="shared" si="638"/>
        <v>0</v>
      </c>
      <c r="BI161" s="1557">
        <f t="shared" si="639"/>
        <v>0</v>
      </c>
      <c r="BJ161" s="1557">
        <f t="shared" si="640"/>
        <v>0</v>
      </c>
      <c r="BK161" s="1557">
        <f t="shared" si="641"/>
        <v>0</v>
      </c>
      <c r="BL161" s="1557">
        <f t="shared" si="642"/>
        <v>0</v>
      </c>
      <c r="BM161" s="1557">
        <f t="shared" si="643"/>
        <v>0</v>
      </c>
      <c r="BN161" s="1557">
        <f t="shared" si="644"/>
        <v>0</v>
      </c>
      <c r="BO161" s="1557">
        <f t="shared" si="645"/>
        <v>0</v>
      </c>
      <c r="BP161" s="1557">
        <f t="shared" si="646"/>
        <v>0</v>
      </c>
      <c r="BQ161" s="1752">
        <f t="shared" si="647"/>
        <v>0</v>
      </c>
      <c r="BR161" s="938">
        <f t="shared" si="681"/>
        <v>0</v>
      </c>
      <c r="BS161" s="1556">
        <f t="shared" si="682"/>
        <v>0</v>
      </c>
      <c r="BT161" s="1557">
        <f t="shared" si="683"/>
        <v>0</v>
      </c>
      <c r="BU161" s="1557">
        <f t="shared" si="648"/>
        <v>0</v>
      </c>
      <c r="BV161" s="1557">
        <f t="shared" si="649"/>
        <v>0</v>
      </c>
      <c r="BW161" s="1557">
        <f t="shared" si="650"/>
        <v>0</v>
      </c>
      <c r="BX161" s="1557">
        <f t="shared" si="651"/>
        <v>0</v>
      </c>
      <c r="BY161" s="1557">
        <f t="shared" si="652"/>
        <v>0</v>
      </c>
      <c r="BZ161" s="1557">
        <f t="shared" si="653"/>
        <v>0</v>
      </c>
      <c r="CA161" s="1557">
        <f t="shared" si="654"/>
        <v>0</v>
      </c>
      <c r="CB161" s="1557">
        <f t="shared" si="655"/>
        <v>0</v>
      </c>
      <c r="CC161" s="1557">
        <f t="shared" si="656"/>
        <v>0</v>
      </c>
      <c r="CD161" s="2881">
        <f t="shared" si="657"/>
        <v>0</v>
      </c>
      <c r="CE161" s="938">
        <f t="shared" si="684"/>
        <v>0</v>
      </c>
      <c r="CF161" s="1556">
        <f t="shared" si="685"/>
        <v>0</v>
      </c>
      <c r="CG161" s="1557">
        <f t="shared" si="686"/>
        <v>0</v>
      </c>
      <c r="CH161" s="1557">
        <f t="shared" si="658"/>
        <v>0</v>
      </c>
      <c r="CI161" s="1557">
        <f t="shared" si="659"/>
        <v>0</v>
      </c>
      <c r="CJ161" s="1557">
        <f t="shared" si="660"/>
        <v>0</v>
      </c>
      <c r="CK161" s="1557">
        <f t="shared" si="661"/>
        <v>0</v>
      </c>
      <c r="CL161" s="1557">
        <f t="shared" si="662"/>
        <v>0</v>
      </c>
      <c r="CM161" s="1557">
        <f t="shared" si="663"/>
        <v>0</v>
      </c>
      <c r="CN161" s="1557">
        <f t="shared" si="664"/>
        <v>0</v>
      </c>
      <c r="CO161" s="1557">
        <f t="shared" si="665"/>
        <v>0</v>
      </c>
      <c r="CP161" s="1557">
        <f t="shared" si="666"/>
        <v>0</v>
      </c>
      <c r="CQ161" s="1752">
        <f t="shared" si="667"/>
        <v>0</v>
      </c>
    </row>
    <row r="162" spans="2:95" ht="17.5" hidden="1" customHeight="1">
      <c r="B162" s="3356"/>
      <c r="C162" s="3351"/>
      <c r="D162" s="203" t="s">
        <v>307</v>
      </c>
      <c r="E162" s="399">
        <f t="shared" si="668"/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100">
        <v>0</v>
      </c>
      <c r="R162" s="399">
        <f t="shared" si="669"/>
        <v>0</v>
      </c>
      <c r="S162" s="6">
        <f t="shared" si="670"/>
        <v>0</v>
      </c>
      <c r="T162" s="6">
        <f t="shared" si="671"/>
        <v>0</v>
      </c>
      <c r="U162" s="6">
        <f t="shared" si="622"/>
        <v>0</v>
      </c>
      <c r="V162" s="6">
        <f t="shared" si="622"/>
        <v>0</v>
      </c>
      <c r="W162" s="6">
        <f t="shared" si="622"/>
        <v>0</v>
      </c>
      <c r="X162" s="6">
        <f t="shared" si="622"/>
        <v>0</v>
      </c>
      <c r="Y162" s="6">
        <f t="shared" si="622"/>
        <v>0</v>
      </c>
      <c r="Z162" s="6">
        <f t="shared" si="622"/>
        <v>0</v>
      </c>
      <c r="AA162" s="6">
        <f t="shared" si="622"/>
        <v>0</v>
      </c>
      <c r="AB162" s="6">
        <f t="shared" si="622"/>
        <v>0</v>
      </c>
      <c r="AC162" s="6">
        <f t="shared" si="622"/>
        <v>0</v>
      </c>
      <c r="AD162" s="100">
        <f t="shared" si="622"/>
        <v>0</v>
      </c>
      <c r="AE162" s="399">
        <f t="shared" si="672"/>
        <v>0</v>
      </c>
      <c r="AF162" s="1273">
        <f t="shared" si="673"/>
        <v>0</v>
      </c>
      <c r="AG162" s="1196">
        <f t="shared" si="674"/>
        <v>0</v>
      </c>
      <c r="AH162" s="1196">
        <f t="shared" si="623"/>
        <v>0</v>
      </c>
      <c r="AI162" s="1196">
        <f t="shared" si="624"/>
        <v>0</v>
      </c>
      <c r="AJ162" s="1196">
        <f t="shared" si="625"/>
        <v>0</v>
      </c>
      <c r="AK162" s="1196">
        <f t="shared" si="626"/>
        <v>0</v>
      </c>
      <c r="AL162" s="1196">
        <f t="shared" si="627"/>
        <v>0</v>
      </c>
      <c r="AM162" s="1196">
        <f t="shared" si="627"/>
        <v>0</v>
      </c>
      <c r="AN162" s="1196">
        <f t="shared" si="627"/>
        <v>0</v>
      </c>
      <c r="AO162" s="1196">
        <f t="shared" si="627"/>
        <v>0</v>
      </c>
      <c r="AP162" s="1196">
        <f t="shared" si="627"/>
        <v>0</v>
      </c>
      <c r="AQ162" s="1274">
        <f t="shared" si="627"/>
        <v>0</v>
      </c>
      <c r="AR162" s="399">
        <f t="shared" si="675"/>
        <v>0</v>
      </c>
      <c r="AS162" s="919">
        <f t="shared" si="676"/>
        <v>0</v>
      </c>
      <c r="AT162" s="919">
        <f t="shared" si="677"/>
        <v>0</v>
      </c>
      <c r="AU162" s="919">
        <f t="shared" si="628"/>
        <v>0</v>
      </c>
      <c r="AV162" s="919">
        <f t="shared" si="629"/>
        <v>0</v>
      </c>
      <c r="AW162" s="919">
        <f t="shared" si="630"/>
        <v>0</v>
      </c>
      <c r="AX162" s="919">
        <f t="shared" si="631"/>
        <v>0</v>
      </c>
      <c r="AY162" s="919">
        <f t="shared" si="632"/>
        <v>0</v>
      </c>
      <c r="AZ162" s="919">
        <f t="shared" si="633"/>
        <v>0</v>
      </c>
      <c r="BA162" s="919">
        <f t="shared" si="634"/>
        <v>0</v>
      </c>
      <c r="BB162" s="919">
        <f t="shared" si="635"/>
        <v>0</v>
      </c>
      <c r="BC162" s="919">
        <f t="shared" si="636"/>
        <v>0</v>
      </c>
      <c r="BD162" s="1138">
        <f t="shared" si="637"/>
        <v>0</v>
      </c>
      <c r="BE162" s="940">
        <f t="shared" si="678"/>
        <v>0</v>
      </c>
      <c r="BF162" s="411">
        <f t="shared" si="679"/>
        <v>0</v>
      </c>
      <c r="BG162" s="1558">
        <f t="shared" si="680"/>
        <v>0</v>
      </c>
      <c r="BH162" s="1558">
        <f t="shared" si="638"/>
        <v>0</v>
      </c>
      <c r="BI162" s="1558">
        <f t="shared" si="639"/>
        <v>0</v>
      </c>
      <c r="BJ162" s="1558">
        <f t="shared" si="640"/>
        <v>0</v>
      </c>
      <c r="BK162" s="1558">
        <f t="shared" si="641"/>
        <v>0</v>
      </c>
      <c r="BL162" s="1558">
        <f t="shared" si="642"/>
        <v>0</v>
      </c>
      <c r="BM162" s="1558">
        <f t="shared" si="643"/>
        <v>0</v>
      </c>
      <c r="BN162" s="1558">
        <f t="shared" si="644"/>
        <v>0</v>
      </c>
      <c r="BO162" s="1558">
        <f t="shared" si="645"/>
        <v>0</v>
      </c>
      <c r="BP162" s="1558">
        <f t="shared" si="646"/>
        <v>0</v>
      </c>
      <c r="BQ162" s="1753">
        <f t="shared" si="647"/>
        <v>0</v>
      </c>
      <c r="BR162" s="940">
        <f t="shared" si="681"/>
        <v>0</v>
      </c>
      <c r="BS162" s="411">
        <f t="shared" si="682"/>
        <v>0</v>
      </c>
      <c r="BT162" s="1558">
        <f t="shared" si="683"/>
        <v>0</v>
      </c>
      <c r="BU162" s="1558">
        <f t="shared" si="648"/>
        <v>0</v>
      </c>
      <c r="BV162" s="1558">
        <f t="shared" si="649"/>
        <v>0</v>
      </c>
      <c r="BW162" s="1558">
        <f t="shared" si="650"/>
        <v>0</v>
      </c>
      <c r="BX162" s="1558">
        <f t="shared" si="651"/>
        <v>0</v>
      </c>
      <c r="BY162" s="1558">
        <f t="shared" si="652"/>
        <v>0</v>
      </c>
      <c r="BZ162" s="1558">
        <f t="shared" si="653"/>
        <v>0</v>
      </c>
      <c r="CA162" s="1558">
        <f t="shared" si="654"/>
        <v>0</v>
      </c>
      <c r="CB162" s="1558">
        <f t="shared" si="655"/>
        <v>0</v>
      </c>
      <c r="CC162" s="1558">
        <f t="shared" si="656"/>
        <v>0</v>
      </c>
      <c r="CD162" s="2883">
        <f t="shared" si="657"/>
        <v>0</v>
      </c>
      <c r="CE162" s="940">
        <f t="shared" si="684"/>
        <v>0</v>
      </c>
      <c r="CF162" s="411">
        <f t="shared" si="685"/>
        <v>0</v>
      </c>
      <c r="CG162" s="1558">
        <f t="shared" si="686"/>
        <v>0</v>
      </c>
      <c r="CH162" s="1558">
        <f t="shared" si="658"/>
        <v>0</v>
      </c>
      <c r="CI162" s="1558">
        <f t="shared" si="659"/>
        <v>0</v>
      </c>
      <c r="CJ162" s="1558">
        <f t="shared" si="660"/>
        <v>0</v>
      </c>
      <c r="CK162" s="1558">
        <f t="shared" si="661"/>
        <v>0</v>
      </c>
      <c r="CL162" s="1558">
        <f t="shared" si="662"/>
        <v>0</v>
      </c>
      <c r="CM162" s="1558">
        <f t="shared" si="663"/>
        <v>0</v>
      </c>
      <c r="CN162" s="1558">
        <f t="shared" si="664"/>
        <v>0</v>
      </c>
      <c r="CO162" s="1558">
        <f t="shared" si="665"/>
        <v>0</v>
      </c>
      <c r="CP162" s="1558">
        <f t="shared" si="666"/>
        <v>0</v>
      </c>
      <c r="CQ162" s="1753">
        <f t="shared" si="667"/>
        <v>0</v>
      </c>
    </row>
    <row r="163" spans="2:95" ht="17.5" hidden="1" customHeight="1">
      <c r="B163" s="3356"/>
      <c r="C163" s="3352"/>
      <c r="D163" s="215" t="s">
        <v>295</v>
      </c>
      <c r="E163" s="400">
        <f t="shared" si="668"/>
        <v>0</v>
      </c>
      <c r="F163" s="216">
        <v>0</v>
      </c>
      <c r="G163" s="216">
        <v>0</v>
      </c>
      <c r="H163" s="216">
        <v>0</v>
      </c>
      <c r="I163" s="216">
        <v>0</v>
      </c>
      <c r="J163" s="216">
        <v>0</v>
      </c>
      <c r="K163" s="216">
        <v>0</v>
      </c>
      <c r="L163" s="216">
        <v>0</v>
      </c>
      <c r="M163" s="216">
        <v>0</v>
      </c>
      <c r="N163" s="216">
        <v>0</v>
      </c>
      <c r="O163" s="216">
        <v>0</v>
      </c>
      <c r="P163" s="216">
        <v>0</v>
      </c>
      <c r="Q163" s="219">
        <v>0</v>
      </c>
      <c r="R163" s="400">
        <f t="shared" si="669"/>
        <v>0</v>
      </c>
      <c r="S163" s="216">
        <f t="shared" si="670"/>
        <v>0</v>
      </c>
      <c r="T163" s="216">
        <f t="shared" si="671"/>
        <v>0</v>
      </c>
      <c r="U163" s="216">
        <f t="shared" si="622"/>
        <v>0</v>
      </c>
      <c r="V163" s="216">
        <f t="shared" si="622"/>
        <v>0</v>
      </c>
      <c r="W163" s="216">
        <f t="shared" si="622"/>
        <v>0</v>
      </c>
      <c r="X163" s="216">
        <f t="shared" si="622"/>
        <v>0</v>
      </c>
      <c r="Y163" s="216">
        <f t="shared" si="622"/>
        <v>0</v>
      </c>
      <c r="Z163" s="216">
        <f t="shared" si="622"/>
        <v>0</v>
      </c>
      <c r="AA163" s="216">
        <f t="shared" si="622"/>
        <v>0</v>
      </c>
      <c r="AB163" s="216">
        <f t="shared" si="622"/>
        <v>0</v>
      </c>
      <c r="AC163" s="216">
        <f t="shared" si="622"/>
        <v>0</v>
      </c>
      <c r="AD163" s="219">
        <f t="shared" si="622"/>
        <v>0</v>
      </c>
      <c r="AE163" s="400">
        <f t="shared" si="672"/>
        <v>0</v>
      </c>
      <c r="AF163" s="1218">
        <f t="shared" si="673"/>
        <v>0</v>
      </c>
      <c r="AG163" s="1200">
        <f t="shared" si="674"/>
        <v>0</v>
      </c>
      <c r="AH163" s="1200">
        <f t="shared" si="623"/>
        <v>0</v>
      </c>
      <c r="AI163" s="1200">
        <f t="shared" si="624"/>
        <v>0</v>
      </c>
      <c r="AJ163" s="1200">
        <f t="shared" si="625"/>
        <v>0</v>
      </c>
      <c r="AK163" s="1200">
        <f t="shared" si="626"/>
        <v>0</v>
      </c>
      <c r="AL163" s="1200">
        <f t="shared" si="627"/>
        <v>0</v>
      </c>
      <c r="AM163" s="1200">
        <f t="shared" si="627"/>
        <v>0</v>
      </c>
      <c r="AN163" s="1200">
        <f t="shared" si="627"/>
        <v>0</v>
      </c>
      <c r="AO163" s="1200">
        <f t="shared" si="627"/>
        <v>0</v>
      </c>
      <c r="AP163" s="1200">
        <f t="shared" si="627"/>
        <v>0</v>
      </c>
      <c r="AQ163" s="1284">
        <f t="shared" si="627"/>
        <v>0</v>
      </c>
      <c r="AR163" s="400">
        <f t="shared" si="675"/>
        <v>0</v>
      </c>
      <c r="AS163" s="920">
        <f t="shared" si="676"/>
        <v>0</v>
      </c>
      <c r="AT163" s="920">
        <f t="shared" si="677"/>
        <v>0</v>
      </c>
      <c r="AU163" s="920">
        <f t="shared" si="628"/>
        <v>0</v>
      </c>
      <c r="AV163" s="920">
        <f t="shared" si="629"/>
        <v>0</v>
      </c>
      <c r="AW163" s="920">
        <f t="shared" si="630"/>
        <v>0</v>
      </c>
      <c r="AX163" s="920">
        <f t="shared" si="631"/>
        <v>0</v>
      </c>
      <c r="AY163" s="920">
        <f t="shared" si="632"/>
        <v>0</v>
      </c>
      <c r="AZ163" s="920">
        <f t="shared" si="633"/>
        <v>0</v>
      </c>
      <c r="BA163" s="920">
        <f t="shared" si="634"/>
        <v>0</v>
      </c>
      <c r="BB163" s="920">
        <f t="shared" si="635"/>
        <v>0</v>
      </c>
      <c r="BC163" s="920">
        <f t="shared" si="636"/>
        <v>0</v>
      </c>
      <c r="BD163" s="1453">
        <f t="shared" si="637"/>
        <v>0</v>
      </c>
      <c r="BE163" s="941">
        <f t="shared" si="678"/>
        <v>0</v>
      </c>
      <c r="BF163" s="1563">
        <f t="shared" si="679"/>
        <v>0</v>
      </c>
      <c r="BG163" s="1564">
        <f t="shared" si="680"/>
        <v>0</v>
      </c>
      <c r="BH163" s="1564">
        <f t="shared" si="638"/>
        <v>0</v>
      </c>
      <c r="BI163" s="1564">
        <f t="shared" si="639"/>
        <v>0</v>
      </c>
      <c r="BJ163" s="1564">
        <f t="shared" si="640"/>
        <v>0</v>
      </c>
      <c r="BK163" s="1564">
        <f t="shared" si="641"/>
        <v>0</v>
      </c>
      <c r="BL163" s="1564">
        <f t="shared" si="642"/>
        <v>0</v>
      </c>
      <c r="BM163" s="1564">
        <f t="shared" si="643"/>
        <v>0</v>
      </c>
      <c r="BN163" s="1564">
        <f t="shared" si="644"/>
        <v>0</v>
      </c>
      <c r="BO163" s="1564">
        <f t="shared" si="645"/>
        <v>0</v>
      </c>
      <c r="BP163" s="1564">
        <f t="shared" si="646"/>
        <v>0</v>
      </c>
      <c r="BQ163" s="1757">
        <f t="shared" si="647"/>
        <v>0</v>
      </c>
      <c r="BR163" s="941">
        <f t="shared" si="681"/>
        <v>0</v>
      </c>
      <c r="BS163" s="1563">
        <f t="shared" si="682"/>
        <v>0</v>
      </c>
      <c r="BT163" s="1564">
        <f t="shared" si="683"/>
        <v>0</v>
      </c>
      <c r="BU163" s="1564">
        <f t="shared" si="648"/>
        <v>0</v>
      </c>
      <c r="BV163" s="1564">
        <f t="shared" si="649"/>
        <v>0</v>
      </c>
      <c r="BW163" s="1564">
        <f t="shared" si="650"/>
        <v>0</v>
      </c>
      <c r="BX163" s="1564">
        <f t="shared" si="651"/>
        <v>0</v>
      </c>
      <c r="BY163" s="1564">
        <f t="shared" si="652"/>
        <v>0</v>
      </c>
      <c r="BZ163" s="1564">
        <f t="shared" si="653"/>
        <v>0</v>
      </c>
      <c r="CA163" s="1564">
        <f t="shared" si="654"/>
        <v>0</v>
      </c>
      <c r="CB163" s="1564">
        <f t="shared" si="655"/>
        <v>0</v>
      </c>
      <c r="CC163" s="1564">
        <f t="shared" si="656"/>
        <v>0</v>
      </c>
      <c r="CD163" s="2882">
        <f t="shared" si="657"/>
        <v>0</v>
      </c>
      <c r="CE163" s="941">
        <f t="shared" si="684"/>
        <v>0</v>
      </c>
      <c r="CF163" s="1563">
        <f t="shared" si="685"/>
        <v>0</v>
      </c>
      <c r="CG163" s="1564">
        <f t="shared" si="686"/>
        <v>0</v>
      </c>
      <c r="CH163" s="1564">
        <f t="shared" si="658"/>
        <v>0</v>
      </c>
      <c r="CI163" s="1564">
        <f t="shared" si="659"/>
        <v>0</v>
      </c>
      <c r="CJ163" s="1564">
        <f t="shared" si="660"/>
        <v>0</v>
      </c>
      <c r="CK163" s="1564">
        <f t="shared" si="661"/>
        <v>0</v>
      </c>
      <c r="CL163" s="1564">
        <f t="shared" si="662"/>
        <v>0</v>
      </c>
      <c r="CM163" s="1564">
        <f t="shared" si="663"/>
        <v>0</v>
      </c>
      <c r="CN163" s="1564">
        <f t="shared" si="664"/>
        <v>0</v>
      </c>
      <c r="CO163" s="1564">
        <f t="shared" si="665"/>
        <v>0</v>
      </c>
      <c r="CP163" s="1564">
        <f t="shared" si="666"/>
        <v>0</v>
      </c>
      <c r="CQ163" s="1757">
        <f t="shared" si="667"/>
        <v>0</v>
      </c>
    </row>
    <row r="164" spans="2:95" ht="17.5" hidden="1" customHeight="1">
      <c r="B164" s="3356"/>
      <c r="C164" s="3350" t="s">
        <v>309</v>
      </c>
      <c r="D164" s="210" t="s">
        <v>14</v>
      </c>
      <c r="E164" s="397">
        <f>SUM(E165:E172)</f>
        <v>0</v>
      </c>
      <c r="F164" s="212">
        <v>0</v>
      </c>
      <c r="G164" s="212">
        <v>0</v>
      </c>
      <c r="H164" s="212">
        <v>0</v>
      </c>
      <c r="I164" s="212">
        <v>0</v>
      </c>
      <c r="J164" s="212">
        <v>0</v>
      </c>
      <c r="K164" s="212">
        <v>0</v>
      </c>
      <c r="L164" s="212">
        <v>0</v>
      </c>
      <c r="M164" s="212">
        <v>0</v>
      </c>
      <c r="N164" s="212">
        <v>0</v>
      </c>
      <c r="O164" s="212">
        <v>0</v>
      </c>
      <c r="P164" s="212">
        <v>0</v>
      </c>
      <c r="Q164" s="226">
        <v>0</v>
      </c>
      <c r="R164" s="397">
        <f>SUM(R165:R172)</f>
        <v>0</v>
      </c>
      <c r="S164" s="212">
        <f>SUM(S165:S172)</f>
        <v>0</v>
      </c>
      <c r="T164" s="212">
        <f t="shared" ref="T164:AD164" si="687">SUM(T165:T172)</f>
        <v>0</v>
      </c>
      <c r="U164" s="212">
        <f t="shared" si="687"/>
        <v>0</v>
      </c>
      <c r="V164" s="212">
        <f t="shared" si="687"/>
        <v>0</v>
      </c>
      <c r="W164" s="212">
        <f t="shared" si="687"/>
        <v>0</v>
      </c>
      <c r="X164" s="212">
        <f t="shared" si="687"/>
        <v>0</v>
      </c>
      <c r="Y164" s="212">
        <f t="shared" si="687"/>
        <v>0</v>
      </c>
      <c r="Z164" s="212">
        <f t="shared" si="687"/>
        <v>0</v>
      </c>
      <c r="AA164" s="212">
        <f t="shared" si="687"/>
        <v>0</v>
      </c>
      <c r="AB164" s="212">
        <f t="shared" si="687"/>
        <v>0</v>
      </c>
      <c r="AC164" s="212">
        <f t="shared" si="687"/>
        <v>0</v>
      </c>
      <c r="AD164" s="226">
        <f t="shared" si="687"/>
        <v>0</v>
      </c>
      <c r="AE164" s="397">
        <f>SUM(AE165:AE172)</f>
        <v>0</v>
      </c>
      <c r="AF164" s="1258">
        <f>SUM(AF165:AF172)</f>
        <v>0</v>
      </c>
      <c r="AG164" s="1191">
        <f t="shared" ref="AG164:AQ164" si="688">SUM(AG165:AG172)</f>
        <v>0</v>
      </c>
      <c r="AH164" s="1191">
        <f t="shared" si="688"/>
        <v>0</v>
      </c>
      <c r="AI164" s="1191">
        <f t="shared" si="688"/>
        <v>0</v>
      </c>
      <c r="AJ164" s="1191">
        <f t="shared" si="688"/>
        <v>0</v>
      </c>
      <c r="AK164" s="1191">
        <f t="shared" si="688"/>
        <v>0</v>
      </c>
      <c r="AL164" s="1191">
        <f t="shared" si="688"/>
        <v>0</v>
      </c>
      <c r="AM164" s="1191">
        <f t="shared" si="688"/>
        <v>0</v>
      </c>
      <c r="AN164" s="1191">
        <f t="shared" si="688"/>
        <v>0</v>
      </c>
      <c r="AO164" s="1191">
        <f t="shared" si="688"/>
        <v>0</v>
      </c>
      <c r="AP164" s="1191">
        <f t="shared" si="688"/>
        <v>0</v>
      </c>
      <c r="AQ164" s="1268">
        <f t="shared" si="688"/>
        <v>0</v>
      </c>
      <c r="AR164" s="397">
        <f>SUM(AR165:AR172)</f>
        <v>0</v>
      </c>
      <c r="AS164" s="916">
        <f>SUM(AS165:AS172)</f>
        <v>0</v>
      </c>
      <c r="AT164" s="916">
        <f t="shared" ref="AT164:BD164" si="689">SUM(AT165:AT172)</f>
        <v>0</v>
      </c>
      <c r="AU164" s="916">
        <f t="shared" si="689"/>
        <v>0</v>
      </c>
      <c r="AV164" s="916">
        <f t="shared" si="689"/>
        <v>0</v>
      </c>
      <c r="AW164" s="916">
        <f t="shared" si="689"/>
        <v>0</v>
      </c>
      <c r="AX164" s="916">
        <f t="shared" si="689"/>
        <v>0</v>
      </c>
      <c r="AY164" s="916">
        <f t="shared" si="689"/>
        <v>0</v>
      </c>
      <c r="AZ164" s="916">
        <f t="shared" si="689"/>
        <v>0</v>
      </c>
      <c r="BA164" s="916">
        <f t="shared" si="689"/>
        <v>0</v>
      </c>
      <c r="BB164" s="916">
        <f t="shared" si="689"/>
        <v>0</v>
      </c>
      <c r="BC164" s="916">
        <f t="shared" si="689"/>
        <v>0</v>
      </c>
      <c r="BD164" s="1445">
        <f t="shared" si="689"/>
        <v>0</v>
      </c>
      <c r="BE164" s="936">
        <f>SUM(BE165:BE172)</f>
        <v>0</v>
      </c>
      <c r="BF164" s="397">
        <f>SUM(BF165:BF172)</f>
        <v>0</v>
      </c>
      <c r="BG164" s="415">
        <f t="shared" ref="BG164:BQ164" si="690">SUM(BG165:BG172)</f>
        <v>0</v>
      </c>
      <c r="BH164" s="415">
        <f t="shared" si="690"/>
        <v>0</v>
      </c>
      <c r="BI164" s="415">
        <f t="shared" si="690"/>
        <v>0</v>
      </c>
      <c r="BJ164" s="415">
        <f t="shared" si="690"/>
        <v>0</v>
      </c>
      <c r="BK164" s="415">
        <f t="shared" si="690"/>
        <v>0</v>
      </c>
      <c r="BL164" s="415">
        <f t="shared" si="690"/>
        <v>0</v>
      </c>
      <c r="BM164" s="415">
        <f t="shared" si="690"/>
        <v>0</v>
      </c>
      <c r="BN164" s="415">
        <f t="shared" si="690"/>
        <v>0</v>
      </c>
      <c r="BO164" s="415">
        <f t="shared" si="690"/>
        <v>0</v>
      </c>
      <c r="BP164" s="415">
        <f t="shared" si="690"/>
        <v>0</v>
      </c>
      <c r="BQ164" s="1738">
        <f t="shared" si="690"/>
        <v>0</v>
      </c>
      <c r="BR164" s="936">
        <f>SUM(BR165:BR172)</f>
        <v>0</v>
      </c>
      <c r="BS164" s="397">
        <f>SUM(BS165:BS172)</f>
        <v>0</v>
      </c>
      <c r="BT164" s="415">
        <f t="shared" ref="BT164:CD164" si="691">SUM(BT165:BT172)</f>
        <v>0</v>
      </c>
      <c r="BU164" s="415">
        <f t="shared" si="691"/>
        <v>0</v>
      </c>
      <c r="BV164" s="415">
        <f t="shared" si="691"/>
        <v>0</v>
      </c>
      <c r="BW164" s="415">
        <f t="shared" si="691"/>
        <v>0</v>
      </c>
      <c r="BX164" s="415">
        <f t="shared" si="691"/>
        <v>0</v>
      </c>
      <c r="BY164" s="415">
        <f t="shared" si="691"/>
        <v>0</v>
      </c>
      <c r="BZ164" s="415">
        <f t="shared" si="691"/>
        <v>0</v>
      </c>
      <c r="CA164" s="415">
        <f t="shared" si="691"/>
        <v>0</v>
      </c>
      <c r="CB164" s="415">
        <f t="shared" si="691"/>
        <v>0</v>
      </c>
      <c r="CC164" s="415">
        <f t="shared" si="691"/>
        <v>0</v>
      </c>
      <c r="CD164" s="2879">
        <f t="shared" si="691"/>
        <v>0</v>
      </c>
      <c r="CE164" s="936">
        <f>SUM(CE165:CE172)</f>
        <v>0</v>
      </c>
      <c r="CF164" s="397">
        <f>SUM(CF165:CF172)</f>
        <v>0</v>
      </c>
      <c r="CG164" s="415">
        <f t="shared" ref="CG164:CQ164" si="692">SUM(CG165:CG172)</f>
        <v>0</v>
      </c>
      <c r="CH164" s="415">
        <f t="shared" si="692"/>
        <v>0</v>
      </c>
      <c r="CI164" s="415">
        <f t="shared" si="692"/>
        <v>0</v>
      </c>
      <c r="CJ164" s="415">
        <f t="shared" si="692"/>
        <v>0</v>
      </c>
      <c r="CK164" s="415">
        <f t="shared" si="692"/>
        <v>0</v>
      </c>
      <c r="CL164" s="415">
        <f t="shared" si="692"/>
        <v>0</v>
      </c>
      <c r="CM164" s="415">
        <f t="shared" si="692"/>
        <v>0</v>
      </c>
      <c r="CN164" s="415">
        <f t="shared" si="692"/>
        <v>0</v>
      </c>
      <c r="CO164" s="415">
        <f t="shared" si="692"/>
        <v>0</v>
      </c>
      <c r="CP164" s="415">
        <f t="shared" si="692"/>
        <v>0</v>
      </c>
      <c r="CQ164" s="1738">
        <f t="shared" si="692"/>
        <v>0</v>
      </c>
    </row>
    <row r="165" spans="2:95" ht="17.5" hidden="1" customHeight="1">
      <c r="B165" s="3356"/>
      <c r="C165" s="3351"/>
      <c r="D165" s="201" t="s">
        <v>304</v>
      </c>
      <c r="E165" s="401">
        <f>SUM(F165:Q165)</f>
        <v>0</v>
      </c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33"/>
      <c r="R165" s="401">
        <f>SUM(S165:AD165)</f>
        <v>0</v>
      </c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33"/>
      <c r="AE165" s="401">
        <f>SUM(AF165:AQ165)</f>
        <v>0</v>
      </c>
      <c r="AF165" s="1285"/>
      <c r="AG165" s="1286"/>
      <c r="AH165" s="1286"/>
      <c r="AI165" s="1286"/>
      <c r="AJ165" s="1286"/>
      <c r="AK165" s="1286"/>
      <c r="AL165" s="1286"/>
      <c r="AM165" s="1286"/>
      <c r="AN165" s="1286"/>
      <c r="AO165" s="1286"/>
      <c r="AP165" s="1286"/>
      <c r="AQ165" s="1287"/>
      <c r="AR165" s="401">
        <f>SUM(AS165:BD165)</f>
        <v>0</v>
      </c>
      <c r="AS165" s="1454"/>
      <c r="AT165" s="1454"/>
      <c r="AU165" s="1454"/>
      <c r="AV165" s="1454"/>
      <c r="AW165" s="1454"/>
      <c r="AX165" s="1454"/>
      <c r="AY165" s="1454"/>
      <c r="AZ165" s="1454"/>
      <c r="BA165" s="1454"/>
      <c r="BB165" s="1454"/>
      <c r="BC165" s="1454"/>
      <c r="BD165" s="1455"/>
      <c r="BE165" s="938">
        <f>SUM(BF165:BQ165)</f>
        <v>0</v>
      </c>
      <c r="BF165" s="1565"/>
      <c r="BG165" s="1566"/>
      <c r="BH165" s="1566"/>
      <c r="BI165" s="1566"/>
      <c r="BJ165" s="1566"/>
      <c r="BK165" s="1566"/>
      <c r="BL165" s="1566"/>
      <c r="BM165" s="1566"/>
      <c r="BN165" s="1566"/>
      <c r="BO165" s="1566"/>
      <c r="BP165" s="1566"/>
      <c r="BQ165" s="1758"/>
      <c r="BR165" s="938">
        <f>SUM(BS165:CD165)</f>
        <v>0</v>
      </c>
      <c r="BS165" s="1565"/>
      <c r="BT165" s="1566"/>
      <c r="BU165" s="1566"/>
      <c r="BV165" s="1566"/>
      <c r="BW165" s="1566"/>
      <c r="BX165" s="1566"/>
      <c r="BY165" s="1566"/>
      <c r="BZ165" s="1566"/>
      <c r="CA165" s="1566"/>
      <c r="CB165" s="1566"/>
      <c r="CC165" s="1566"/>
      <c r="CD165" s="2887"/>
      <c r="CE165" s="938">
        <f>SUM(CF165:CQ165)</f>
        <v>0</v>
      </c>
      <c r="CF165" s="1565"/>
      <c r="CG165" s="1566"/>
      <c r="CH165" s="1566"/>
      <c r="CI165" s="1566"/>
      <c r="CJ165" s="1566"/>
      <c r="CK165" s="1566"/>
      <c r="CL165" s="1566"/>
      <c r="CM165" s="1566"/>
      <c r="CN165" s="1566"/>
      <c r="CO165" s="1566"/>
      <c r="CP165" s="1566"/>
      <c r="CQ165" s="1758"/>
    </row>
    <row r="166" spans="2:95" ht="17.5" hidden="1" customHeight="1">
      <c r="B166" s="3356"/>
      <c r="C166" s="3351"/>
      <c r="D166" s="201" t="s">
        <v>305</v>
      </c>
      <c r="E166" s="398">
        <f t="shared" ref="E166:E172" si="693">SUM(F166:Q166)</f>
        <v>0</v>
      </c>
      <c r="F166" s="110"/>
      <c r="G166" s="110"/>
      <c r="H166" s="110"/>
      <c r="I166" s="110"/>
      <c r="J166" s="110"/>
      <c r="K166" s="110"/>
      <c r="L166" s="110"/>
      <c r="M166" s="110"/>
      <c r="N166" s="110"/>
      <c r="O166" s="110"/>
      <c r="P166" s="110"/>
      <c r="Q166" s="105"/>
      <c r="R166" s="398">
        <f t="shared" ref="R166:R172" si="694">SUM(S166:AD166)</f>
        <v>0</v>
      </c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05"/>
      <c r="AE166" s="398">
        <f t="shared" ref="AE166:AE172" si="695">SUM(AF166:AQ166)</f>
        <v>0</v>
      </c>
      <c r="AF166" s="1288"/>
      <c r="AG166" s="1194"/>
      <c r="AH166" s="1194"/>
      <c r="AI166" s="1194"/>
      <c r="AJ166" s="1194"/>
      <c r="AK166" s="1194"/>
      <c r="AL166" s="1194"/>
      <c r="AM166" s="1194"/>
      <c r="AN166" s="1194"/>
      <c r="AO166" s="1194"/>
      <c r="AP166" s="1194"/>
      <c r="AQ166" s="1289"/>
      <c r="AR166" s="398">
        <f t="shared" ref="AR166:AR172" si="696">SUM(AS166:BD166)</f>
        <v>0</v>
      </c>
      <c r="AS166" s="1456"/>
      <c r="AT166" s="1456"/>
      <c r="AU166" s="1456"/>
      <c r="AV166" s="1456"/>
      <c r="AW166" s="1456"/>
      <c r="AX166" s="1456"/>
      <c r="AY166" s="1456"/>
      <c r="AZ166" s="1456"/>
      <c r="BA166" s="1456"/>
      <c r="BB166" s="1456"/>
      <c r="BC166" s="1456"/>
      <c r="BD166" s="1457"/>
      <c r="BE166" s="937">
        <f t="shared" ref="BE166:BE172" si="697">SUM(BF166:BQ166)</f>
        <v>0</v>
      </c>
      <c r="BF166" s="1567"/>
      <c r="BG166" s="1568"/>
      <c r="BH166" s="1568"/>
      <c r="BI166" s="1568"/>
      <c r="BJ166" s="1568"/>
      <c r="BK166" s="1568"/>
      <c r="BL166" s="1568"/>
      <c r="BM166" s="1568"/>
      <c r="BN166" s="1568"/>
      <c r="BO166" s="1568"/>
      <c r="BP166" s="1568"/>
      <c r="BQ166" s="1759"/>
      <c r="BR166" s="937">
        <f t="shared" ref="BR166:BR172" si="698">SUM(BS166:CD166)</f>
        <v>0</v>
      </c>
      <c r="BS166" s="1567"/>
      <c r="BT166" s="1568"/>
      <c r="BU166" s="1568"/>
      <c r="BV166" s="1568"/>
      <c r="BW166" s="1568"/>
      <c r="BX166" s="1568"/>
      <c r="BY166" s="1568"/>
      <c r="BZ166" s="1568"/>
      <c r="CA166" s="1568"/>
      <c r="CB166" s="1568"/>
      <c r="CC166" s="1568"/>
      <c r="CD166" s="2888"/>
      <c r="CE166" s="937">
        <f t="shared" ref="CE166:CE172" si="699">SUM(CF166:CQ166)</f>
        <v>0</v>
      </c>
      <c r="CF166" s="1567"/>
      <c r="CG166" s="1568"/>
      <c r="CH166" s="1568"/>
      <c r="CI166" s="1568"/>
      <c r="CJ166" s="1568"/>
      <c r="CK166" s="1568"/>
      <c r="CL166" s="1568"/>
      <c r="CM166" s="1568"/>
      <c r="CN166" s="1568"/>
      <c r="CO166" s="1568"/>
      <c r="CP166" s="1568"/>
      <c r="CQ166" s="1759"/>
    </row>
    <row r="167" spans="2:95" ht="17.5" hidden="1" customHeight="1">
      <c r="B167" s="3356"/>
      <c r="C167" s="3351"/>
      <c r="D167" s="201" t="s">
        <v>306</v>
      </c>
      <c r="E167" s="398">
        <f t="shared" si="693"/>
        <v>0</v>
      </c>
      <c r="F167" s="110"/>
      <c r="G167" s="110"/>
      <c r="H167" s="110"/>
      <c r="I167" s="110"/>
      <c r="J167" s="110"/>
      <c r="K167" s="110"/>
      <c r="L167" s="110"/>
      <c r="M167" s="110"/>
      <c r="N167" s="110"/>
      <c r="O167" s="110"/>
      <c r="P167" s="110"/>
      <c r="Q167" s="105"/>
      <c r="R167" s="398">
        <f t="shared" si="694"/>
        <v>0</v>
      </c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05"/>
      <c r="AE167" s="398">
        <f t="shared" si="695"/>
        <v>0</v>
      </c>
      <c r="AF167" s="1288"/>
      <c r="AG167" s="1194"/>
      <c r="AH167" s="1194"/>
      <c r="AI167" s="1194"/>
      <c r="AJ167" s="1194"/>
      <c r="AK167" s="1194"/>
      <c r="AL167" s="1194"/>
      <c r="AM167" s="1194"/>
      <c r="AN167" s="1194"/>
      <c r="AO167" s="1194"/>
      <c r="AP167" s="1194"/>
      <c r="AQ167" s="1289"/>
      <c r="AR167" s="398">
        <f t="shared" si="696"/>
        <v>0</v>
      </c>
      <c r="AS167" s="1456"/>
      <c r="AT167" s="1456"/>
      <c r="AU167" s="1456"/>
      <c r="AV167" s="1456"/>
      <c r="AW167" s="1456"/>
      <c r="AX167" s="1456"/>
      <c r="AY167" s="1456"/>
      <c r="AZ167" s="1456"/>
      <c r="BA167" s="1456"/>
      <c r="BB167" s="1456"/>
      <c r="BC167" s="1456"/>
      <c r="BD167" s="1457"/>
      <c r="BE167" s="937">
        <f t="shared" si="697"/>
        <v>0</v>
      </c>
      <c r="BF167" s="1567"/>
      <c r="BG167" s="1568"/>
      <c r="BH167" s="1568"/>
      <c r="BI167" s="1568"/>
      <c r="BJ167" s="1568"/>
      <c r="BK167" s="1568"/>
      <c r="BL167" s="1568"/>
      <c r="BM167" s="1568"/>
      <c r="BN167" s="1568"/>
      <c r="BO167" s="1568"/>
      <c r="BP167" s="1568"/>
      <c r="BQ167" s="1759"/>
      <c r="BR167" s="937">
        <f t="shared" si="698"/>
        <v>0</v>
      </c>
      <c r="BS167" s="1567"/>
      <c r="BT167" s="1568"/>
      <c r="BU167" s="1568"/>
      <c r="BV167" s="1568"/>
      <c r="BW167" s="1568"/>
      <c r="BX167" s="1568"/>
      <c r="BY167" s="1568"/>
      <c r="BZ167" s="1568"/>
      <c r="CA167" s="1568"/>
      <c r="CB167" s="1568"/>
      <c r="CC167" s="1568"/>
      <c r="CD167" s="2888"/>
      <c r="CE167" s="937">
        <f t="shared" si="699"/>
        <v>0</v>
      </c>
      <c r="CF167" s="1567"/>
      <c r="CG167" s="1568"/>
      <c r="CH167" s="1568"/>
      <c r="CI167" s="1568"/>
      <c r="CJ167" s="1568"/>
      <c r="CK167" s="1568"/>
      <c r="CL167" s="1568"/>
      <c r="CM167" s="1568"/>
      <c r="CN167" s="1568"/>
      <c r="CO167" s="1568"/>
      <c r="CP167" s="1568"/>
      <c r="CQ167" s="1759"/>
    </row>
    <row r="168" spans="2:95" ht="17.5" hidden="1" customHeight="1">
      <c r="B168" s="3356"/>
      <c r="C168" s="3351"/>
      <c r="D168" s="201" t="s">
        <v>681</v>
      </c>
      <c r="E168" s="398">
        <f t="shared" si="693"/>
        <v>0</v>
      </c>
      <c r="F168" s="110"/>
      <c r="G168" s="110"/>
      <c r="H168" s="110"/>
      <c r="I168" s="110"/>
      <c r="J168" s="110"/>
      <c r="K168" s="110"/>
      <c r="L168" s="110"/>
      <c r="M168" s="110"/>
      <c r="N168" s="110"/>
      <c r="O168" s="110"/>
      <c r="P168" s="110"/>
      <c r="Q168" s="105"/>
      <c r="R168" s="398">
        <f t="shared" si="694"/>
        <v>0</v>
      </c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05"/>
      <c r="AE168" s="398">
        <f t="shared" si="695"/>
        <v>0</v>
      </c>
      <c r="AF168" s="1288"/>
      <c r="AG168" s="1194"/>
      <c r="AH168" s="1194"/>
      <c r="AI168" s="1194"/>
      <c r="AJ168" s="1194"/>
      <c r="AK168" s="1194"/>
      <c r="AL168" s="1194"/>
      <c r="AM168" s="1194"/>
      <c r="AN168" s="1194"/>
      <c r="AO168" s="1194"/>
      <c r="AP168" s="1194"/>
      <c r="AQ168" s="1289"/>
      <c r="AR168" s="398">
        <f t="shared" si="696"/>
        <v>0</v>
      </c>
      <c r="AS168" s="1456"/>
      <c r="AT168" s="1456"/>
      <c r="AU168" s="1456"/>
      <c r="AV168" s="1456"/>
      <c r="AW168" s="1456"/>
      <c r="AX168" s="1456"/>
      <c r="AY168" s="1456"/>
      <c r="AZ168" s="1456"/>
      <c r="BA168" s="1456"/>
      <c r="BB168" s="1456"/>
      <c r="BC168" s="1456"/>
      <c r="BD168" s="1457"/>
      <c r="BE168" s="937">
        <f t="shared" si="697"/>
        <v>0</v>
      </c>
      <c r="BF168" s="1567"/>
      <c r="BG168" s="1568"/>
      <c r="BH168" s="1568"/>
      <c r="BI168" s="1568"/>
      <c r="BJ168" s="1568"/>
      <c r="BK168" s="1568"/>
      <c r="BL168" s="1568"/>
      <c r="BM168" s="1568"/>
      <c r="BN168" s="1568"/>
      <c r="BO168" s="1568"/>
      <c r="BP168" s="1568"/>
      <c r="BQ168" s="1759"/>
      <c r="BR168" s="937">
        <f t="shared" si="698"/>
        <v>0</v>
      </c>
      <c r="BS168" s="1567"/>
      <c r="BT168" s="1568"/>
      <c r="BU168" s="1568"/>
      <c r="BV168" s="1568"/>
      <c r="BW168" s="1568"/>
      <c r="BX168" s="1568"/>
      <c r="BY168" s="1568"/>
      <c r="BZ168" s="1568"/>
      <c r="CA168" s="1568"/>
      <c r="CB168" s="1568"/>
      <c r="CC168" s="1568"/>
      <c r="CD168" s="2888"/>
      <c r="CE168" s="937">
        <f t="shared" si="699"/>
        <v>0</v>
      </c>
      <c r="CF168" s="1567"/>
      <c r="CG168" s="1568"/>
      <c r="CH168" s="1568"/>
      <c r="CI168" s="1568"/>
      <c r="CJ168" s="1568"/>
      <c r="CK168" s="1568"/>
      <c r="CL168" s="1568"/>
      <c r="CM168" s="1568"/>
      <c r="CN168" s="1568"/>
      <c r="CO168" s="1568"/>
      <c r="CP168" s="1568"/>
      <c r="CQ168" s="1759"/>
    </row>
    <row r="169" spans="2:95" ht="17.5" hidden="1" customHeight="1">
      <c r="B169" s="3356"/>
      <c r="C169" s="3351"/>
      <c r="D169" s="201" t="s">
        <v>332</v>
      </c>
      <c r="E169" s="398">
        <f t="shared" si="693"/>
        <v>0</v>
      </c>
      <c r="F169" s="110"/>
      <c r="G169" s="110"/>
      <c r="H169" s="110"/>
      <c r="I169" s="110"/>
      <c r="J169" s="110"/>
      <c r="K169" s="110"/>
      <c r="L169" s="110"/>
      <c r="M169" s="110"/>
      <c r="N169" s="110"/>
      <c r="O169" s="110"/>
      <c r="P169" s="110"/>
      <c r="Q169" s="105"/>
      <c r="R169" s="398">
        <f t="shared" si="694"/>
        <v>0</v>
      </c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05"/>
      <c r="AE169" s="398">
        <f t="shared" si="695"/>
        <v>0</v>
      </c>
      <c r="AF169" s="1288"/>
      <c r="AG169" s="1194"/>
      <c r="AH169" s="1194"/>
      <c r="AI169" s="1194"/>
      <c r="AJ169" s="1194"/>
      <c r="AK169" s="1194"/>
      <c r="AL169" s="1194"/>
      <c r="AM169" s="1194"/>
      <c r="AN169" s="1194"/>
      <c r="AO169" s="1194"/>
      <c r="AP169" s="1194"/>
      <c r="AQ169" s="1289"/>
      <c r="AR169" s="398">
        <f t="shared" si="696"/>
        <v>0</v>
      </c>
      <c r="AS169" s="1456"/>
      <c r="AT169" s="1456"/>
      <c r="AU169" s="1456"/>
      <c r="AV169" s="1456"/>
      <c r="AW169" s="1456"/>
      <c r="AX169" s="1456"/>
      <c r="AY169" s="1456"/>
      <c r="AZ169" s="1456"/>
      <c r="BA169" s="1456"/>
      <c r="BB169" s="1456"/>
      <c r="BC169" s="1456"/>
      <c r="BD169" s="1457"/>
      <c r="BE169" s="937">
        <f t="shared" si="697"/>
        <v>0</v>
      </c>
      <c r="BF169" s="1567"/>
      <c r="BG169" s="1568"/>
      <c r="BH169" s="1568"/>
      <c r="BI169" s="1568"/>
      <c r="BJ169" s="1568"/>
      <c r="BK169" s="1568"/>
      <c r="BL169" s="1568"/>
      <c r="BM169" s="1568"/>
      <c r="BN169" s="1568"/>
      <c r="BO169" s="1568"/>
      <c r="BP169" s="1568"/>
      <c r="BQ169" s="1759"/>
      <c r="BR169" s="937">
        <f t="shared" si="698"/>
        <v>0</v>
      </c>
      <c r="BS169" s="1567"/>
      <c r="BT169" s="1568"/>
      <c r="BU169" s="1568"/>
      <c r="BV169" s="1568"/>
      <c r="BW169" s="1568"/>
      <c r="BX169" s="1568"/>
      <c r="BY169" s="1568"/>
      <c r="BZ169" s="1568"/>
      <c r="CA169" s="1568"/>
      <c r="CB169" s="1568"/>
      <c r="CC169" s="1568"/>
      <c r="CD169" s="2888"/>
      <c r="CE169" s="937">
        <f t="shared" si="699"/>
        <v>0</v>
      </c>
      <c r="CF169" s="1567"/>
      <c r="CG169" s="1568"/>
      <c r="CH169" s="1568"/>
      <c r="CI169" s="1568"/>
      <c r="CJ169" s="1568"/>
      <c r="CK169" s="1568"/>
      <c r="CL169" s="1568"/>
      <c r="CM169" s="1568"/>
      <c r="CN169" s="1568"/>
      <c r="CO169" s="1568"/>
      <c r="CP169" s="1568"/>
      <c r="CQ169" s="1759"/>
    </row>
    <row r="170" spans="2:95" ht="17.5" hidden="1" customHeight="1">
      <c r="B170" s="3356"/>
      <c r="C170" s="3351"/>
      <c r="D170" s="202" t="s">
        <v>311</v>
      </c>
      <c r="E170" s="401">
        <f t="shared" si="693"/>
        <v>0</v>
      </c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33"/>
      <c r="R170" s="401">
        <f t="shared" si="694"/>
        <v>0</v>
      </c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33"/>
      <c r="AE170" s="401">
        <f t="shared" si="695"/>
        <v>0</v>
      </c>
      <c r="AF170" s="1285"/>
      <c r="AG170" s="1286"/>
      <c r="AH170" s="1286"/>
      <c r="AI170" s="1286"/>
      <c r="AJ170" s="1286"/>
      <c r="AK170" s="1286"/>
      <c r="AL170" s="1286"/>
      <c r="AM170" s="1286"/>
      <c r="AN170" s="1286"/>
      <c r="AO170" s="1286"/>
      <c r="AP170" s="1286"/>
      <c r="AQ170" s="1287"/>
      <c r="AR170" s="401">
        <f t="shared" si="696"/>
        <v>0</v>
      </c>
      <c r="AS170" s="1454"/>
      <c r="AT170" s="1454"/>
      <c r="AU170" s="1454"/>
      <c r="AV170" s="1454"/>
      <c r="AW170" s="1454"/>
      <c r="AX170" s="1454"/>
      <c r="AY170" s="1454"/>
      <c r="AZ170" s="1454"/>
      <c r="BA170" s="1454"/>
      <c r="BB170" s="1454"/>
      <c r="BC170" s="1454"/>
      <c r="BD170" s="1455"/>
      <c r="BE170" s="938">
        <f t="shared" si="697"/>
        <v>0</v>
      </c>
      <c r="BF170" s="1565"/>
      <c r="BG170" s="1566"/>
      <c r="BH170" s="1566"/>
      <c r="BI170" s="1566"/>
      <c r="BJ170" s="1566"/>
      <c r="BK170" s="1566"/>
      <c r="BL170" s="1566"/>
      <c r="BM170" s="1566"/>
      <c r="BN170" s="1566"/>
      <c r="BO170" s="1566"/>
      <c r="BP170" s="1566"/>
      <c r="BQ170" s="1758"/>
      <c r="BR170" s="938">
        <f t="shared" si="698"/>
        <v>0</v>
      </c>
      <c r="BS170" s="1565"/>
      <c r="BT170" s="1566"/>
      <c r="BU170" s="1566"/>
      <c r="BV170" s="1566"/>
      <c r="BW170" s="1566"/>
      <c r="BX170" s="1566"/>
      <c r="BY170" s="1566"/>
      <c r="BZ170" s="1566"/>
      <c r="CA170" s="1566"/>
      <c r="CB170" s="1566"/>
      <c r="CC170" s="1566"/>
      <c r="CD170" s="2887"/>
      <c r="CE170" s="938">
        <f t="shared" si="699"/>
        <v>0</v>
      </c>
      <c r="CF170" s="1565"/>
      <c r="CG170" s="1566"/>
      <c r="CH170" s="1566"/>
      <c r="CI170" s="1566"/>
      <c r="CJ170" s="1566"/>
      <c r="CK170" s="1566"/>
      <c r="CL170" s="1566"/>
      <c r="CM170" s="1566"/>
      <c r="CN170" s="1566"/>
      <c r="CO170" s="1566"/>
      <c r="CP170" s="1566"/>
      <c r="CQ170" s="1758"/>
    </row>
    <row r="171" spans="2:95" ht="17.5" hidden="1" customHeight="1">
      <c r="B171" s="3356"/>
      <c r="C171" s="3351"/>
      <c r="D171" s="203" t="s">
        <v>307</v>
      </c>
      <c r="E171" s="399">
        <f t="shared" si="693"/>
        <v>0</v>
      </c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06"/>
      <c r="R171" s="399">
        <f t="shared" si="694"/>
        <v>0</v>
      </c>
      <c r="S171" s="111"/>
      <c r="T171" s="111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06"/>
      <c r="AE171" s="399">
        <f t="shared" si="695"/>
        <v>0</v>
      </c>
      <c r="AF171" s="1290"/>
      <c r="AG171" s="1197"/>
      <c r="AH171" s="1197"/>
      <c r="AI171" s="1197"/>
      <c r="AJ171" s="1197"/>
      <c r="AK171" s="1197"/>
      <c r="AL171" s="1197"/>
      <c r="AM171" s="1197"/>
      <c r="AN171" s="1197"/>
      <c r="AO171" s="1197"/>
      <c r="AP171" s="1197"/>
      <c r="AQ171" s="1291"/>
      <c r="AR171" s="399">
        <f t="shared" si="696"/>
        <v>0</v>
      </c>
      <c r="AS171" s="1458"/>
      <c r="AT171" s="1458"/>
      <c r="AU171" s="1458"/>
      <c r="AV171" s="1458"/>
      <c r="AW171" s="1458"/>
      <c r="AX171" s="1458"/>
      <c r="AY171" s="1458"/>
      <c r="AZ171" s="1458"/>
      <c r="BA171" s="1458"/>
      <c r="BB171" s="1458"/>
      <c r="BC171" s="1458"/>
      <c r="BD171" s="1459"/>
      <c r="BE171" s="940">
        <f t="shared" si="697"/>
        <v>0</v>
      </c>
      <c r="BF171" s="1569"/>
      <c r="BG171" s="1570"/>
      <c r="BH171" s="1570"/>
      <c r="BI171" s="1570"/>
      <c r="BJ171" s="1570"/>
      <c r="BK171" s="1570"/>
      <c r="BL171" s="1570"/>
      <c r="BM171" s="1570"/>
      <c r="BN171" s="1570"/>
      <c r="BO171" s="1570"/>
      <c r="BP171" s="1570"/>
      <c r="BQ171" s="1760"/>
      <c r="BR171" s="940">
        <f t="shared" si="698"/>
        <v>0</v>
      </c>
      <c r="BS171" s="1569"/>
      <c r="BT171" s="1570"/>
      <c r="BU171" s="1570"/>
      <c r="BV171" s="1570"/>
      <c r="BW171" s="1570"/>
      <c r="BX171" s="1570"/>
      <c r="BY171" s="1570"/>
      <c r="BZ171" s="1570"/>
      <c r="CA171" s="1570"/>
      <c r="CB171" s="1570"/>
      <c r="CC171" s="1570"/>
      <c r="CD171" s="2889"/>
      <c r="CE171" s="940">
        <f t="shared" si="699"/>
        <v>0</v>
      </c>
      <c r="CF171" s="1569"/>
      <c r="CG171" s="1570"/>
      <c r="CH171" s="1570"/>
      <c r="CI171" s="1570"/>
      <c r="CJ171" s="1570"/>
      <c r="CK171" s="1570"/>
      <c r="CL171" s="1570"/>
      <c r="CM171" s="1570"/>
      <c r="CN171" s="1570"/>
      <c r="CO171" s="1570"/>
      <c r="CP171" s="1570"/>
      <c r="CQ171" s="1760"/>
    </row>
    <row r="172" spans="2:95" ht="17.5" hidden="1" customHeight="1">
      <c r="B172" s="3356"/>
      <c r="C172" s="3352"/>
      <c r="D172" s="215" t="s">
        <v>295</v>
      </c>
      <c r="E172" s="400">
        <f t="shared" si="693"/>
        <v>0</v>
      </c>
      <c r="F172" s="299"/>
      <c r="G172" s="299"/>
      <c r="H172" s="299"/>
      <c r="I172" s="299"/>
      <c r="J172" s="299"/>
      <c r="K172" s="299"/>
      <c r="L172" s="299"/>
      <c r="M172" s="299"/>
      <c r="N172" s="299"/>
      <c r="O172" s="299"/>
      <c r="P172" s="299"/>
      <c r="Q172" s="300"/>
      <c r="R172" s="400">
        <f t="shared" si="694"/>
        <v>0</v>
      </c>
      <c r="S172" s="299"/>
      <c r="T172" s="299"/>
      <c r="U172" s="299"/>
      <c r="V172" s="299"/>
      <c r="W172" s="299"/>
      <c r="X172" s="299"/>
      <c r="Y172" s="299"/>
      <c r="Z172" s="299"/>
      <c r="AA172" s="299"/>
      <c r="AB172" s="299"/>
      <c r="AC172" s="299"/>
      <c r="AD172" s="300"/>
      <c r="AE172" s="400">
        <f t="shared" si="695"/>
        <v>0</v>
      </c>
      <c r="AF172" s="1292"/>
      <c r="AG172" s="1201"/>
      <c r="AH172" s="1201"/>
      <c r="AI172" s="1201"/>
      <c r="AJ172" s="1201"/>
      <c r="AK172" s="1201"/>
      <c r="AL172" s="1201"/>
      <c r="AM172" s="1201"/>
      <c r="AN172" s="1201"/>
      <c r="AO172" s="1201"/>
      <c r="AP172" s="1201"/>
      <c r="AQ172" s="1293"/>
      <c r="AR172" s="400">
        <f t="shared" si="696"/>
        <v>0</v>
      </c>
      <c r="AS172" s="1460"/>
      <c r="AT172" s="1460"/>
      <c r="AU172" s="1460"/>
      <c r="AV172" s="1460"/>
      <c r="AW172" s="1460"/>
      <c r="AX172" s="1460"/>
      <c r="AY172" s="1460"/>
      <c r="AZ172" s="1460"/>
      <c r="BA172" s="1460"/>
      <c r="BB172" s="1460"/>
      <c r="BC172" s="1460"/>
      <c r="BD172" s="1461"/>
      <c r="BE172" s="941">
        <f t="shared" si="697"/>
        <v>0</v>
      </c>
      <c r="BF172" s="1571"/>
      <c r="BG172" s="1572"/>
      <c r="BH172" s="1572"/>
      <c r="BI172" s="1572"/>
      <c r="BJ172" s="1572"/>
      <c r="BK172" s="1572"/>
      <c r="BL172" s="1572"/>
      <c r="BM172" s="1572"/>
      <c r="BN172" s="1572"/>
      <c r="BO172" s="1572"/>
      <c r="BP172" s="1572"/>
      <c r="BQ172" s="1761"/>
      <c r="BR172" s="941">
        <f t="shared" si="698"/>
        <v>0</v>
      </c>
      <c r="BS172" s="1571"/>
      <c r="BT172" s="1572"/>
      <c r="BU172" s="1572"/>
      <c r="BV172" s="1572"/>
      <c r="BW172" s="1572"/>
      <c r="BX172" s="1572"/>
      <c r="BY172" s="1572"/>
      <c r="BZ172" s="1572"/>
      <c r="CA172" s="1572"/>
      <c r="CB172" s="1572"/>
      <c r="CC172" s="1572"/>
      <c r="CD172" s="2890"/>
      <c r="CE172" s="941">
        <f t="shared" si="699"/>
        <v>0</v>
      </c>
      <c r="CF172" s="1571"/>
      <c r="CG172" s="1572"/>
      <c r="CH172" s="1572"/>
      <c r="CI172" s="1572"/>
      <c r="CJ172" s="1572"/>
      <c r="CK172" s="1572"/>
      <c r="CL172" s="1572"/>
      <c r="CM172" s="1572"/>
      <c r="CN172" s="1572"/>
      <c r="CO172" s="1572"/>
      <c r="CP172" s="1572"/>
      <c r="CQ172" s="1761"/>
    </row>
    <row r="173" spans="2:95" ht="17.5" hidden="1" customHeight="1">
      <c r="B173" s="3356"/>
      <c r="C173" s="3353" t="s">
        <v>310</v>
      </c>
      <c r="D173" s="298" t="s">
        <v>14</v>
      </c>
      <c r="E173" s="397">
        <f t="shared" ref="E173:AD173" si="700">SUM(E174:E180)</f>
        <v>0</v>
      </c>
      <c r="F173" s="212">
        <v>0</v>
      </c>
      <c r="G173" s="212">
        <v>0</v>
      </c>
      <c r="H173" s="212">
        <v>0</v>
      </c>
      <c r="I173" s="212">
        <v>0</v>
      </c>
      <c r="J173" s="212">
        <v>0</v>
      </c>
      <c r="K173" s="212">
        <v>0</v>
      </c>
      <c r="L173" s="212">
        <v>0</v>
      </c>
      <c r="M173" s="212">
        <v>0</v>
      </c>
      <c r="N173" s="212">
        <v>0</v>
      </c>
      <c r="O173" s="212">
        <v>0</v>
      </c>
      <c r="P173" s="212">
        <v>0</v>
      </c>
      <c r="Q173" s="226">
        <v>0</v>
      </c>
      <c r="R173" s="397">
        <f t="shared" si="700"/>
        <v>0</v>
      </c>
      <c r="S173" s="212">
        <f t="shared" si="700"/>
        <v>0</v>
      </c>
      <c r="T173" s="212">
        <f t="shared" si="700"/>
        <v>0</v>
      </c>
      <c r="U173" s="212">
        <f t="shared" si="700"/>
        <v>0</v>
      </c>
      <c r="V173" s="212">
        <f t="shared" si="700"/>
        <v>0</v>
      </c>
      <c r="W173" s="212">
        <f t="shared" si="700"/>
        <v>0</v>
      </c>
      <c r="X173" s="212">
        <f t="shared" si="700"/>
        <v>0</v>
      </c>
      <c r="Y173" s="212">
        <f t="shared" si="700"/>
        <v>0</v>
      </c>
      <c r="Z173" s="212">
        <f t="shared" si="700"/>
        <v>0</v>
      </c>
      <c r="AA173" s="212">
        <f t="shared" si="700"/>
        <v>0</v>
      </c>
      <c r="AB173" s="212">
        <f t="shared" si="700"/>
        <v>0</v>
      </c>
      <c r="AC173" s="212">
        <f t="shared" si="700"/>
        <v>0</v>
      </c>
      <c r="AD173" s="226">
        <f t="shared" si="700"/>
        <v>0</v>
      </c>
      <c r="AE173" s="397">
        <f t="shared" ref="AE173:AQ173" si="701">SUM(AE174:AE180)</f>
        <v>0</v>
      </c>
      <c r="AF173" s="1258">
        <f t="shared" si="701"/>
        <v>0</v>
      </c>
      <c r="AG173" s="1191">
        <f t="shared" si="701"/>
        <v>0</v>
      </c>
      <c r="AH173" s="1191">
        <f t="shared" si="701"/>
        <v>0</v>
      </c>
      <c r="AI173" s="1191">
        <f t="shared" si="701"/>
        <v>0</v>
      </c>
      <c r="AJ173" s="1191">
        <f t="shared" si="701"/>
        <v>0</v>
      </c>
      <c r="AK173" s="1191">
        <f t="shared" si="701"/>
        <v>0</v>
      </c>
      <c r="AL173" s="1191">
        <f t="shared" si="701"/>
        <v>0</v>
      </c>
      <c r="AM173" s="1191">
        <f t="shared" si="701"/>
        <v>0</v>
      </c>
      <c r="AN173" s="1191">
        <f t="shared" si="701"/>
        <v>0</v>
      </c>
      <c r="AO173" s="1191">
        <f t="shared" si="701"/>
        <v>0</v>
      </c>
      <c r="AP173" s="1191">
        <f t="shared" si="701"/>
        <v>0</v>
      </c>
      <c r="AQ173" s="1268">
        <f t="shared" si="701"/>
        <v>0</v>
      </c>
      <c r="AR173" s="397">
        <f t="shared" ref="AR173:BD173" si="702">SUM(AR174:AR180)</f>
        <v>0</v>
      </c>
      <c r="AS173" s="916">
        <f t="shared" si="702"/>
        <v>0</v>
      </c>
      <c r="AT173" s="916">
        <f t="shared" si="702"/>
        <v>0</v>
      </c>
      <c r="AU173" s="916">
        <f t="shared" si="702"/>
        <v>0</v>
      </c>
      <c r="AV173" s="916">
        <f t="shared" si="702"/>
        <v>0</v>
      </c>
      <c r="AW173" s="916">
        <f t="shared" si="702"/>
        <v>0</v>
      </c>
      <c r="AX173" s="916">
        <f t="shared" si="702"/>
        <v>0</v>
      </c>
      <c r="AY173" s="916">
        <f t="shared" si="702"/>
        <v>0</v>
      </c>
      <c r="AZ173" s="916">
        <f t="shared" si="702"/>
        <v>0</v>
      </c>
      <c r="BA173" s="916">
        <f t="shared" si="702"/>
        <v>0</v>
      </c>
      <c r="BB173" s="916">
        <f t="shared" si="702"/>
        <v>0</v>
      </c>
      <c r="BC173" s="916">
        <f t="shared" si="702"/>
        <v>0</v>
      </c>
      <c r="BD173" s="1445">
        <f t="shared" si="702"/>
        <v>0</v>
      </c>
      <c r="BE173" s="936">
        <f t="shared" ref="BE173:BQ173" si="703">SUM(BE174:BE180)</f>
        <v>0</v>
      </c>
      <c r="BF173" s="397">
        <f t="shared" si="703"/>
        <v>0</v>
      </c>
      <c r="BG173" s="415">
        <f t="shared" si="703"/>
        <v>0</v>
      </c>
      <c r="BH173" s="415">
        <f t="shared" si="703"/>
        <v>0</v>
      </c>
      <c r="BI173" s="415">
        <f t="shared" si="703"/>
        <v>0</v>
      </c>
      <c r="BJ173" s="415">
        <f t="shared" si="703"/>
        <v>0</v>
      </c>
      <c r="BK173" s="415">
        <f t="shared" si="703"/>
        <v>0</v>
      </c>
      <c r="BL173" s="415">
        <f t="shared" si="703"/>
        <v>0</v>
      </c>
      <c r="BM173" s="415">
        <f t="shared" si="703"/>
        <v>0</v>
      </c>
      <c r="BN173" s="415">
        <f t="shared" si="703"/>
        <v>0</v>
      </c>
      <c r="BO173" s="415">
        <f t="shared" si="703"/>
        <v>0</v>
      </c>
      <c r="BP173" s="415">
        <f t="shared" si="703"/>
        <v>0</v>
      </c>
      <c r="BQ173" s="1738">
        <f t="shared" si="703"/>
        <v>0</v>
      </c>
      <c r="BR173" s="936">
        <f t="shared" ref="BR173:CD173" si="704">SUM(BR174:BR180)</f>
        <v>0</v>
      </c>
      <c r="BS173" s="397">
        <f t="shared" si="704"/>
        <v>0</v>
      </c>
      <c r="BT173" s="415">
        <f t="shared" si="704"/>
        <v>0</v>
      </c>
      <c r="BU173" s="415">
        <f t="shared" si="704"/>
        <v>0</v>
      </c>
      <c r="BV173" s="415">
        <f t="shared" si="704"/>
        <v>0</v>
      </c>
      <c r="BW173" s="415">
        <f t="shared" si="704"/>
        <v>0</v>
      </c>
      <c r="BX173" s="415">
        <f t="shared" si="704"/>
        <v>0</v>
      </c>
      <c r="BY173" s="415">
        <f t="shared" si="704"/>
        <v>0</v>
      </c>
      <c r="BZ173" s="415">
        <f t="shared" si="704"/>
        <v>0</v>
      </c>
      <c r="CA173" s="415">
        <f t="shared" si="704"/>
        <v>0</v>
      </c>
      <c r="CB173" s="415">
        <f t="shared" si="704"/>
        <v>0</v>
      </c>
      <c r="CC173" s="415">
        <f t="shared" si="704"/>
        <v>0</v>
      </c>
      <c r="CD173" s="2879">
        <f t="shared" si="704"/>
        <v>0</v>
      </c>
      <c r="CE173" s="936">
        <f t="shared" ref="CE173:CQ173" si="705">SUM(CE174:CE180)</f>
        <v>0</v>
      </c>
      <c r="CF173" s="397">
        <f t="shared" si="705"/>
        <v>0</v>
      </c>
      <c r="CG173" s="415">
        <f t="shared" si="705"/>
        <v>0</v>
      </c>
      <c r="CH173" s="415">
        <f t="shared" si="705"/>
        <v>0</v>
      </c>
      <c r="CI173" s="415">
        <f t="shared" si="705"/>
        <v>0</v>
      </c>
      <c r="CJ173" s="415">
        <f t="shared" si="705"/>
        <v>0</v>
      </c>
      <c r="CK173" s="415">
        <f t="shared" si="705"/>
        <v>0</v>
      </c>
      <c r="CL173" s="415">
        <f t="shared" si="705"/>
        <v>0</v>
      </c>
      <c r="CM173" s="415">
        <f t="shared" si="705"/>
        <v>0</v>
      </c>
      <c r="CN173" s="415">
        <f t="shared" si="705"/>
        <v>0</v>
      </c>
      <c r="CO173" s="415">
        <f t="shared" si="705"/>
        <v>0</v>
      </c>
      <c r="CP173" s="415">
        <f t="shared" si="705"/>
        <v>0</v>
      </c>
      <c r="CQ173" s="1738">
        <f t="shared" si="705"/>
        <v>0</v>
      </c>
    </row>
    <row r="174" spans="2:95" ht="17.5" hidden="1" customHeight="1">
      <c r="B174" s="3356"/>
      <c r="C174" s="3354"/>
      <c r="D174" s="201" t="s">
        <v>304</v>
      </c>
      <c r="E174" s="401">
        <f>SUM(F174:Q174)</f>
        <v>0</v>
      </c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34"/>
      <c r="R174" s="401">
        <f>SUM(S174:AD174)</f>
        <v>0</v>
      </c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34"/>
      <c r="AE174" s="401">
        <f>SUM(AF174:AQ174)</f>
        <v>0</v>
      </c>
      <c r="AF174" s="1270"/>
      <c r="AG174" s="1271"/>
      <c r="AH174" s="1271"/>
      <c r="AI174" s="1271"/>
      <c r="AJ174" s="1271"/>
      <c r="AK174" s="1271"/>
      <c r="AL174" s="1271"/>
      <c r="AM174" s="1271"/>
      <c r="AN174" s="1271"/>
      <c r="AO174" s="1271"/>
      <c r="AP174" s="1271"/>
      <c r="AQ174" s="1272"/>
      <c r="AR174" s="401">
        <f>SUM(AS174:BD174)</f>
        <v>0</v>
      </c>
      <c r="AS174" s="917"/>
      <c r="AT174" s="917"/>
      <c r="AU174" s="917"/>
      <c r="AV174" s="917"/>
      <c r="AW174" s="917"/>
      <c r="AX174" s="917"/>
      <c r="AY174" s="917"/>
      <c r="AZ174" s="917"/>
      <c r="BA174" s="917"/>
      <c r="BB174" s="917"/>
      <c r="BC174" s="917"/>
      <c r="BD174" s="1446"/>
      <c r="BE174" s="938">
        <f>SUM(BF174:BQ174)</f>
        <v>0</v>
      </c>
      <c r="BF174" s="1556"/>
      <c r="BG174" s="1557"/>
      <c r="BH174" s="1557"/>
      <c r="BI174" s="1557"/>
      <c r="BJ174" s="1557"/>
      <c r="BK174" s="1557"/>
      <c r="BL174" s="1557"/>
      <c r="BM174" s="1557"/>
      <c r="BN174" s="1557"/>
      <c r="BO174" s="1557"/>
      <c r="BP174" s="1557"/>
      <c r="BQ174" s="1752"/>
      <c r="BR174" s="938">
        <f>SUM(BS174:CD174)</f>
        <v>0</v>
      </c>
      <c r="BS174" s="1556"/>
      <c r="BT174" s="1557"/>
      <c r="BU174" s="1557"/>
      <c r="BV174" s="1557"/>
      <c r="BW174" s="1557"/>
      <c r="BX174" s="1557"/>
      <c r="BY174" s="1557"/>
      <c r="BZ174" s="1557"/>
      <c r="CA174" s="1557"/>
      <c r="CB174" s="1557"/>
      <c r="CC174" s="1557"/>
      <c r="CD174" s="2881"/>
      <c r="CE174" s="938">
        <f>SUM(CF174:CQ174)</f>
        <v>0</v>
      </c>
      <c r="CF174" s="1556"/>
      <c r="CG174" s="1557"/>
      <c r="CH174" s="1557"/>
      <c r="CI174" s="1557"/>
      <c r="CJ174" s="1557"/>
      <c r="CK174" s="1557"/>
      <c r="CL174" s="1557"/>
      <c r="CM174" s="1557"/>
      <c r="CN174" s="1557"/>
      <c r="CO174" s="1557"/>
      <c r="CP174" s="1557"/>
      <c r="CQ174" s="1752"/>
    </row>
    <row r="175" spans="2:95" ht="17.5" hidden="1" customHeight="1">
      <c r="B175" s="3356"/>
      <c r="C175" s="3354"/>
      <c r="D175" s="201" t="s">
        <v>305</v>
      </c>
      <c r="E175" s="398">
        <f t="shared" ref="E175:E180" si="706">SUM(F175:Q175)</f>
        <v>0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25"/>
      <c r="R175" s="398">
        <f t="shared" ref="R175:R180" si="707">SUM(S175:AD175)</f>
        <v>0</v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25"/>
      <c r="AE175" s="398">
        <f t="shared" ref="AE175:AE180" si="708">SUM(AF175:AQ175)</f>
        <v>0</v>
      </c>
      <c r="AF175" s="1217"/>
      <c r="AG175" s="1050"/>
      <c r="AH175" s="1050"/>
      <c r="AI175" s="1050"/>
      <c r="AJ175" s="1050"/>
      <c r="AK175" s="1050"/>
      <c r="AL175" s="1050"/>
      <c r="AM175" s="1050"/>
      <c r="AN175" s="1050"/>
      <c r="AO175" s="1050"/>
      <c r="AP175" s="1050"/>
      <c r="AQ175" s="1269"/>
      <c r="AR175" s="398">
        <f t="shared" ref="AR175:AR180" si="709">SUM(AS175:BD175)</f>
        <v>0</v>
      </c>
      <c r="AS175" s="918"/>
      <c r="AT175" s="918"/>
      <c r="AU175" s="918"/>
      <c r="AV175" s="918"/>
      <c r="AW175" s="918"/>
      <c r="AX175" s="918"/>
      <c r="AY175" s="918"/>
      <c r="AZ175" s="918"/>
      <c r="BA175" s="918"/>
      <c r="BB175" s="918"/>
      <c r="BC175" s="918"/>
      <c r="BD175" s="1137"/>
      <c r="BE175" s="937">
        <f t="shared" ref="BE175:BE180" si="710">SUM(BF175:BQ175)</f>
        <v>0</v>
      </c>
      <c r="BF175" s="1554"/>
      <c r="BG175" s="1555"/>
      <c r="BH175" s="1555"/>
      <c r="BI175" s="1555"/>
      <c r="BJ175" s="1555"/>
      <c r="BK175" s="1555"/>
      <c r="BL175" s="1555"/>
      <c r="BM175" s="1555"/>
      <c r="BN175" s="1555"/>
      <c r="BO175" s="1555"/>
      <c r="BP175" s="1555"/>
      <c r="BQ175" s="1751"/>
      <c r="BR175" s="937">
        <f t="shared" ref="BR175:BR180" si="711">SUM(BS175:CD175)</f>
        <v>0</v>
      </c>
      <c r="BS175" s="1554"/>
      <c r="BT175" s="1555"/>
      <c r="BU175" s="1555"/>
      <c r="BV175" s="1555"/>
      <c r="BW175" s="1555"/>
      <c r="BX175" s="1555"/>
      <c r="BY175" s="1555"/>
      <c r="BZ175" s="1555"/>
      <c r="CA175" s="1555"/>
      <c r="CB175" s="1555"/>
      <c r="CC175" s="1555"/>
      <c r="CD175" s="2880"/>
      <c r="CE175" s="937">
        <f t="shared" ref="CE175:CE180" si="712">SUM(CF175:CQ175)</f>
        <v>0</v>
      </c>
      <c r="CF175" s="1554"/>
      <c r="CG175" s="1555"/>
      <c r="CH175" s="1555"/>
      <c r="CI175" s="1555"/>
      <c r="CJ175" s="1555"/>
      <c r="CK175" s="1555"/>
      <c r="CL175" s="1555"/>
      <c r="CM175" s="1555"/>
      <c r="CN175" s="1555"/>
      <c r="CO175" s="1555"/>
      <c r="CP175" s="1555"/>
      <c r="CQ175" s="1751"/>
    </row>
    <row r="176" spans="2:95" ht="17.5" hidden="1" customHeight="1">
      <c r="B176" s="3356"/>
      <c r="C176" s="3354"/>
      <c r="D176" s="201" t="s">
        <v>681</v>
      </c>
      <c r="E176" s="398">
        <f t="shared" si="706"/>
        <v>0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25"/>
      <c r="R176" s="398">
        <f t="shared" si="707"/>
        <v>0</v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25"/>
      <c r="AE176" s="398">
        <f t="shared" si="708"/>
        <v>0</v>
      </c>
      <c r="AF176" s="1217"/>
      <c r="AG176" s="1050"/>
      <c r="AH176" s="1050"/>
      <c r="AI176" s="1050"/>
      <c r="AJ176" s="1050"/>
      <c r="AK176" s="1050"/>
      <c r="AL176" s="1050"/>
      <c r="AM176" s="1050"/>
      <c r="AN176" s="1050"/>
      <c r="AO176" s="1050"/>
      <c r="AP176" s="1050"/>
      <c r="AQ176" s="1269"/>
      <c r="AR176" s="398">
        <f t="shared" si="709"/>
        <v>0</v>
      </c>
      <c r="AS176" s="918"/>
      <c r="AT176" s="918"/>
      <c r="AU176" s="918"/>
      <c r="AV176" s="918"/>
      <c r="AW176" s="918"/>
      <c r="AX176" s="918"/>
      <c r="AY176" s="918"/>
      <c r="AZ176" s="918"/>
      <c r="BA176" s="918"/>
      <c r="BB176" s="918"/>
      <c r="BC176" s="918"/>
      <c r="BD176" s="1137"/>
      <c r="BE176" s="937">
        <f t="shared" si="710"/>
        <v>0</v>
      </c>
      <c r="BF176" s="1554"/>
      <c r="BG176" s="1555"/>
      <c r="BH176" s="1555"/>
      <c r="BI176" s="1555"/>
      <c r="BJ176" s="1555"/>
      <c r="BK176" s="1555"/>
      <c r="BL176" s="1555"/>
      <c r="BM176" s="1555"/>
      <c r="BN176" s="1555"/>
      <c r="BO176" s="1555"/>
      <c r="BP176" s="1555"/>
      <c r="BQ176" s="1751"/>
      <c r="BR176" s="937">
        <f t="shared" si="711"/>
        <v>0</v>
      </c>
      <c r="BS176" s="1554"/>
      <c r="BT176" s="1555"/>
      <c r="BU176" s="1555"/>
      <c r="BV176" s="1555"/>
      <c r="BW176" s="1555"/>
      <c r="BX176" s="1555"/>
      <c r="BY176" s="1555"/>
      <c r="BZ176" s="1555"/>
      <c r="CA176" s="1555"/>
      <c r="CB176" s="1555"/>
      <c r="CC176" s="1555"/>
      <c r="CD176" s="2880"/>
      <c r="CE176" s="937">
        <f t="shared" si="712"/>
        <v>0</v>
      </c>
      <c r="CF176" s="1554"/>
      <c r="CG176" s="1555"/>
      <c r="CH176" s="1555"/>
      <c r="CI176" s="1555"/>
      <c r="CJ176" s="1555"/>
      <c r="CK176" s="1555"/>
      <c r="CL176" s="1555"/>
      <c r="CM176" s="1555"/>
      <c r="CN176" s="1555"/>
      <c r="CO176" s="1555"/>
      <c r="CP176" s="1555"/>
      <c r="CQ176" s="1751"/>
    </row>
    <row r="177" spans="2:95" ht="17.5" hidden="1" customHeight="1">
      <c r="B177" s="3356"/>
      <c r="C177" s="3354"/>
      <c r="D177" s="201" t="s">
        <v>332</v>
      </c>
      <c r="E177" s="398">
        <f t="shared" si="706"/>
        <v>0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25"/>
      <c r="R177" s="398">
        <f t="shared" si="707"/>
        <v>0</v>
      </c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25"/>
      <c r="AE177" s="398">
        <f t="shared" si="708"/>
        <v>0</v>
      </c>
      <c r="AF177" s="1217"/>
      <c r="AG177" s="1050"/>
      <c r="AH177" s="1050"/>
      <c r="AI177" s="1050"/>
      <c r="AJ177" s="1050"/>
      <c r="AK177" s="1050"/>
      <c r="AL177" s="1050"/>
      <c r="AM177" s="1050"/>
      <c r="AN177" s="1050"/>
      <c r="AO177" s="1050"/>
      <c r="AP177" s="1050"/>
      <c r="AQ177" s="1269"/>
      <c r="AR177" s="398">
        <f t="shared" si="709"/>
        <v>0</v>
      </c>
      <c r="AS177" s="918"/>
      <c r="AT177" s="918"/>
      <c r="AU177" s="918"/>
      <c r="AV177" s="918"/>
      <c r="AW177" s="918"/>
      <c r="AX177" s="918"/>
      <c r="AY177" s="918"/>
      <c r="AZ177" s="918"/>
      <c r="BA177" s="918"/>
      <c r="BB177" s="918"/>
      <c r="BC177" s="918"/>
      <c r="BD177" s="1137"/>
      <c r="BE177" s="937">
        <f t="shared" si="710"/>
        <v>0</v>
      </c>
      <c r="BF177" s="1554"/>
      <c r="BG177" s="1555"/>
      <c r="BH177" s="1555"/>
      <c r="BI177" s="1555"/>
      <c r="BJ177" s="1555"/>
      <c r="BK177" s="1555"/>
      <c r="BL177" s="1555"/>
      <c r="BM177" s="1555"/>
      <c r="BN177" s="1555"/>
      <c r="BO177" s="1555"/>
      <c r="BP177" s="1555"/>
      <c r="BQ177" s="1751"/>
      <c r="BR177" s="937">
        <f t="shared" si="711"/>
        <v>0</v>
      </c>
      <c r="BS177" s="1554"/>
      <c r="BT177" s="1555"/>
      <c r="BU177" s="1555"/>
      <c r="BV177" s="1555"/>
      <c r="BW177" s="1555"/>
      <c r="BX177" s="1555"/>
      <c r="BY177" s="1555"/>
      <c r="BZ177" s="1555"/>
      <c r="CA177" s="1555"/>
      <c r="CB177" s="1555"/>
      <c r="CC177" s="1555"/>
      <c r="CD177" s="2880"/>
      <c r="CE177" s="937">
        <f t="shared" si="712"/>
        <v>0</v>
      </c>
      <c r="CF177" s="1554"/>
      <c r="CG177" s="1555"/>
      <c r="CH177" s="1555"/>
      <c r="CI177" s="1555"/>
      <c r="CJ177" s="1555"/>
      <c r="CK177" s="1555"/>
      <c r="CL177" s="1555"/>
      <c r="CM177" s="1555"/>
      <c r="CN177" s="1555"/>
      <c r="CO177" s="1555"/>
      <c r="CP177" s="1555"/>
      <c r="CQ177" s="1751"/>
    </row>
    <row r="178" spans="2:95" ht="17.5" hidden="1" customHeight="1">
      <c r="B178" s="3356"/>
      <c r="C178" s="3354"/>
      <c r="D178" s="307" t="s">
        <v>311</v>
      </c>
      <c r="E178" s="413">
        <f t="shared" si="706"/>
        <v>0</v>
      </c>
      <c r="F178" s="252"/>
      <c r="G178" s="252"/>
      <c r="H178" s="252"/>
      <c r="I178" s="252"/>
      <c r="J178" s="252"/>
      <c r="K178" s="252"/>
      <c r="L178" s="252"/>
      <c r="M178" s="252"/>
      <c r="N178" s="252"/>
      <c r="O178" s="252"/>
      <c r="P178" s="252"/>
      <c r="Q178" s="308"/>
      <c r="R178" s="413">
        <f t="shared" si="707"/>
        <v>0</v>
      </c>
      <c r="S178" s="252"/>
      <c r="T178" s="252"/>
      <c r="U178" s="252"/>
      <c r="V178" s="252"/>
      <c r="W178" s="252"/>
      <c r="X178" s="252"/>
      <c r="Y178" s="252"/>
      <c r="Z178" s="252"/>
      <c r="AA178" s="252"/>
      <c r="AB178" s="252"/>
      <c r="AC178" s="252"/>
      <c r="AD178" s="308"/>
      <c r="AE178" s="413">
        <f t="shared" si="708"/>
        <v>0</v>
      </c>
      <c r="AF178" s="1294"/>
      <c r="AG178" s="1295"/>
      <c r="AH178" s="1295"/>
      <c r="AI178" s="1295"/>
      <c r="AJ178" s="1295"/>
      <c r="AK178" s="1295"/>
      <c r="AL178" s="1295"/>
      <c r="AM178" s="1295"/>
      <c r="AN178" s="1295"/>
      <c r="AO178" s="1295"/>
      <c r="AP178" s="1295"/>
      <c r="AQ178" s="1296"/>
      <c r="AR178" s="413">
        <f t="shared" si="709"/>
        <v>0</v>
      </c>
      <c r="AS178" s="1462"/>
      <c r="AT178" s="1462"/>
      <c r="AU178" s="1462"/>
      <c r="AV178" s="1462"/>
      <c r="AW178" s="1462"/>
      <c r="AX178" s="1462"/>
      <c r="AY178" s="1462"/>
      <c r="AZ178" s="1462"/>
      <c r="BA178" s="1462"/>
      <c r="BB178" s="1462"/>
      <c r="BC178" s="1462"/>
      <c r="BD178" s="1463"/>
      <c r="BE178" s="951">
        <f t="shared" si="710"/>
        <v>0</v>
      </c>
      <c r="BF178" s="1573"/>
      <c r="BG178" s="1574"/>
      <c r="BH178" s="1574"/>
      <c r="BI178" s="1574"/>
      <c r="BJ178" s="1574"/>
      <c r="BK178" s="1574"/>
      <c r="BL178" s="1574"/>
      <c r="BM178" s="1574"/>
      <c r="BN178" s="1574"/>
      <c r="BO178" s="1574"/>
      <c r="BP178" s="1574"/>
      <c r="BQ178" s="1762"/>
      <c r="BR178" s="951">
        <f t="shared" si="711"/>
        <v>0</v>
      </c>
      <c r="BS178" s="1573"/>
      <c r="BT178" s="1574"/>
      <c r="BU178" s="1574"/>
      <c r="BV178" s="1574"/>
      <c r="BW178" s="1574"/>
      <c r="BX178" s="1574"/>
      <c r="BY178" s="1574"/>
      <c r="BZ178" s="1574"/>
      <c r="CA178" s="1574"/>
      <c r="CB178" s="1574"/>
      <c r="CC178" s="1574"/>
      <c r="CD178" s="2891"/>
      <c r="CE178" s="951">
        <f t="shared" si="712"/>
        <v>0</v>
      </c>
      <c r="CF178" s="1573"/>
      <c r="CG178" s="1574"/>
      <c r="CH178" s="1574"/>
      <c r="CI178" s="1574"/>
      <c r="CJ178" s="1574"/>
      <c r="CK178" s="1574"/>
      <c r="CL178" s="1574"/>
      <c r="CM178" s="1574"/>
      <c r="CN178" s="1574"/>
      <c r="CO178" s="1574"/>
      <c r="CP178" s="1574"/>
      <c r="CQ178" s="1762"/>
    </row>
    <row r="179" spans="2:95" ht="17.5" hidden="1" customHeight="1">
      <c r="B179" s="3356"/>
      <c r="C179" s="3354"/>
      <c r="D179" s="309" t="s">
        <v>307</v>
      </c>
      <c r="E179" s="400">
        <f t="shared" si="706"/>
        <v>0</v>
      </c>
      <c r="F179" s="216"/>
      <c r="G179" s="216"/>
      <c r="H179" s="216"/>
      <c r="I179" s="216"/>
      <c r="J179" s="216"/>
      <c r="K179" s="216"/>
      <c r="L179" s="216"/>
      <c r="M179" s="216"/>
      <c r="N179" s="216"/>
      <c r="O179" s="216"/>
      <c r="P179" s="216"/>
      <c r="Q179" s="219"/>
      <c r="R179" s="400">
        <f t="shared" si="707"/>
        <v>0</v>
      </c>
      <c r="S179" s="216"/>
      <c r="T179" s="216"/>
      <c r="U179" s="216"/>
      <c r="V179" s="216"/>
      <c r="W179" s="216"/>
      <c r="X179" s="216"/>
      <c r="Y179" s="216"/>
      <c r="Z179" s="216"/>
      <c r="AA179" s="216"/>
      <c r="AB179" s="216"/>
      <c r="AC179" s="216"/>
      <c r="AD179" s="219"/>
      <c r="AE179" s="400">
        <f t="shared" si="708"/>
        <v>0</v>
      </c>
      <c r="AF179" s="1218"/>
      <c r="AG179" s="1200"/>
      <c r="AH179" s="1200"/>
      <c r="AI179" s="1200"/>
      <c r="AJ179" s="1200"/>
      <c r="AK179" s="1200"/>
      <c r="AL179" s="1200"/>
      <c r="AM179" s="1200"/>
      <c r="AN179" s="1200"/>
      <c r="AO179" s="1200"/>
      <c r="AP179" s="1200"/>
      <c r="AQ179" s="1284"/>
      <c r="AR179" s="400">
        <f t="shared" si="709"/>
        <v>0</v>
      </c>
      <c r="AS179" s="920"/>
      <c r="AT179" s="920"/>
      <c r="AU179" s="920"/>
      <c r="AV179" s="920"/>
      <c r="AW179" s="920"/>
      <c r="AX179" s="920"/>
      <c r="AY179" s="920"/>
      <c r="AZ179" s="920"/>
      <c r="BA179" s="920"/>
      <c r="BB179" s="920"/>
      <c r="BC179" s="920"/>
      <c r="BD179" s="1453"/>
      <c r="BE179" s="941">
        <f t="shared" si="710"/>
        <v>0</v>
      </c>
      <c r="BF179" s="1563"/>
      <c r="BG179" s="1564"/>
      <c r="BH179" s="1564"/>
      <c r="BI179" s="1564"/>
      <c r="BJ179" s="1564"/>
      <c r="BK179" s="1564"/>
      <c r="BL179" s="1564"/>
      <c r="BM179" s="1564"/>
      <c r="BN179" s="1564"/>
      <c r="BO179" s="1564"/>
      <c r="BP179" s="1564"/>
      <c r="BQ179" s="1757"/>
      <c r="BR179" s="941">
        <f t="shared" si="711"/>
        <v>0</v>
      </c>
      <c r="BS179" s="1563"/>
      <c r="BT179" s="1564"/>
      <c r="BU179" s="1564"/>
      <c r="BV179" s="1564"/>
      <c r="BW179" s="1564"/>
      <c r="BX179" s="1564"/>
      <c r="BY179" s="1564"/>
      <c r="BZ179" s="1564"/>
      <c r="CA179" s="1564"/>
      <c r="CB179" s="1564"/>
      <c r="CC179" s="1564"/>
      <c r="CD179" s="2882"/>
      <c r="CE179" s="941">
        <f t="shared" si="712"/>
        <v>0</v>
      </c>
      <c r="CF179" s="1563"/>
      <c r="CG179" s="1564"/>
      <c r="CH179" s="1564"/>
      <c r="CI179" s="1564"/>
      <c r="CJ179" s="1564"/>
      <c r="CK179" s="1564"/>
      <c r="CL179" s="1564"/>
      <c r="CM179" s="1564"/>
      <c r="CN179" s="1564"/>
      <c r="CO179" s="1564"/>
      <c r="CP179" s="1564"/>
      <c r="CQ179" s="1757"/>
    </row>
    <row r="180" spans="2:95" ht="17.5" hidden="1" customHeight="1">
      <c r="B180" s="3357"/>
      <c r="C180" s="3355"/>
      <c r="D180" s="215" t="s">
        <v>295</v>
      </c>
      <c r="E180" s="400">
        <f t="shared" si="706"/>
        <v>0</v>
      </c>
      <c r="F180" s="216"/>
      <c r="G180" s="216"/>
      <c r="H180" s="216"/>
      <c r="I180" s="216"/>
      <c r="J180" s="216"/>
      <c r="K180" s="216"/>
      <c r="L180" s="216"/>
      <c r="M180" s="216"/>
      <c r="N180" s="216"/>
      <c r="O180" s="216"/>
      <c r="P180" s="216"/>
      <c r="Q180" s="219"/>
      <c r="R180" s="400">
        <f t="shared" si="707"/>
        <v>0</v>
      </c>
      <c r="S180" s="216"/>
      <c r="T180" s="216"/>
      <c r="U180" s="216"/>
      <c r="V180" s="216"/>
      <c r="W180" s="216"/>
      <c r="X180" s="216"/>
      <c r="Y180" s="216"/>
      <c r="Z180" s="216"/>
      <c r="AA180" s="216"/>
      <c r="AB180" s="216"/>
      <c r="AC180" s="216"/>
      <c r="AD180" s="219"/>
      <c r="AE180" s="400">
        <f t="shared" si="708"/>
        <v>0</v>
      </c>
      <c r="AF180" s="1218"/>
      <c r="AG180" s="1200"/>
      <c r="AH180" s="1200"/>
      <c r="AI180" s="1200"/>
      <c r="AJ180" s="1200"/>
      <c r="AK180" s="1200"/>
      <c r="AL180" s="1200"/>
      <c r="AM180" s="1200"/>
      <c r="AN180" s="1200"/>
      <c r="AO180" s="1200"/>
      <c r="AP180" s="1200"/>
      <c r="AQ180" s="1284"/>
      <c r="AR180" s="400">
        <f t="shared" si="709"/>
        <v>0</v>
      </c>
      <c r="AS180" s="920"/>
      <c r="AT180" s="920"/>
      <c r="AU180" s="920"/>
      <c r="AV180" s="920"/>
      <c r="AW180" s="920"/>
      <c r="AX180" s="920"/>
      <c r="AY180" s="920"/>
      <c r="AZ180" s="920"/>
      <c r="BA180" s="920"/>
      <c r="BB180" s="920"/>
      <c r="BC180" s="920"/>
      <c r="BD180" s="1453"/>
      <c r="BE180" s="941">
        <f t="shared" si="710"/>
        <v>0</v>
      </c>
      <c r="BF180" s="1563"/>
      <c r="BG180" s="1564"/>
      <c r="BH180" s="1564"/>
      <c r="BI180" s="1564"/>
      <c r="BJ180" s="1564"/>
      <c r="BK180" s="1564"/>
      <c r="BL180" s="1564"/>
      <c r="BM180" s="1564"/>
      <c r="BN180" s="1564"/>
      <c r="BO180" s="1564"/>
      <c r="BP180" s="1564"/>
      <c r="BQ180" s="1757"/>
      <c r="BR180" s="941">
        <f t="shared" si="711"/>
        <v>0</v>
      </c>
      <c r="BS180" s="1563"/>
      <c r="BT180" s="1564"/>
      <c r="BU180" s="1564"/>
      <c r="BV180" s="1564"/>
      <c r="BW180" s="1564"/>
      <c r="BX180" s="1564"/>
      <c r="BY180" s="1564"/>
      <c r="BZ180" s="1564"/>
      <c r="CA180" s="1564"/>
      <c r="CB180" s="1564"/>
      <c r="CC180" s="1564"/>
      <c r="CD180" s="2882"/>
      <c r="CE180" s="941">
        <f t="shared" si="712"/>
        <v>0</v>
      </c>
      <c r="CF180" s="1563"/>
      <c r="CG180" s="1564"/>
      <c r="CH180" s="1564"/>
      <c r="CI180" s="1564"/>
      <c r="CJ180" s="1564"/>
      <c r="CK180" s="1564"/>
      <c r="CL180" s="1564"/>
      <c r="CM180" s="1564"/>
      <c r="CN180" s="1564"/>
      <c r="CO180" s="1564"/>
      <c r="CP180" s="1564"/>
      <c r="CQ180" s="1757"/>
    </row>
    <row r="181" spans="2:95" ht="16.5" customHeight="1">
      <c r="B181" s="3311" t="s">
        <v>328</v>
      </c>
      <c r="C181" s="3312"/>
      <c r="D181" s="227" t="s">
        <v>327</v>
      </c>
      <c r="E181" s="414">
        <f>SUM(F181:Q181)</f>
        <v>829.51732300000003</v>
      </c>
      <c r="F181" s="363">
        <v>75.039631</v>
      </c>
      <c r="G181" s="363">
        <v>70.240426999999997</v>
      </c>
      <c r="H181" s="363">
        <v>67.715013999999996</v>
      </c>
      <c r="I181" s="363">
        <v>71.141728999999998</v>
      </c>
      <c r="J181" s="363">
        <v>71.719926999999998</v>
      </c>
      <c r="K181" s="363">
        <v>72.171653000000006</v>
      </c>
      <c r="L181" s="363">
        <v>72.252893999999998</v>
      </c>
      <c r="M181" s="363">
        <v>67.832363000000001</v>
      </c>
      <c r="N181" s="363">
        <v>68.035809</v>
      </c>
      <c r="O181" s="363">
        <v>65.314772000000005</v>
      </c>
      <c r="P181" s="363">
        <v>63.587111999999998</v>
      </c>
      <c r="Q181" s="452">
        <v>64.465992</v>
      </c>
      <c r="R181" s="414">
        <f>SUM(S181:AD181)</f>
        <v>784.68110100000001</v>
      </c>
      <c r="S181" s="226">
        <v>63.430847999999997</v>
      </c>
      <c r="T181" s="226">
        <v>69.238187999999994</v>
      </c>
      <c r="U181" s="226">
        <v>67.038286999999997</v>
      </c>
      <c r="V181" s="226">
        <v>95.676456999999999</v>
      </c>
      <c r="W181" s="226">
        <v>59.000194</v>
      </c>
      <c r="X181" s="226">
        <v>63.244185000000002</v>
      </c>
      <c r="Y181" s="226">
        <v>63.892992</v>
      </c>
      <c r="Z181" s="226">
        <v>62.649979000000002</v>
      </c>
      <c r="AA181" s="226">
        <v>59.313702999999997</v>
      </c>
      <c r="AB181" s="226">
        <v>59.049805999999997</v>
      </c>
      <c r="AC181" s="226">
        <v>58.983946000000003</v>
      </c>
      <c r="AD181" s="226">
        <v>63.162515999999997</v>
      </c>
      <c r="AE181" s="414">
        <f>SUM(AF181:AQ181)</f>
        <v>860.29713400000003</v>
      </c>
      <c r="AF181" s="1258">
        <v>60.857249000000003</v>
      </c>
      <c r="AG181" s="1191">
        <v>55.560361999999998</v>
      </c>
      <c r="AH181" s="1191">
        <v>57.832628999999997</v>
      </c>
      <c r="AI181" s="1191">
        <v>76.406869999999998</v>
      </c>
      <c r="AJ181" s="1191">
        <v>77.330588000000006</v>
      </c>
      <c r="AK181" s="1191">
        <v>75.535163999999995</v>
      </c>
      <c r="AL181" s="1191">
        <v>76.877135999999993</v>
      </c>
      <c r="AM181" s="1191">
        <v>77.995281000000006</v>
      </c>
      <c r="AN181" s="1191">
        <v>73.066151000000005</v>
      </c>
      <c r="AO181" s="1191">
        <v>72.061025000000001</v>
      </c>
      <c r="AP181" s="1191">
        <v>72.683316000000005</v>
      </c>
      <c r="AQ181" s="1192">
        <v>84.091363000000001</v>
      </c>
      <c r="AR181" s="414">
        <f>SUM(AS181:BD181)</f>
        <v>834.47990700000003</v>
      </c>
      <c r="AS181" s="415">
        <v>69.246335999999999</v>
      </c>
      <c r="AT181" s="415">
        <v>73.521293999999997</v>
      </c>
      <c r="AU181" s="415">
        <v>74.165734999999998</v>
      </c>
      <c r="AV181" s="415">
        <v>64.946560000000005</v>
      </c>
      <c r="AW181" s="415">
        <v>68.373459999999994</v>
      </c>
      <c r="AX181" s="415">
        <v>70.764137000000005</v>
      </c>
      <c r="AY181" s="415">
        <v>71.303571000000005</v>
      </c>
      <c r="AZ181" s="415">
        <v>75.867724999999993</v>
      </c>
      <c r="BA181" s="415">
        <v>63.747106000000002</v>
      </c>
      <c r="BB181" s="415">
        <v>71.637870000000007</v>
      </c>
      <c r="BC181" s="415">
        <v>68.336764000000002</v>
      </c>
      <c r="BD181" s="877">
        <v>62.569349000000003</v>
      </c>
      <c r="BE181" s="953">
        <f>SUM(BF181:BQ181)</f>
        <v>794.498603</v>
      </c>
      <c r="BF181" s="397">
        <v>69.062104000000005</v>
      </c>
      <c r="BG181" s="415">
        <v>67.475181000000006</v>
      </c>
      <c r="BH181" s="415">
        <v>65.596743000000004</v>
      </c>
      <c r="BI181" s="415">
        <v>66.106860999999995</v>
      </c>
      <c r="BJ181" s="415">
        <v>66.754688000000002</v>
      </c>
      <c r="BK181" s="415">
        <v>64.455618000000001</v>
      </c>
      <c r="BL181" s="415">
        <v>70.951160000000002</v>
      </c>
      <c r="BM181" s="415">
        <v>70.516720000000007</v>
      </c>
      <c r="BN181" s="415">
        <v>62.985633</v>
      </c>
      <c r="BO181" s="415">
        <f>65229932/1000000</f>
        <v>65.229932000000005</v>
      </c>
      <c r="BP181" s="415">
        <v>63.941378</v>
      </c>
      <c r="BQ181" s="1738">
        <v>61.422584999999998</v>
      </c>
      <c r="BR181" s="953">
        <f>SUM(BS181:CD181)</f>
        <v>918.17721099999983</v>
      </c>
      <c r="BS181" s="1878">
        <v>58.253186999999997</v>
      </c>
      <c r="BT181" s="1723">
        <v>66.603877999999995</v>
      </c>
      <c r="BU181" s="1723">
        <v>63.645968000000003</v>
      </c>
      <c r="BV181" s="1723">
        <v>59.906740999999997</v>
      </c>
      <c r="BW181" s="1723">
        <v>69.777632999999994</v>
      </c>
      <c r="BX181" s="1723">
        <v>75.951673999999997</v>
      </c>
      <c r="BY181" s="1723">
        <v>68.965744999999998</v>
      </c>
      <c r="BZ181" s="1723">
        <v>71.409784999999999</v>
      </c>
      <c r="CA181" s="1723">
        <v>137.31128000000001</v>
      </c>
      <c r="CB181" s="1723">
        <v>67.433715000000007</v>
      </c>
      <c r="CC181" s="1723">
        <v>88.575873999999999</v>
      </c>
      <c r="CD181" s="3153">
        <v>90.341730999999996</v>
      </c>
      <c r="CE181" s="953">
        <f>SUM(CF181:CQ181)</f>
        <v>901.65590400000031</v>
      </c>
      <c r="CF181" s="1878">
        <v>75.137992000000011</v>
      </c>
      <c r="CG181" s="1723">
        <v>75.137992000000011</v>
      </c>
      <c r="CH181" s="1723">
        <v>75.137992000000011</v>
      </c>
      <c r="CI181" s="1723">
        <v>75.137992000000011</v>
      </c>
      <c r="CJ181" s="1723">
        <v>75.137992000000011</v>
      </c>
      <c r="CK181" s="1723">
        <v>75.137992000000011</v>
      </c>
      <c r="CL181" s="1723">
        <v>75.137992000000011</v>
      </c>
      <c r="CM181" s="1723">
        <v>75.137992000000011</v>
      </c>
      <c r="CN181" s="1723">
        <v>75.137992000000011</v>
      </c>
      <c r="CO181" s="1723">
        <v>75.137992000000011</v>
      </c>
      <c r="CP181" s="1723">
        <v>75.137992000000011</v>
      </c>
      <c r="CQ181" s="3153">
        <v>75.137992000000011</v>
      </c>
    </row>
    <row r="182" spans="2:95">
      <c r="B182" s="3313"/>
      <c r="C182" s="3314"/>
      <c r="D182" s="201" t="s">
        <v>304</v>
      </c>
      <c r="E182" s="401">
        <f>SUM(F182:Q182)</f>
        <v>110.08942848428936</v>
      </c>
      <c r="F182" s="315">
        <v>9.4299350000000004</v>
      </c>
      <c r="G182" s="315">
        <v>9.4299350000000004</v>
      </c>
      <c r="H182" s="315">
        <v>9.0733259999999998</v>
      </c>
      <c r="I182" s="315">
        <v>9.8148029999999995</v>
      </c>
      <c r="J182" s="315">
        <v>9.6928314842893446</v>
      </c>
      <c r="K182" s="315">
        <v>11.235749</v>
      </c>
      <c r="L182" s="315">
        <v>10.342419</v>
      </c>
      <c r="M182" s="315">
        <v>9.2196210000000001</v>
      </c>
      <c r="N182" s="315">
        <v>9.0553910000000002</v>
      </c>
      <c r="O182" s="315">
        <v>7.5426010000000003</v>
      </c>
      <c r="P182" s="315">
        <v>7.0600269999999998</v>
      </c>
      <c r="Q182" s="461">
        <v>8.1927900000000005</v>
      </c>
      <c r="R182" s="401">
        <f>SUM(S182:AD182)</f>
        <v>103.584428211014</v>
      </c>
      <c r="S182" s="315">
        <v>8.3199360000000002</v>
      </c>
      <c r="T182" s="315">
        <v>8.4221020000000006</v>
      </c>
      <c r="U182" s="315">
        <v>8.7526010000000003</v>
      </c>
      <c r="V182" s="315">
        <v>8.8819459999999992</v>
      </c>
      <c r="W182" s="315">
        <v>7.5058109999999996</v>
      </c>
      <c r="X182" s="315">
        <v>8.4403590000000008</v>
      </c>
      <c r="Y182" s="315">
        <v>9.1945080000000008</v>
      </c>
      <c r="Z182" s="315">
        <v>8.5483812110140001</v>
      </c>
      <c r="AA182" s="315">
        <v>8.9281360000000003</v>
      </c>
      <c r="AB182" s="315">
        <v>9.1930829999999997</v>
      </c>
      <c r="AC182" s="315">
        <v>8.7360009999999999</v>
      </c>
      <c r="AD182" s="315">
        <v>8.6615640000000003</v>
      </c>
      <c r="AE182" s="401">
        <f>SUM(AF182:AQ182)</f>
        <v>93.603360999999992</v>
      </c>
      <c r="AF182" s="1297">
        <v>8.6701829999999998</v>
      </c>
      <c r="AG182" s="1260">
        <v>8.8760010000000005</v>
      </c>
      <c r="AH182" s="1260">
        <v>8.5002469999999999</v>
      </c>
      <c r="AI182" s="1260">
        <v>8.9273760000000006</v>
      </c>
      <c r="AJ182" s="1260">
        <v>8.4967020000000009</v>
      </c>
      <c r="AK182" s="1260">
        <v>8.5762459999999994</v>
      </c>
      <c r="AL182" s="1260">
        <v>7.7120199999999999</v>
      </c>
      <c r="AM182" s="1260">
        <v>7.7391529999999999</v>
      </c>
      <c r="AN182" s="1260">
        <v>6.4536100000000003</v>
      </c>
      <c r="AO182" s="1260">
        <v>6.1985640000000002</v>
      </c>
      <c r="AP182" s="1260">
        <v>7.1348969999999996</v>
      </c>
      <c r="AQ182" s="1298">
        <v>6.3183619999999996</v>
      </c>
      <c r="AR182" s="401">
        <f>SUM(AS182:BD182)</f>
        <v>82.625163000000001</v>
      </c>
      <c r="AS182" s="1129">
        <v>5.5685269999999996</v>
      </c>
      <c r="AT182" s="1129">
        <v>6.1709990000000001</v>
      </c>
      <c r="AU182" s="1129">
        <v>6.1443180000000002</v>
      </c>
      <c r="AV182" s="1129">
        <v>5.6993619999999998</v>
      </c>
      <c r="AW182" s="1129">
        <v>6.1228829999999999</v>
      </c>
      <c r="AX182" s="1129">
        <v>6.9971110000000003</v>
      </c>
      <c r="AY182" s="1129">
        <v>6.8059729999999998</v>
      </c>
      <c r="AZ182" s="1129">
        <v>8.8768630000000002</v>
      </c>
      <c r="BA182" s="1129">
        <v>8.0019100000000005</v>
      </c>
      <c r="BB182" s="1129">
        <v>7.9744549999999998</v>
      </c>
      <c r="BC182" s="1129">
        <v>7.7042169999999999</v>
      </c>
      <c r="BD182" s="1130">
        <v>6.5585449999999996</v>
      </c>
      <c r="BE182" s="938">
        <f>SUM(BF182:BQ182)</f>
        <v>40.880944999999997</v>
      </c>
      <c r="BF182" s="1829">
        <v>6.1672479999999998</v>
      </c>
      <c r="BG182" s="1824">
        <v>6.0707719999999998</v>
      </c>
      <c r="BH182" s="1824">
        <v>4.9401120000000001</v>
      </c>
      <c r="BI182" s="1824">
        <v>3.8704999999999998</v>
      </c>
      <c r="BJ182" s="1824">
        <v>4.092136</v>
      </c>
      <c r="BK182" s="1824">
        <v>4.3038169999999996</v>
      </c>
      <c r="BL182" s="1824">
        <v>4.2078629999999997</v>
      </c>
      <c r="BM182" s="1824">
        <v>3.3819089999999998</v>
      </c>
      <c r="BN182" s="1824">
        <v>1.8683179999999999</v>
      </c>
      <c r="BO182" s="1824">
        <v>0.92113599999999995</v>
      </c>
      <c r="BP182" s="1824">
        <v>0.64036199999999999</v>
      </c>
      <c r="BQ182" s="1825">
        <v>0.41677199999999998</v>
      </c>
      <c r="BR182" s="938">
        <f>SUM(BS182:CD182)</f>
        <v>15.747028</v>
      </c>
      <c r="BS182" s="1829">
        <v>0.29277199999999998</v>
      </c>
      <c r="BT182" s="1824">
        <v>0.111</v>
      </c>
      <c r="BU182" s="1824">
        <v>4.0500000000000001E-2</v>
      </c>
      <c r="BV182" s="1824">
        <v>1.95E-2</v>
      </c>
      <c r="BW182" s="1824">
        <v>1.4999999999999999E-2</v>
      </c>
      <c r="BX182" s="1824">
        <v>2.1868020000000001</v>
      </c>
      <c r="BY182" s="1824">
        <v>1.6E-2</v>
      </c>
      <c r="BZ182" s="1824">
        <v>3.4500000000000003E-2</v>
      </c>
      <c r="CA182" s="1824">
        <v>0.57063600000000003</v>
      </c>
      <c r="CB182" s="1824">
        <v>3.1003630000000002</v>
      </c>
      <c r="CC182" s="1824">
        <v>3.6382729999999999</v>
      </c>
      <c r="CD182" s="1825">
        <v>5.7216820000000004</v>
      </c>
      <c r="CE182" s="938">
        <f>SUM(CF182:CQ182)</f>
        <v>26.241624000000002</v>
      </c>
      <c r="CF182" s="1881">
        <v>2.1868020000000001</v>
      </c>
      <c r="CG182" s="1879">
        <v>2.1868020000000001</v>
      </c>
      <c r="CH182" s="1879">
        <v>2.1868020000000001</v>
      </c>
      <c r="CI182" s="1879">
        <v>2.1868020000000001</v>
      </c>
      <c r="CJ182" s="1879">
        <v>2.1868020000000001</v>
      </c>
      <c r="CK182" s="1879">
        <v>2.1868020000000001</v>
      </c>
      <c r="CL182" s="1879">
        <v>2.1868020000000001</v>
      </c>
      <c r="CM182" s="1879">
        <v>2.1868020000000001</v>
      </c>
      <c r="CN182" s="1879">
        <v>2.1868020000000001</v>
      </c>
      <c r="CO182" s="1879">
        <v>2.1868020000000001</v>
      </c>
      <c r="CP182" s="1879">
        <v>2.1868020000000001</v>
      </c>
      <c r="CQ182" s="1739">
        <v>2.1868020000000001</v>
      </c>
    </row>
    <row r="183" spans="2:95">
      <c r="B183" s="3313"/>
      <c r="C183" s="3314"/>
      <c r="D183" s="201" t="s">
        <v>305</v>
      </c>
      <c r="E183" s="398">
        <f t="shared" ref="E183:E190" si="713">SUM(F183:Q183)</f>
        <v>660.7518355157107</v>
      </c>
      <c r="F183" s="314">
        <v>59.575941999999998</v>
      </c>
      <c r="G183" s="314">
        <v>59.575941999999998</v>
      </c>
      <c r="H183" s="314">
        <v>53.835053000000002</v>
      </c>
      <c r="I183" s="314">
        <v>56.045198999999997</v>
      </c>
      <c r="J183" s="314">
        <v>56.530686515710649</v>
      </c>
      <c r="K183" s="314">
        <v>55.409449000000002</v>
      </c>
      <c r="L183" s="314">
        <v>55.836036999999997</v>
      </c>
      <c r="M183" s="314">
        <v>53.469014000000001</v>
      </c>
      <c r="N183" s="314">
        <v>54.406418000000002</v>
      </c>
      <c r="O183" s="314">
        <v>52.859535000000001</v>
      </c>
      <c r="P183" s="314">
        <v>50.865175999999998</v>
      </c>
      <c r="Q183" s="396">
        <v>52.343384</v>
      </c>
      <c r="R183" s="398">
        <f t="shared" ref="R183:R190" si="714">SUM(S183:AD183)</f>
        <v>650.3858807889859</v>
      </c>
      <c r="S183" s="314">
        <v>52.301212</v>
      </c>
      <c r="T183" s="314">
        <v>58.243676999999998</v>
      </c>
      <c r="U183" s="314">
        <v>54.948777</v>
      </c>
      <c r="V183" s="314">
        <v>84.161738</v>
      </c>
      <c r="W183" s="314">
        <v>48.993338000000001</v>
      </c>
      <c r="X183" s="314">
        <v>52.204915999999997</v>
      </c>
      <c r="Y183" s="314">
        <v>52.401802000000004</v>
      </c>
      <c r="Z183" s="314">
        <v>52.051006788985994</v>
      </c>
      <c r="AA183" s="314">
        <v>47.950384999999997</v>
      </c>
      <c r="AB183" s="314">
        <v>47.419268000000002</v>
      </c>
      <c r="AC183" s="314">
        <v>47.800445000000003</v>
      </c>
      <c r="AD183" s="314">
        <v>51.909315999999997</v>
      </c>
      <c r="AE183" s="398">
        <f t="shared" ref="AE183:AE190" si="715">SUM(AF183:AQ183)</f>
        <v>740.66640999999993</v>
      </c>
      <c r="AF183" s="1259">
        <v>49.314292999999999</v>
      </c>
      <c r="AG183" s="1044">
        <v>44.888542999999999</v>
      </c>
      <c r="AH183" s="1044">
        <v>47.255246</v>
      </c>
      <c r="AI183" s="1044">
        <v>65.234675999999993</v>
      </c>
      <c r="AJ183" s="1044">
        <v>66.542294999999996</v>
      </c>
      <c r="AK183" s="1044">
        <v>64.825827000000004</v>
      </c>
      <c r="AL183" s="1044">
        <v>66.962479999999999</v>
      </c>
      <c r="AM183" s="1044">
        <v>67.994128000000003</v>
      </c>
      <c r="AN183" s="1044">
        <v>64.394450000000006</v>
      </c>
      <c r="AO183" s="1044">
        <v>64.005551999999994</v>
      </c>
      <c r="AP183" s="1044">
        <v>63.559919000000001</v>
      </c>
      <c r="AQ183" s="1107">
        <v>75.689001000000005</v>
      </c>
      <c r="AR183" s="398">
        <f t="shared" ref="AR183:AR190" si="716">SUM(AS183:BD183)</f>
        <v>728.94895299999996</v>
      </c>
      <c r="AS183" s="1126">
        <v>61.592854000000003</v>
      </c>
      <c r="AT183" s="1126">
        <v>65.334249999999997</v>
      </c>
      <c r="AU183" s="1126">
        <v>65.849508</v>
      </c>
      <c r="AV183" s="1126">
        <v>57.481470000000002</v>
      </c>
      <c r="AW183" s="1126">
        <v>60.571668000000003</v>
      </c>
      <c r="AX183" s="1126">
        <v>61.085343999999999</v>
      </c>
      <c r="AY183" s="1126">
        <v>62.392007</v>
      </c>
      <c r="AZ183" s="1126">
        <v>65.043679999999995</v>
      </c>
      <c r="BA183" s="1126">
        <v>54.387785999999998</v>
      </c>
      <c r="BB183" s="1126">
        <v>62.260415999999999</v>
      </c>
      <c r="BC183" s="1126">
        <v>58.644728999999998</v>
      </c>
      <c r="BD183" s="1127">
        <v>54.305241000000002</v>
      </c>
      <c r="BE183" s="937">
        <f t="shared" ref="BE183:BE190" si="717">SUM(BF183:BQ183)</f>
        <v>721.29516299999989</v>
      </c>
      <c r="BF183" s="1802">
        <v>60.595882000000003</v>
      </c>
      <c r="BG183" s="1803">
        <v>58.99241</v>
      </c>
      <c r="BH183" s="1803">
        <v>58.244087999999998</v>
      </c>
      <c r="BI183" s="1803">
        <v>59.132483999999998</v>
      </c>
      <c r="BJ183" s="1803">
        <v>59.938885999999997</v>
      </c>
      <c r="BK183" s="1803">
        <v>57.360551000000001</v>
      </c>
      <c r="BL183" s="1803">
        <v>63.982286999999999</v>
      </c>
      <c r="BM183" s="1803">
        <v>64.003541999999996</v>
      </c>
      <c r="BN183" s="1803">
        <v>58.477463</v>
      </c>
      <c r="BO183" s="1803">
        <v>61.689234999999996</v>
      </c>
      <c r="BP183" s="1803">
        <v>60.579084999999999</v>
      </c>
      <c r="BQ183" s="1822">
        <v>58.299250000000001</v>
      </c>
      <c r="BR183" s="937">
        <f t="shared" ref="BR183:BR190" si="718">SUM(BS183:CD183)</f>
        <v>777.17270100000007</v>
      </c>
      <c r="BS183" s="1802">
        <v>55.730052999999998</v>
      </c>
      <c r="BT183" s="1803">
        <v>64.227151000000006</v>
      </c>
      <c r="BU183" s="1803">
        <v>60.677861</v>
      </c>
      <c r="BV183" s="1803">
        <v>57.387265999999997</v>
      </c>
      <c r="BW183" s="1803">
        <v>65.718024</v>
      </c>
      <c r="BX183" s="1803">
        <v>62.709696000000001</v>
      </c>
      <c r="BY183" s="1803">
        <v>63.667796000000003</v>
      </c>
      <c r="BZ183" s="1803">
        <v>63.415812000000003</v>
      </c>
      <c r="CA183" s="1803">
        <v>63.216597999999998</v>
      </c>
      <c r="CB183" s="1803">
        <v>58.205908000000001</v>
      </c>
      <c r="CC183" s="1803">
        <v>81.182806999999997</v>
      </c>
      <c r="CD183" s="1822">
        <v>81.033728999999994</v>
      </c>
      <c r="CE183" s="937">
        <f t="shared" ref="CE183:CE190" si="719">SUM(CF183:CQ183)</f>
        <v>752.51635199999998</v>
      </c>
      <c r="CF183" s="957">
        <v>62.709696000000001</v>
      </c>
      <c r="CG183" s="879">
        <v>62.709696000000001</v>
      </c>
      <c r="CH183" s="879">
        <v>62.709696000000001</v>
      </c>
      <c r="CI183" s="879">
        <v>62.709696000000001</v>
      </c>
      <c r="CJ183" s="879">
        <v>62.709696000000001</v>
      </c>
      <c r="CK183" s="879">
        <v>62.709696000000001</v>
      </c>
      <c r="CL183" s="879">
        <v>62.709696000000001</v>
      </c>
      <c r="CM183" s="879">
        <v>62.709696000000001</v>
      </c>
      <c r="CN183" s="879">
        <v>62.709696000000001</v>
      </c>
      <c r="CO183" s="879">
        <v>62.709696000000001</v>
      </c>
      <c r="CP183" s="879">
        <v>62.709696000000001</v>
      </c>
      <c r="CQ183" s="1668">
        <v>62.709696000000001</v>
      </c>
    </row>
    <row r="184" spans="2:95">
      <c r="B184" s="3313"/>
      <c r="C184" s="3314"/>
      <c r="D184" s="201" t="s">
        <v>575</v>
      </c>
      <c r="E184" s="398"/>
      <c r="F184" s="314"/>
      <c r="G184" s="314"/>
      <c r="H184" s="314"/>
      <c r="I184" s="314"/>
      <c r="J184" s="314"/>
      <c r="K184" s="314"/>
      <c r="L184" s="314"/>
      <c r="M184" s="314"/>
      <c r="N184" s="314"/>
      <c r="O184" s="314"/>
      <c r="P184" s="314"/>
      <c r="Q184" s="396"/>
      <c r="R184" s="398"/>
      <c r="S184" s="314"/>
      <c r="T184" s="314"/>
      <c r="U184" s="314"/>
      <c r="V184" s="314"/>
      <c r="W184" s="314"/>
      <c r="X184" s="314"/>
      <c r="Y184" s="314"/>
      <c r="Z184" s="314"/>
      <c r="AA184" s="314"/>
      <c r="AB184" s="314"/>
      <c r="AC184" s="314"/>
      <c r="AD184" s="314"/>
      <c r="AE184" s="398"/>
      <c r="AF184" s="1259"/>
      <c r="AG184" s="1044"/>
      <c r="AH184" s="1044"/>
      <c r="AI184" s="1044"/>
      <c r="AJ184" s="1044"/>
      <c r="AK184" s="1044"/>
      <c r="AL184" s="1044"/>
      <c r="AM184" s="1044"/>
      <c r="AN184" s="1044"/>
      <c r="AO184" s="1044"/>
      <c r="AP184" s="1044"/>
      <c r="AQ184" s="1107"/>
      <c r="AR184" s="398"/>
      <c r="AS184" s="1126"/>
      <c r="AT184" s="1126"/>
      <c r="AU184" s="1126"/>
      <c r="AV184" s="1126"/>
      <c r="AW184" s="1126"/>
      <c r="AX184" s="1126"/>
      <c r="AY184" s="1126"/>
      <c r="AZ184" s="1126"/>
      <c r="BA184" s="1126"/>
      <c r="BB184" s="1126"/>
      <c r="BC184" s="1126"/>
      <c r="BD184" s="1127"/>
      <c r="BE184" s="937"/>
      <c r="BF184" s="1802"/>
      <c r="BG184" s="1803"/>
      <c r="BH184" s="1803"/>
      <c r="BI184" s="1803"/>
      <c r="BJ184" s="1803"/>
      <c r="BK184" s="1803"/>
      <c r="BL184" s="1803"/>
      <c r="BM184" s="1803"/>
      <c r="BN184" s="1803"/>
      <c r="BO184" s="1803"/>
      <c r="BP184" s="1803"/>
      <c r="BQ184" s="1822"/>
      <c r="BR184" s="937">
        <f t="shared" si="718"/>
        <v>0</v>
      </c>
      <c r="BS184" s="1802">
        <v>0</v>
      </c>
      <c r="BT184" s="1803">
        <v>0</v>
      </c>
      <c r="BU184" s="1803">
        <v>0</v>
      </c>
      <c r="BV184" s="1803">
        <v>0</v>
      </c>
      <c r="BW184" s="1803">
        <v>0</v>
      </c>
      <c r="BX184" s="1803">
        <v>0</v>
      </c>
      <c r="BY184" s="1803">
        <v>0</v>
      </c>
      <c r="BZ184" s="1803">
        <v>0</v>
      </c>
      <c r="CA184" s="1803">
        <v>0</v>
      </c>
      <c r="CB184" s="1803">
        <v>0</v>
      </c>
      <c r="CC184" s="1803">
        <v>0</v>
      </c>
      <c r="CD184" s="1822">
        <v>0</v>
      </c>
      <c r="CE184" s="937">
        <f t="shared" si="719"/>
        <v>0</v>
      </c>
      <c r="CF184" s="957">
        <v>0</v>
      </c>
      <c r="CG184" s="879">
        <v>0</v>
      </c>
      <c r="CH184" s="879">
        <v>0</v>
      </c>
      <c r="CI184" s="879">
        <v>0</v>
      </c>
      <c r="CJ184" s="879">
        <v>0</v>
      </c>
      <c r="CK184" s="879">
        <v>0</v>
      </c>
      <c r="CL184" s="879">
        <v>0</v>
      </c>
      <c r="CM184" s="879">
        <v>0</v>
      </c>
      <c r="CN184" s="879">
        <v>0</v>
      </c>
      <c r="CO184" s="879">
        <v>0</v>
      </c>
      <c r="CP184" s="879">
        <v>0</v>
      </c>
      <c r="CQ184" s="1668">
        <v>0</v>
      </c>
    </row>
    <row r="185" spans="2:95">
      <c r="B185" s="3313"/>
      <c r="C185" s="3314"/>
      <c r="D185" s="201" t="s">
        <v>306</v>
      </c>
      <c r="E185" s="398">
        <f t="shared" si="713"/>
        <v>0.90009099999999986</v>
      </c>
      <c r="F185" s="314">
        <v>0.228909</v>
      </c>
      <c r="G185" s="314">
        <v>0.228909</v>
      </c>
      <c r="H185" s="314">
        <v>0.195909</v>
      </c>
      <c r="I185" s="314">
        <v>0.16086400000000001</v>
      </c>
      <c r="J185" s="314">
        <v>4.2000000000000003E-2</v>
      </c>
      <c r="K185" s="314">
        <v>8.9999999999999993E-3</v>
      </c>
      <c r="L185" s="314">
        <v>6.0000000000000001E-3</v>
      </c>
      <c r="M185" s="314">
        <v>1.5E-3</v>
      </c>
      <c r="N185" s="314">
        <v>1.2E-2</v>
      </c>
      <c r="O185" s="314">
        <v>1.5E-3</v>
      </c>
      <c r="P185" s="314">
        <v>6.0000000000000001E-3</v>
      </c>
      <c r="Q185" s="396">
        <v>7.4999999999999997E-3</v>
      </c>
      <c r="R185" s="398">
        <f t="shared" si="714"/>
        <v>3.1500000000000007E-2</v>
      </c>
      <c r="S185" s="314">
        <v>4.4999999999999997E-3</v>
      </c>
      <c r="T185" s="314">
        <v>4.4999999999999997E-3</v>
      </c>
      <c r="U185" s="314">
        <v>3.0000000000000001E-3</v>
      </c>
      <c r="V185" s="314">
        <v>0</v>
      </c>
      <c r="W185" s="314">
        <v>3.0000000000000001E-3</v>
      </c>
      <c r="X185" s="314">
        <v>3.0000000000000001E-3</v>
      </c>
      <c r="Y185" s="314">
        <v>1.5E-3</v>
      </c>
      <c r="Z185" s="314">
        <v>0</v>
      </c>
      <c r="AA185" s="314">
        <v>1.5E-3</v>
      </c>
      <c r="AB185" s="314">
        <v>1.5E-3</v>
      </c>
      <c r="AC185" s="314">
        <v>6.0000000000000001E-3</v>
      </c>
      <c r="AD185" s="314">
        <v>3.0000000000000001E-3</v>
      </c>
      <c r="AE185" s="398">
        <f t="shared" si="715"/>
        <v>1.0500000000000001E-2</v>
      </c>
      <c r="AF185" s="1259"/>
      <c r="AG185" s="1044"/>
      <c r="AH185" s="1044"/>
      <c r="AI185" s="1044"/>
      <c r="AJ185" s="1044"/>
      <c r="AK185" s="1044"/>
      <c r="AL185" s="1044">
        <v>3.0000000000000001E-3</v>
      </c>
      <c r="AM185" s="1044">
        <v>0</v>
      </c>
      <c r="AN185" s="1044">
        <v>1.5E-3</v>
      </c>
      <c r="AO185" s="1044">
        <v>3.0000000000000001E-3</v>
      </c>
      <c r="AP185" s="1044">
        <v>1.5E-3</v>
      </c>
      <c r="AQ185" s="1107">
        <v>1.5E-3</v>
      </c>
      <c r="AR185" s="398">
        <f t="shared" si="716"/>
        <v>0</v>
      </c>
      <c r="AS185" s="1126">
        <v>0</v>
      </c>
      <c r="AT185" s="1126">
        <v>0</v>
      </c>
      <c r="AU185" s="1126">
        <v>0</v>
      </c>
      <c r="AV185" s="1126">
        <v>0</v>
      </c>
      <c r="AW185" s="1126">
        <v>0</v>
      </c>
      <c r="AX185" s="1126">
        <v>0</v>
      </c>
      <c r="AY185" s="1126">
        <v>0</v>
      </c>
      <c r="AZ185" s="1126">
        <v>0</v>
      </c>
      <c r="BA185" s="1126">
        <v>0</v>
      </c>
      <c r="BB185" s="1126">
        <v>0</v>
      </c>
      <c r="BC185" s="1126">
        <v>0</v>
      </c>
      <c r="BD185" s="1127">
        <v>0</v>
      </c>
      <c r="BE185" s="937">
        <f t="shared" si="717"/>
        <v>0</v>
      </c>
      <c r="BF185" s="1802">
        <v>0</v>
      </c>
      <c r="BG185" s="1803">
        <v>0</v>
      </c>
      <c r="BH185" s="1803">
        <v>0</v>
      </c>
      <c r="BI185" s="1803">
        <v>0</v>
      </c>
      <c r="BJ185" s="1803">
        <v>0</v>
      </c>
      <c r="BK185" s="1803">
        <v>0</v>
      </c>
      <c r="BL185" s="1803">
        <v>0</v>
      </c>
      <c r="BM185" s="1803">
        <v>0</v>
      </c>
      <c r="BN185" s="1803">
        <v>0</v>
      </c>
      <c r="BO185" s="1803">
        <v>0</v>
      </c>
      <c r="BP185" s="1803">
        <v>0</v>
      </c>
      <c r="BQ185" s="1822">
        <v>0</v>
      </c>
      <c r="BR185" s="937">
        <f t="shared" si="718"/>
        <v>0</v>
      </c>
      <c r="BS185" s="1802">
        <v>0</v>
      </c>
      <c r="BT185" s="1803">
        <v>0</v>
      </c>
      <c r="BU185" s="1803">
        <v>0</v>
      </c>
      <c r="BV185" s="1803">
        <v>0</v>
      </c>
      <c r="BW185" s="1803">
        <v>0</v>
      </c>
      <c r="BX185" s="1803">
        <v>0</v>
      </c>
      <c r="BY185" s="1803">
        <v>0</v>
      </c>
      <c r="BZ185" s="1803">
        <v>0</v>
      </c>
      <c r="CA185" s="1803">
        <v>0</v>
      </c>
      <c r="CB185" s="1803">
        <v>0</v>
      </c>
      <c r="CC185" s="1803">
        <v>0</v>
      </c>
      <c r="CD185" s="1822">
        <v>0</v>
      </c>
      <c r="CE185" s="937">
        <f t="shared" si="719"/>
        <v>0</v>
      </c>
      <c r="CF185" s="957">
        <v>0</v>
      </c>
      <c r="CG185" s="879">
        <v>0</v>
      </c>
      <c r="CH185" s="879">
        <v>0</v>
      </c>
      <c r="CI185" s="879">
        <v>0</v>
      </c>
      <c r="CJ185" s="879">
        <v>0</v>
      </c>
      <c r="CK185" s="879">
        <v>0</v>
      </c>
      <c r="CL185" s="879">
        <v>0</v>
      </c>
      <c r="CM185" s="879">
        <v>0</v>
      </c>
      <c r="CN185" s="879">
        <v>0</v>
      </c>
      <c r="CO185" s="879">
        <v>0</v>
      </c>
      <c r="CP185" s="879">
        <v>0</v>
      </c>
      <c r="CQ185" s="1668">
        <v>0</v>
      </c>
    </row>
    <row r="186" spans="2:95">
      <c r="B186" s="3313"/>
      <c r="C186" s="3314"/>
      <c r="D186" s="201" t="s">
        <v>681</v>
      </c>
      <c r="E186" s="398">
        <f t="shared" si="713"/>
        <v>47.601909000000013</v>
      </c>
      <c r="F186" s="314">
        <v>4.2663180000000001</v>
      </c>
      <c r="G186" s="314">
        <v>4.2663180000000001</v>
      </c>
      <c r="H186" s="314">
        <v>3.660955</v>
      </c>
      <c r="I186" s="314">
        <v>3.9422730000000001</v>
      </c>
      <c r="J186" s="314">
        <v>4.1304090000000002</v>
      </c>
      <c r="K186" s="314">
        <v>4.3738640000000002</v>
      </c>
      <c r="L186" s="314">
        <v>4.8285450000000001</v>
      </c>
      <c r="M186" s="314">
        <v>3.6714549999999999</v>
      </c>
      <c r="N186" s="314">
        <v>3.5332270000000001</v>
      </c>
      <c r="O186" s="314">
        <v>3.9233180000000001</v>
      </c>
      <c r="P186" s="314">
        <v>4.4981359999999997</v>
      </c>
      <c r="Q186" s="396">
        <v>2.507091</v>
      </c>
      <c r="R186" s="398">
        <f t="shared" si="714"/>
        <v>18.317914000000002</v>
      </c>
      <c r="S186" s="314">
        <v>1.6089089999999999</v>
      </c>
      <c r="T186" s="314">
        <v>1.629318</v>
      </c>
      <c r="U186" s="314">
        <v>2.0414089999999998</v>
      </c>
      <c r="V186" s="314">
        <v>1.5081818181818181</v>
      </c>
      <c r="W186" s="314">
        <v>1.5740454545454543</v>
      </c>
      <c r="X186" s="314">
        <v>1.690455</v>
      </c>
      <c r="Y186" s="314">
        <v>1.3751818181818181</v>
      </c>
      <c r="Z186" s="314">
        <v>1.304772727272727</v>
      </c>
      <c r="AA186" s="314">
        <v>1.5981818181818181</v>
      </c>
      <c r="AB186" s="314">
        <v>1.5792727272727272</v>
      </c>
      <c r="AC186" s="314">
        <v>1.5328636363636363</v>
      </c>
      <c r="AD186" s="314">
        <v>0.87532299999999996</v>
      </c>
      <c r="AE186" s="398">
        <f t="shared" si="715"/>
        <v>10.470611</v>
      </c>
      <c r="AF186" s="1259">
        <v>1.071682</v>
      </c>
      <c r="AG186" s="1044">
        <v>0.458565</v>
      </c>
      <c r="AH186" s="1044">
        <v>1.0812269999999999</v>
      </c>
      <c r="AI186" s="1044">
        <v>1.3819999999999999</v>
      </c>
      <c r="AJ186" s="1044">
        <v>1.2538640000000001</v>
      </c>
      <c r="AK186" s="1044">
        <v>1.1325909999999999</v>
      </c>
      <c r="AL186" s="1044">
        <v>1.158909</v>
      </c>
      <c r="AM186" s="1044">
        <v>1.1355</v>
      </c>
      <c r="AN186" s="1044">
        <v>1.1362730000000001</v>
      </c>
      <c r="AO186" s="1044">
        <v>0.17549999999999999</v>
      </c>
      <c r="AP186" s="1044">
        <v>0.222</v>
      </c>
      <c r="AQ186" s="1107">
        <v>0.26250000000000001</v>
      </c>
      <c r="AR186" s="398">
        <f t="shared" si="716"/>
        <v>14.616336</v>
      </c>
      <c r="AS186" s="1126">
        <v>1.1579550000000001</v>
      </c>
      <c r="AT186" s="1126">
        <v>1.200045</v>
      </c>
      <c r="AU186" s="1126">
        <v>1.333636</v>
      </c>
      <c r="AV186" s="1126">
        <v>1.2022730000000001</v>
      </c>
      <c r="AW186" s="1126">
        <v>1.0455909999999999</v>
      </c>
      <c r="AX186" s="1126">
        <v>1.149864</v>
      </c>
      <c r="AY186" s="1126">
        <v>1.308182</v>
      </c>
      <c r="AZ186" s="1126">
        <v>1.2931820000000001</v>
      </c>
      <c r="BA186" s="1126">
        <v>1.2661360000000002</v>
      </c>
      <c r="BB186" s="1126">
        <v>0.91518100000000002</v>
      </c>
      <c r="BC186" s="1126">
        <v>1.4650910000000001</v>
      </c>
      <c r="BD186" s="1127">
        <v>1.2792000000000001</v>
      </c>
      <c r="BE186" s="937">
        <f t="shared" si="717"/>
        <v>23.470363000000003</v>
      </c>
      <c r="BF186" s="1802">
        <v>1.580681</v>
      </c>
      <c r="BG186" s="1803">
        <v>1.6615899999999999</v>
      </c>
      <c r="BH186" s="1803">
        <v>1.7392729999999998</v>
      </c>
      <c r="BI186" s="1803">
        <v>2.2970000000000002</v>
      </c>
      <c r="BJ186" s="1803">
        <v>2.1272729999999997</v>
      </c>
      <c r="BK186" s="1803">
        <v>2.1857730000000002</v>
      </c>
      <c r="BL186" s="1803">
        <v>2.1324999999999998</v>
      </c>
      <c r="BM186" s="1803">
        <v>2.348865</v>
      </c>
      <c r="BN186" s="1803">
        <v>1.8876360000000001</v>
      </c>
      <c r="BO186" s="1803">
        <v>1.845637</v>
      </c>
      <c r="BP186" s="1803">
        <v>1.943818</v>
      </c>
      <c r="BQ186" s="1822">
        <v>1.7203170000000001</v>
      </c>
      <c r="BR186" s="937">
        <f t="shared" si="718"/>
        <v>28.386448000000005</v>
      </c>
      <c r="BS186" s="1802">
        <v>1.4517260000000001</v>
      </c>
      <c r="BT186" s="1803">
        <v>1.5185</v>
      </c>
      <c r="BU186" s="1803">
        <v>2.2391809999999999</v>
      </c>
      <c r="BV186" s="1803">
        <v>1.8305910000000001</v>
      </c>
      <c r="BW186" s="1803">
        <v>3.2034090000000002</v>
      </c>
      <c r="BX186" s="1803">
        <v>0.31590299999999999</v>
      </c>
      <c r="BY186" s="1803">
        <v>3.7359550000000001</v>
      </c>
      <c r="BZ186" s="1803">
        <v>5.6562279999999996</v>
      </c>
      <c r="CA186" s="1803">
        <v>2.4368639999999999</v>
      </c>
      <c r="CB186" s="1803">
        <v>2.060454</v>
      </c>
      <c r="CC186" s="1803">
        <v>2.1292279999999999</v>
      </c>
      <c r="CD186" s="1822">
        <v>1.8084089999999999</v>
      </c>
      <c r="CE186" s="937">
        <f t="shared" si="719"/>
        <v>3.7908360000000001</v>
      </c>
      <c r="CF186" s="957">
        <v>0.31590299999999999</v>
      </c>
      <c r="CG186" s="879">
        <v>0.31590299999999999</v>
      </c>
      <c r="CH186" s="879">
        <v>0.31590299999999999</v>
      </c>
      <c r="CI186" s="879">
        <v>0.31590299999999999</v>
      </c>
      <c r="CJ186" s="879">
        <v>0.31590299999999999</v>
      </c>
      <c r="CK186" s="879">
        <v>0.31590299999999999</v>
      </c>
      <c r="CL186" s="879">
        <v>0.31590299999999999</v>
      </c>
      <c r="CM186" s="879">
        <v>0.31590299999999999</v>
      </c>
      <c r="CN186" s="879">
        <v>0.31590299999999999</v>
      </c>
      <c r="CO186" s="879">
        <v>0.31590299999999999</v>
      </c>
      <c r="CP186" s="879">
        <v>0.31590299999999999</v>
      </c>
      <c r="CQ186" s="1668">
        <v>0.31590299999999999</v>
      </c>
    </row>
    <row r="187" spans="2:95">
      <c r="B187" s="3313"/>
      <c r="C187" s="3314"/>
      <c r="D187" s="201" t="s">
        <v>332</v>
      </c>
      <c r="E187" s="398">
        <f t="shared" si="713"/>
        <v>4.0841370000000001</v>
      </c>
      <c r="F187" s="314">
        <v>0.20549999999999999</v>
      </c>
      <c r="G187" s="314">
        <v>0.20549999999999999</v>
      </c>
      <c r="H187" s="314">
        <v>0.129</v>
      </c>
      <c r="I187" s="314">
        <v>7.8E-2</v>
      </c>
      <c r="J187" s="314">
        <v>0.42186400000000002</v>
      </c>
      <c r="K187" s="314">
        <v>0.38650000000000001</v>
      </c>
      <c r="L187" s="314">
        <v>0.6</v>
      </c>
      <c r="M187" s="314">
        <v>0.54300000000000004</v>
      </c>
      <c r="N187" s="314">
        <v>0.17377300000000001</v>
      </c>
      <c r="O187" s="314">
        <v>0.23100000000000001</v>
      </c>
      <c r="P187" s="314">
        <v>0.441</v>
      </c>
      <c r="Q187" s="396">
        <v>0.66900000000000004</v>
      </c>
      <c r="R187" s="398">
        <f t="shared" si="714"/>
        <v>4.0413140000000016</v>
      </c>
      <c r="S187" s="314">
        <v>0.51</v>
      </c>
      <c r="T187" s="314">
        <v>0.32550000000000001</v>
      </c>
      <c r="U187" s="314">
        <v>0.66749999999999998</v>
      </c>
      <c r="V187" s="314">
        <v>0.40650018181818187</v>
      </c>
      <c r="W187" s="314">
        <v>0.15599954545454564</v>
      </c>
      <c r="X187" s="314">
        <v>0.26700000000000002</v>
      </c>
      <c r="Y187" s="314">
        <v>0.24150018181818189</v>
      </c>
      <c r="Z187" s="314">
        <v>0.14700027272727295</v>
      </c>
      <c r="AA187" s="314">
        <v>0.20700018181818189</v>
      </c>
      <c r="AB187" s="314">
        <v>0.22350027272727294</v>
      </c>
      <c r="AC187" s="314">
        <v>0.20700036363636376</v>
      </c>
      <c r="AD187" s="314">
        <v>0.682813</v>
      </c>
      <c r="AE187" s="398">
        <f t="shared" si="715"/>
        <v>5.1806169999999998</v>
      </c>
      <c r="AF187" s="1259">
        <v>0.13350000000000001</v>
      </c>
      <c r="AG187" s="1044">
        <v>0.66375300000000004</v>
      </c>
      <c r="AH187" s="1044">
        <v>0.20359099999999999</v>
      </c>
      <c r="AI187" s="1044">
        <v>0.23549999999999999</v>
      </c>
      <c r="AJ187" s="1044">
        <v>0.32700000000000001</v>
      </c>
      <c r="AK187" s="1044">
        <v>0.23400000000000001</v>
      </c>
      <c r="AL187" s="1044">
        <v>0.16950000000000001</v>
      </c>
      <c r="AM187" s="1044">
        <v>0.17849999999999999</v>
      </c>
      <c r="AN187" s="1044">
        <v>0.18931799999999999</v>
      </c>
      <c r="AO187" s="1044">
        <v>0.96409100000000003</v>
      </c>
      <c r="AP187" s="1044">
        <v>1.0158640000000001</v>
      </c>
      <c r="AQ187" s="1107">
        <v>0.86599999999999999</v>
      </c>
      <c r="AR187" s="398">
        <f t="shared" si="716"/>
        <v>0</v>
      </c>
      <c r="AS187" s="1126">
        <v>0</v>
      </c>
      <c r="AT187" s="1126">
        <v>0</v>
      </c>
      <c r="AU187" s="1126">
        <v>0</v>
      </c>
      <c r="AV187" s="1126">
        <v>0</v>
      </c>
      <c r="AW187" s="1126">
        <v>0</v>
      </c>
      <c r="AX187" s="1126">
        <v>0</v>
      </c>
      <c r="AY187" s="1126">
        <v>0</v>
      </c>
      <c r="AZ187" s="1126">
        <v>0</v>
      </c>
      <c r="BA187" s="1126">
        <v>0</v>
      </c>
      <c r="BB187" s="1126">
        <v>0</v>
      </c>
      <c r="BC187" s="1126">
        <v>0</v>
      </c>
      <c r="BD187" s="1127">
        <v>0</v>
      </c>
      <c r="BE187" s="937">
        <f t="shared" si="717"/>
        <v>0</v>
      </c>
      <c r="BF187" s="1802">
        <v>0</v>
      </c>
      <c r="BG187" s="1803">
        <v>0</v>
      </c>
      <c r="BH187" s="1803">
        <v>0</v>
      </c>
      <c r="BI187" s="1803">
        <v>0</v>
      </c>
      <c r="BJ187" s="1803">
        <v>0</v>
      </c>
      <c r="BK187" s="1803">
        <v>0</v>
      </c>
      <c r="BL187" s="1803">
        <v>0</v>
      </c>
      <c r="BM187" s="1803">
        <v>0</v>
      </c>
      <c r="BN187" s="1803">
        <v>0</v>
      </c>
      <c r="BO187" s="1803">
        <v>0</v>
      </c>
      <c r="BP187" s="1803">
        <v>0</v>
      </c>
      <c r="BQ187" s="1822">
        <v>0</v>
      </c>
      <c r="BR187" s="937">
        <f t="shared" si="718"/>
        <v>0</v>
      </c>
      <c r="BS187" s="1802">
        <v>0</v>
      </c>
      <c r="BT187" s="1803">
        <v>0</v>
      </c>
      <c r="BU187" s="1803">
        <v>0</v>
      </c>
      <c r="BV187" s="1803">
        <v>0</v>
      </c>
      <c r="BW187" s="1803">
        <v>0</v>
      </c>
      <c r="BX187" s="1803">
        <v>0</v>
      </c>
      <c r="BY187" s="1803">
        <v>0</v>
      </c>
      <c r="BZ187" s="1803">
        <v>0</v>
      </c>
      <c r="CA187" s="1803">
        <v>0</v>
      </c>
      <c r="CB187" s="1803">
        <v>0</v>
      </c>
      <c r="CC187" s="1803">
        <v>0</v>
      </c>
      <c r="CD187" s="1822">
        <v>0</v>
      </c>
      <c r="CE187" s="937">
        <f t="shared" si="719"/>
        <v>0</v>
      </c>
      <c r="CF187" s="957">
        <v>0</v>
      </c>
      <c r="CG187" s="879">
        <v>0</v>
      </c>
      <c r="CH187" s="879">
        <v>0</v>
      </c>
      <c r="CI187" s="879">
        <v>0</v>
      </c>
      <c r="CJ187" s="879">
        <v>0</v>
      </c>
      <c r="CK187" s="879">
        <v>0</v>
      </c>
      <c r="CL187" s="879">
        <v>0</v>
      </c>
      <c r="CM187" s="879">
        <v>0</v>
      </c>
      <c r="CN187" s="879">
        <v>0</v>
      </c>
      <c r="CO187" s="879">
        <v>0</v>
      </c>
      <c r="CP187" s="879">
        <v>0</v>
      </c>
      <c r="CQ187" s="1668">
        <v>0</v>
      </c>
    </row>
    <row r="188" spans="2:95">
      <c r="B188" s="3313"/>
      <c r="C188" s="3314"/>
      <c r="D188" s="202" t="s">
        <v>249</v>
      </c>
      <c r="E188" s="401">
        <f t="shared" si="713"/>
        <v>5.03512</v>
      </c>
      <c r="F188" s="315">
        <v>0.2175</v>
      </c>
      <c r="G188" s="315">
        <v>0.2175</v>
      </c>
      <c r="H188" s="315">
        <v>0.38400000000000001</v>
      </c>
      <c r="I188" s="315">
        <v>0.58799999999999997</v>
      </c>
      <c r="J188" s="315">
        <v>0.47849999999999998</v>
      </c>
      <c r="K188" s="315">
        <v>0.34050000000000002</v>
      </c>
      <c r="L188" s="315">
        <v>0.33111999999999997</v>
      </c>
      <c r="M188" s="315">
        <v>0.53849999999999998</v>
      </c>
      <c r="N188" s="315">
        <v>0.55499999999999994</v>
      </c>
      <c r="O188" s="315">
        <v>0.4425</v>
      </c>
      <c r="P188" s="315">
        <v>0.47099999999999997</v>
      </c>
      <c r="Q188" s="461">
        <v>0.47100000000000003</v>
      </c>
      <c r="R188" s="401">
        <f t="shared" si="714"/>
        <v>4.6936819999999999</v>
      </c>
      <c r="S188" s="315">
        <v>0.42449999999999999</v>
      </c>
      <c r="T188" s="315">
        <v>0.36749999999999999</v>
      </c>
      <c r="U188" s="315">
        <v>0.29699999999999999</v>
      </c>
      <c r="V188" s="315">
        <v>0.40949999999999998</v>
      </c>
      <c r="W188" s="315">
        <v>0.33900000000000002</v>
      </c>
      <c r="X188" s="315">
        <v>0.32700000000000001</v>
      </c>
      <c r="Y188" s="315">
        <v>0.34649999999999997</v>
      </c>
      <c r="Z188" s="315">
        <v>0.33150000000000002</v>
      </c>
      <c r="AA188" s="315">
        <v>0.378</v>
      </c>
      <c r="AB188" s="315">
        <v>0.35568200000000005</v>
      </c>
      <c r="AC188" s="315">
        <v>0.39750000000000002</v>
      </c>
      <c r="AD188" s="315">
        <v>0.72000000000000008</v>
      </c>
      <c r="AE188" s="401">
        <f t="shared" si="715"/>
        <v>5.9455</v>
      </c>
      <c r="AF188" s="1297">
        <v>1.2749999999999999</v>
      </c>
      <c r="AG188" s="1260">
        <v>0.30599999999999999</v>
      </c>
      <c r="AH188" s="1260">
        <v>0.27599999999999997</v>
      </c>
      <c r="AI188" s="1260">
        <v>0.3105</v>
      </c>
      <c r="AJ188" s="1260">
        <v>0.315</v>
      </c>
      <c r="AK188" s="1260">
        <v>0.32850000000000001</v>
      </c>
      <c r="AL188" s="1260">
        <v>0.42899999999999999</v>
      </c>
      <c r="AM188" s="1260">
        <v>0.58650000000000002</v>
      </c>
      <c r="AN188" s="1260">
        <v>0.47099999999999997</v>
      </c>
      <c r="AO188" s="1260">
        <v>0.4965</v>
      </c>
      <c r="AP188" s="1260">
        <v>0.4</v>
      </c>
      <c r="AQ188" s="1298">
        <v>0.75149999999999995</v>
      </c>
      <c r="AR188" s="401">
        <f t="shared" si="716"/>
        <v>6.1016370000000002</v>
      </c>
      <c r="AS188" s="1129">
        <v>0.72599999999999998</v>
      </c>
      <c r="AT188" s="1129">
        <v>0.67949999999999999</v>
      </c>
      <c r="AU188" s="1129">
        <v>0.54995499999999997</v>
      </c>
      <c r="AV188" s="1129">
        <v>0.31295500000000004</v>
      </c>
      <c r="AW188" s="1129">
        <v>0.36150000000000004</v>
      </c>
      <c r="AX188" s="1129">
        <v>1.2750000000000001</v>
      </c>
      <c r="AY188" s="1129">
        <v>0.53700000000000003</v>
      </c>
      <c r="AZ188" s="1129">
        <v>0.41400000000000003</v>
      </c>
      <c r="BA188" s="1129">
        <v>0.40531800000000001</v>
      </c>
      <c r="BB188" s="1129">
        <v>0.30149999999999999</v>
      </c>
      <c r="BC188" s="1129">
        <v>0.32140899999999994</v>
      </c>
      <c r="BD188" s="1130">
        <v>0.21750000000000003</v>
      </c>
      <c r="BE188" s="938">
        <f t="shared" si="717"/>
        <v>4.6686369999999995</v>
      </c>
      <c r="BF188" s="1829">
        <v>0.33300000000000002</v>
      </c>
      <c r="BG188" s="1824">
        <v>0.35699999999999998</v>
      </c>
      <c r="BH188" s="1824">
        <v>0.21</v>
      </c>
      <c r="BI188" s="1824">
        <v>0.2505</v>
      </c>
      <c r="BJ188" s="1824">
        <v>0.239955</v>
      </c>
      <c r="BK188" s="1824">
        <v>0.35099999999999998</v>
      </c>
      <c r="BL188" s="1824">
        <v>0.35399999999999998</v>
      </c>
      <c r="BM188" s="1824">
        <v>0.47509099999999999</v>
      </c>
      <c r="BN188" s="1824">
        <v>0.45900000000000002</v>
      </c>
      <c r="BO188" s="1824">
        <v>0.47959099999999999</v>
      </c>
      <c r="BP188" s="1824">
        <v>0.46350000000000002</v>
      </c>
      <c r="BQ188" s="1825">
        <v>0.69599999999999995</v>
      </c>
      <c r="BR188" s="938">
        <f t="shared" si="718"/>
        <v>15.077908999999998</v>
      </c>
      <c r="BS188" s="1829">
        <v>0.46800000000000003</v>
      </c>
      <c r="BT188" s="1824">
        <v>0.43122700000000003</v>
      </c>
      <c r="BU188" s="1824">
        <v>0.40949999999999998</v>
      </c>
      <c r="BV188" s="1824">
        <v>0.37236399999999997</v>
      </c>
      <c r="BW188" s="1824">
        <v>0.43686399999999997</v>
      </c>
      <c r="BX188" s="1824">
        <v>9.7080909999999996</v>
      </c>
      <c r="BY188" s="1824">
        <v>0.51300000000000001</v>
      </c>
      <c r="BZ188" s="1824">
        <v>0.699318</v>
      </c>
      <c r="CA188" s="1824">
        <v>0.61081799999999997</v>
      </c>
      <c r="CB188" s="1824">
        <v>0.37122699999999997</v>
      </c>
      <c r="CC188" s="1824">
        <v>0.58499999999999996</v>
      </c>
      <c r="CD188" s="1825">
        <v>0.47249999999999998</v>
      </c>
      <c r="CE188" s="938">
        <f t="shared" si="719"/>
        <v>116.49709199999997</v>
      </c>
      <c r="CF188" s="1881">
        <v>9.7080909999999996</v>
      </c>
      <c r="CG188" s="1879">
        <v>9.7080909999999996</v>
      </c>
      <c r="CH188" s="1879">
        <v>9.7080909999999996</v>
      </c>
      <c r="CI188" s="1879">
        <v>9.7080909999999996</v>
      </c>
      <c r="CJ188" s="1879">
        <v>9.7080909999999996</v>
      </c>
      <c r="CK188" s="1879">
        <v>9.7080909999999996</v>
      </c>
      <c r="CL188" s="1879">
        <v>9.7080909999999996</v>
      </c>
      <c r="CM188" s="1879">
        <v>9.7080909999999996</v>
      </c>
      <c r="CN188" s="1879">
        <v>9.7080909999999996</v>
      </c>
      <c r="CO188" s="1879">
        <v>9.7080909999999996</v>
      </c>
      <c r="CP188" s="1879">
        <v>9.7080909999999996</v>
      </c>
      <c r="CQ188" s="1739">
        <v>9.7080909999999996</v>
      </c>
    </row>
    <row r="189" spans="2:95">
      <c r="B189" s="3313"/>
      <c r="C189" s="3314"/>
      <c r="D189" s="203" t="s">
        <v>678</v>
      </c>
      <c r="E189" s="399">
        <f t="shared" si="713"/>
        <v>5.0364990000000001</v>
      </c>
      <c r="F189" s="316">
        <v>0.72941</v>
      </c>
      <c r="G189" s="316">
        <v>0.72941</v>
      </c>
      <c r="H189" s="316">
        <v>0.43677100000000002</v>
      </c>
      <c r="I189" s="316">
        <v>0.51258999999999999</v>
      </c>
      <c r="J189" s="316">
        <v>0.42363600000000001</v>
      </c>
      <c r="K189" s="316">
        <v>0.41659099999999999</v>
      </c>
      <c r="L189" s="316">
        <v>0.30777300000000002</v>
      </c>
      <c r="M189" s="316">
        <v>0.34499999999999997</v>
      </c>
      <c r="N189" s="316">
        <v>0.3</v>
      </c>
      <c r="O189" s="316">
        <v>0.31431799999999999</v>
      </c>
      <c r="P189" s="316">
        <v>0.24577299999999999</v>
      </c>
      <c r="Q189" s="462">
        <v>0.275227</v>
      </c>
      <c r="R189" s="399">
        <f t="shared" si="714"/>
        <v>3.5720910000000003</v>
      </c>
      <c r="S189" s="316">
        <v>0.21149999999999999</v>
      </c>
      <c r="T189" s="316">
        <v>0.245591</v>
      </c>
      <c r="U189" s="316">
        <v>0.32400000000000001</v>
      </c>
      <c r="V189" s="316">
        <v>0.308591</v>
      </c>
      <c r="W189" s="316">
        <v>0.42899999999999999</v>
      </c>
      <c r="X189" s="316">
        <v>0.31145499999999998</v>
      </c>
      <c r="Y189" s="316">
        <v>0.33200000000000002</v>
      </c>
      <c r="Z189" s="316">
        <v>0.267318</v>
      </c>
      <c r="AA189" s="316">
        <v>0.2505</v>
      </c>
      <c r="AB189" s="316">
        <v>0.27750000000000002</v>
      </c>
      <c r="AC189" s="316">
        <v>0.30413600000000002</v>
      </c>
      <c r="AD189" s="316">
        <v>0.3105</v>
      </c>
      <c r="AE189" s="399">
        <f t="shared" si="715"/>
        <v>4.2471349999999992</v>
      </c>
      <c r="AF189" s="1299">
        <v>0.39259100000000002</v>
      </c>
      <c r="AG189" s="1206">
        <v>0.36599999999999999</v>
      </c>
      <c r="AH189" s="1206">
        <v>0.511818</v>
      </c>
      <c r="AI189" s="1206">
        <v>0.31681799999999999</v>
      </c>
      <c r="AJ189" s="1206">
        <v>0.39122699999999999</v>
      </c>
      <c r="AK189" s="1206">
        <v>0.4365</v>
      </c>
      <c r="AL189" s="1206">
        <v>0.44222699999999998</v>
      </c>
      <c r="AM189" s="1206">
        <v>0.36149999999999999</v>
      </c>
      <c r="AN189" s="1206">
        <v>0.42</v>
      </c>
      <c r="AO189" s="1206">
        <v>0.21781800000000001</v>
      </c>
      <c r="AP189" s="1206">
        <v>0.188136</v>
      </c>
      <c r="AQ189" s="1207">
        <v>0.20250000000000001</v>
      </c>
      <c r="AR189" s="399">
        <f t="shared" si="716"/>
        <v>2.7164549999999998</v>
      </c>
      <c r="AS189" s="1132">
        <v>0.20100000000000001</v>
      </c>
      <c r="AT189" s="1132">
        <v>0.13650000000000001</v>
      </c>
      <c r="AU189" s="1132">
        <v>0.28681800000000002</v>
      </c>
      <c r="AV189" s="1132">
        <v>0.2505</v>
      </c>
      <c r="AW189" s="1132">
        <v>0.270318</v>
      </c>
      <c r="AX189" s="1132">
        <v>0.25531799999999999</v>
      </c>
      <c r="AY189" s="1132">
        <v>0.258909</v>
      </c>
      <c r="AZ189" s="1132">
        <v>0.24</v>
      </c>
      <c r="BA189" s="1132">
        <v>0.228411</v>
      </c>
      <c r="BB189" s="1132">
        <v>0.18631800000000001</v>
      </c>
      <c r="BC189" s="1132">
        <v>0.19831799999999999</v>
      </c>
      <c r="BD189" s="1133">
        <v>0.204045</v>
      </c>
      <c r="BE189" s="940">
        <f t="shared" si="717"/>
        <v>1.2403639999999998</v>
      </c>
      <c r="BF189" s="1804">
        <v>0.12872700000000001</v>
      </c>
      <c r="BG189" s="1805">
        <v>0.1515</v>
      </c>
      <c r="BH189" s="1805">
        <v>9.2999999999999999E-2</v>
      </c>
      <c r="BI189" s="1805">
        <v>0.12</v>
      </c>
      <c r="BJ189" s="1805">
        <v>0.129909</v>
      </c>
      <c r="BK189" s="1805">
        <v>9.9363999999999994E-2</v>
      </c>
      <c r="BL189" s="1805">
        <v>6.7500000000000004E-2</v>
      </c>
      <c r="BM189" s="1805">
        <v>8.1364000000000006E-2</v>
      </c>
      <c r="BN189" s="1805">
        <v>8.6999999999999994E-2</v>
      </c>
      <c r="BO189" s="1805">
        <v>5.5500000000000001E-2</v>
      </c>
      <c r="BP189" s="1805">
        <v>0.11700000000000001</v>
      </c>
      <c r="BQ189" s="1823">
        <v>0.1095</v>
      </c>
      <c r="BR189" s="940">
        <f t="shared" si="718"/>
        <v>2.5017270000000003</v>
      </c>
      <c r="BS189" s="1804">
        <v>7.5317999999999996E-2</v>
      </c>
      <c r="BT189" s="1805">
        <v>5.5500000000000001E-2</v>
      </c>
      <c r="BU189" s="1805">
        <v>5.2499999999999998E-2</v>
      </c>
      <c r="BV189" s="1805">
        <v>7.8E-2</v>
      </c>
      <c r="BW189" s="1805">
        <v>9.4500000000000001E-2</v>
      </c>
      <c r="BX189" s="1805">
        <v>0.2175</v>
      </c>
      <c r="BY189" s="1805">
        <v>0.76840900000000001</v>
      </c>
      <c r="BZ189" s="1805">
        <v>0.435</v>
      </c>
      <c r="CA189" s="1805">
        <v>0.19400000000000001</v>
      </c>
      <c r="CB189" s="1805">
        <v>0.14949999999999999</v>
      </c>
      <c r="CC189" s="1805">
        <v>9.7500000000000003E-2</v>
      </c>
      <c r="CD189" s="1823">
        <v>0.28399999999999997</v>
      </c>
      <c r="CE189" s="940">
        <f t="shared" si="719"/>
        <v>2.6099999999999994</v>
      </c>
      <c r="CF189" s="959">
        <v>0.2175</v>
      </c>
      <c r="CG189" s="883">
        <v>0.2175</v>
      </c>
      <c r="CH189" s="883">
        <v>0.2175</v>
      </c>
      <c r="CI189" s="883">
        <v>0.2175</v>
      </c>
      <c r="CJ189" s="883">
        <v>0.2175</v>
      </c>
      <c r="CK189" s="883">
        <v>0.2175</v>
      </c>
      <c r="CL189" s="883">
        <v>0.2175</v>
      </c>
      <c r="CM189" s="883">
        <v>0.2175</v>
      </c>
      <c r="CN189" s="883">
        <v>0.2175</v>
      </c>
      <c r="CO189" s="883">
        <v>0.2175</v>
      </c>
      <c r="CP189" s="883">
        <v>0.2175</v>
      </c>
      <c r="CQ189" s="1740">
        <v>0.2175</v>
      </c>
    </row>
    <row r="190" spans="2:95">
      <c r="B190" s="3315"/>
      <c r="C190" s="3316"/>
      <c r="D190" s="215" t="s">
        <v>295</v>
      </c>
      <c r="E190" s="400">
        <f t="shared" si="713"/>
        <v>-3.9816970000000111</v>
      </c>
      <c r="F190" s="384">
        <v>0.38611699999999871</v>
      </c>
      <c r="G190" s="384">
        <v>-4.4130870000000044</v>
      </c>
      <c r="H190" s="384">
        <v>0</v>
      </c>
      <c r="I190" s="384">
        <v>0</v>
      </c>
      <c r="J190" s="384">
        <v>0</v>
      </c>
      <c r="K190" s="384">
        <v>0</v>
      </c>
      <c r="L190" s="384">
        <v>1.0000000000047748E-3</v>
      </c>
      <c r="M190" s="384">
        <v>4.4272999999989793E-2</v>
      </c>
      <c r="N190" s="384">
        <v>0</v>
      </c>
      <c r="O190" s="384">
        <v>0</v>
      </c>
      <c r="P190" s="384">
        <v>0</v>
      </c>
      <c r="Q190" s="384">
        <v>0</v>
      </c>
      <c r="R190" s="400">
        <f t="shared" si="714"/>
        <v>5.4291000000006306E-2</v>
      </c>
      <c r="S190" s="384">
        <f t="shared" ref="S190:AA190" si="720">S181-SUM(S182:S189)</f>
        <v>5.0291000000001418E-2</v>
      </c>
      <c r="T190" s="384">
        <f t="shared" si="720"/>
        <v>0</v>
      </c>
      <c r="U190" s="384">
        <f t="shared" si="720"/>
        <v>4.0000000000048885E-3</v>
      </c>
      <c r="V190" s="384">
        <f t="shared" si="720"/>
        <v>0</v>
      </c>
      <c r="W190" s="384">
        <f t="shared" si="720"/>
        <v>0</v>
      </c>
      <c r="X190" s="384">
        <f t="shared" si="720"/>
        <v>0</v>
      </c>
      <c r="Y190" s="384">
        <f t="shared" si="720"/>
        <v>0</v>
      </c>
      <c r="Z190" s="384">
        <f t="shared" si="720"/>
        <v>0</v>
      </c>
      <c r="AA190" s="384">
        <f t="shared" si="720"/>
        <v>0</v>
      </c>
      <c r="AB190" s="384">
        <f t="shared" ref="AB190:AQ190" si="721">AB181-SUM(AB182:AB189)</f>
        <v>0</v>
      </c>
      <c r="AC190" s="384">
        <f t="shared" si="721"/>
        <v>0</v>
      </c>
      <c r="AD190" s="384">
        <f t="shared" si="721"/>
        <v>0</v>
      </c>
      <c r="AE190" s="400">
        <f t="shared" si="715"/>
        <v>0.17300000000002314</v>
      </c>
      <c r="AF190" s="1300">
        <f t="shared" si="721"/>
        <v>0</v>
      </c>
      <c r="AG190" s="1301">
        <f t="shared" si="721"/>
        <v>1.5000000000000568E-3</v>
      </c>
      <c r="AH190" s="1301">
        <f t="shared" si="721"/>
        <v>4.4999999999930651E-3</v>
      </c>
      <c r="AI190" s="1301">
        <f t="shared" si="721"/>
        <v>0</v>
      </c>
      <c r="AJ190" s="1301">
        <f t="shared" si="721"/>
        <v>4.5000000000214868E-3</v>
      </c>
      <c r="AK190" s="1301">
        <f t="shared" si="721"/>
        <v>1.4999999999929514E-3</v>
      </c>
      <c r="AL190" s="1301">
        <f t="shared" si="721"/>
        <v>0</v>
      </c>
      <c r="AM190" s="1301">
        <f t="shared" si="721"/>
        <v>0</v>
      </c>
      <c r="AN190" s="1301">
        <f t="shared" si="721"/>
        <v>0</v>
      </c>
      <c r="AO190" s="1301">
        <f t="shared" si="721"/>
        <v>0</v>
      </c>
      <c r="AP190" s="1301">
        <f t="shared" si="721"/>
        <v>0.16100000000001558</v>
      </c>
      <c r="AQ190" s="1302">
        <f t="shared" si="721"/>
        <v>0</v>
      </c>
      <c r="AR190" s="400">
        <f t="shared" si="716"/>
        <v>-0.52863700000001046</v>
      </c>
      <c r="AS190" s="1135">
        <f t="shared" ref="AS190:BD190" si="722">AS181-SUM(AS182:AS189)</f>
        <v>0</v>
      </c>
      <c r="AT190" s="1135">
        <f t="shared" si="722"/>
        <v>0</v>
      </c>
      <c r="AU190" s="1135">
        <f t="shared" si="722"/>
        <v>1.5000000000071623E-3</v>
      </c>
      <c r="AV190" s="1135">
        <f t="shared" si="722"/>
        <v>0</v>
      </c>
      <c r="AW190" s="1135">
        <f t="shared" si="722"/>
        <v>1.4999999999787406E-3</v>
      </c>
      <c r="AX190" s="1135">
        <f t="shared" si="722"/>
        <v>1.5000000000071623E-3</v>
      </c>
      <c r="AY190" s="1135">
        <f t="shared" si="722"/>
        <v>1.4999999999929514E-3</v>
      </c>
      <c r="AZ190" s="1135">
        <f t="shared" si="722"/>
        <v>0</v>
      </c>
      <c r="BA190" s="1512">
        <f t="shared" si="722"/>
        <v>-0.5424549999999897</v>
      </c>
      <c r="BB190" s="1512">
        <f t="shared" si="722"/>
        <v>0</v>
      </c>
      <c r="BC190" s="1512">
        <f t="shared" si="722"/>
        <v>3.0000000000001137E-3</v>
      </c>
      <c r="BD190" s="1513">
        <f t="shared" si="722"/>
        <v>4.8179999999931056E-3</v>
      </c>
      <c r="BE190" s="941">
        <f t="shared" si="717"/>
        <v>2.9431310000000508</v>
      </c>
      <c r="BF190" s="1830">
        <f t="shared" ref="BF190:BQ190" si="723">BF181-SUM(BF182:BF189)</f>
        <v>0.25656600000000651</v>
      </c>
      <c r="BG190" s="1831">
        <f t="shared" si="723"/>
        <v>0.24190900000000681</v>
      </c>
      <c r="BH190" s="1831">
        <f t="shared" si="723"/>
        <v>0.37027000000000498</v>
      </c>
      <c r="BI190" s="1831">
        <f t="shared" si="723"/>
        <v>0.43637699999999313</v>
      </c>
      <c r="BJ190" s="1831">
        <f t="shared" si="723"/>
        <v>0.22652900000001353</v>
      </c>
      <c r="BK190" s="1831">
        <f t="shared" si="723"/>
        <v>0.15511300000000006</v>
      </c>
      <c r="BL190" s="1831">
        <f t="shared" si="723"/>
        <v>0.20701000000001102</v>
      </c>
      <c r="BM190" s="1831">
        <f t="shared" si="723"/>
        <v>0.22594900000001417</v>
      </c>
      <c r="BN190" s="1831">
        <f t="shared" si="723"/>
        <v>0.20621599999999063</v>
      </c>
      <c r="BO190" s="1831">
        <f t="shared" si="723"/>
        <v>0.23883300000001384</v>
      </c>
      <c r="BP190" s="1831">
        <f t="shared" si="723"/>
        <v>0.19761299999999693</v>
      </c>
      <c r="BQ190" s="1832">
        <f t="shared" si="723"/>
        <v>0.18074599999999919</v>
      </c>
      <c r="BR190" s="941">
        <f t="shared" si="718"/>
        <v>79.291397999999958</v>
      </c>
      <c r="BS190" s="1830">
        <f t="shared" ref="BS190:CQ190" si="724">BS181-SUM(BS182:BS189)</f>
        <v>0.23531799999999237</v>
      </c>
      <c r="BT190" s="1831">
        <f t="shared" si="724"/>
        <v>0.26049999999997908</v>
      </c>
      <c r="BU190" s="1831">
        <f t="shared" si="724"/>
        <v>0.22642599999999646</v>
      </c>
      <c r="BV190" s="1831">
        <f t="shared" si="724"/>
        <v>0.21902000000000044</v>
      </c>
      <c r="BW190" s="1831">
        <f t="shared" si="724"/>
        <v>0.30983600000000422</v>
      </c>
      <c r="BX190" s="1831">
        <f t="shared" si="724"/>
        <v>0.81368199999998581</v>
      </c>
      <c r="BY190" s="1831">
        <f t="shared" si="724"/>
        <v>0.26458499999998253</v>
      </c>
      <c r="BZ190" s="1831">
        <f t="shared" si="724"/>
        <v>1.1689269999999823</v>
      </c>
      <c r="CA190" s="1831">
        <f t="shared" si="724"/>
        <v>70.282364000000015</v>
      </c>
      <c r="CB190" s="1831">
        <f t="shared" si="724"/>
        <v>3.5462630000000033</v>
      </c>
      <c r="CC190" s="1831">
        <f>CC181-SUM(CC182:CC189)</f>
        <v>0.94306600000001595</v>
      </c>
      <c r="CD190" s="1832">
        <f t="shared" si="724"/>
        <v>1.0214110000000005</v>
      </c>
      <c r="CE190" s="941">
        <f t="shared" si="719"/>
        <v>0</v>
      </c>
      <c r="CF190" s="2301">
        <f t="shared" si="724"/>
        <v>0</v>
      </c>
      <c r="CG190" s="888">
        <f t="shared" si="724"/>
        <v>0</v>
      </c>
      <c r="CH190" s="888">
        <f t="shared" si="724"/>
        <v>0</v>
      </c>
      <c r="CI190" s="888">
        <f t="shared" si="724"/>
        <v>0</v>
      </c>
      <c r="CJ190" s="888">
        <f t="shared" si="724"/>
        <v>0</v>
      </c>
      <c r="CK190" s="888">
        <f t="shared" si="724"/>
        <v>0</v>
      </c>
      <c r="CL190" s="888">
        <f t="shared" si="724"/>
        <v>0</v>
      </c>
      <c r="CM190" s="888">
        <f t="shared" si="724"/>
        <v>0</v>
      </c>
      <c r="CN190" s="888">
        <f t="shared" si="724"/>
        <v>0</v>
      </c>
      <c r="CO190" s="888">
        <f t="shared" si="724"/>
        <v>0</v>
      </c>
      <c r="CP190" s="888">
        <f t="shared" si="724"/>
        <v>0</v>
      </c>
      <c r="CQ190" s="1882">
        <f t="shared" si="724"/>
        <v>0</v>
      </c>
    </row>
    <row r="191" spans="2:95">
      <c r="Q191" s="25"/>
      <c r="AD191" s="25"/>
      <c r="AE191" s="308"/>
      <c r="AF191" s="750"/>
      <c r="AG191" s="489"/>
      <c r="AH191" s="489"/>
      <c r="AI191" s="489"/>
      <c r="AJ191" s="489"/>
      <c r="AK191" s="489"/>
      <c r="AL191" s="489"/>
      <c r="AM191" s="770"/>
      <c r="AN191" s="789"/>
      <c r="AO191" s="789"/>
      <c r="AP191" s="789"/>
      <c r="AQ191" s="789"/>
      <c r="AR191" s="308"/>
      <c r="AS191" s="750"/>
      <c r="AT191" s="489"/>
      <c r="AU191" s="489"/>
      <c r="AV191" s="489"/>
      <c r="AW191" s="489"/>
      <c r="AX191" s="489"/>
      <c r="AY191" s="489"/>
      <c r="AZ191" s="770"/>
      <c r="BA191" s="489"/>
      <c r="BB191" s="489"/>
      <c r="BC191" s="489"/>
      <c r="BD191" s="489"/>
      <c r="BE191" s="1420"/>
      <c r="BF191" s="423"/>
      <c r="BG191" s="423"/>
      <c r="BH191" s="423"/>
      <c r="BI191" s="423"/>
      <c r="BJ191" s="423"/>
      <c r="BK191" s="423"/>
      <c r="BL191" s="423"/>
      <c r="BM191" s="423"/>
      <c r="BN191" s="423"/>
      <c r="BO191" s="423"/>
      <c r="BP191" s="423"/>
      <c r="BR191" s="1420"/>
      <c r="BS191" s="423"/>
      <c r="BT191" s="423"/>
      <c r="BU191" s="423"/>
      <c r="BV191" s="746"/>
      <c r="BW191" s="746"/>
      <c r="BX191" s="423"/>
      <c r="BY191" s="423"/>
      <c r="BZ191" s="423"/>
      <c r="CA191" s="423"/>
      <c r="CB191" s="423"/>
      <c r="CC191" s="423"/>
      <c r="CE191" s="1420"/>
      <c r="CF191" s="423"/>
      <c r="CG191" s="423"/>
      <c r="CH191" s="423"/>
      <c r="CI191" s="746"/>
      <c r="CJ191" s="746"/>
      <c r="CK191" s="423"/>
      <c r="CL191" s="423"/>
      <c r="CM191" s="423"/>
      <c r="CN191" s="423"/>
      <c r="CO191" s="423"/>
      <c r="CP191" s="423"/>
    </row>
    <row r="192" spans="2:95"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S192" s="130"/>
      <c r="T192" s="130"/>
      <c r="U192" s="130"/>
      <c r="V192" s="130"/>
      <c r="W192" s="130"/>
      <c r="Y192" s="709"/>
      <c r="Z192" s="130"/>
      <c r="AA192" s="130"/>
      <c r="AB192" s="130"/>
      <c r="AC192" s="130"/>
      <c r="AD192" s="514"/>
      <c r="AE192" s="128"/>
      <c r="AF192" s="130"/>
      <c r="AG192" s="130"/>
      <c r="AH192" s="130"/>
      <c r="AI192" s="130"/>
      <c r="AJ192" s="130"/>
      <c r="AL192" s="709"/>
      <c r="AM192" s="130"/>
      <c r="AN192" s="130"/>
      <c r="AO192" s="130"/>
      <c r="AP192" s="130"/>
      <c r="AQ192" s="514"/>
      <c r="AR192" s="1156"/>
      <c r="AS192" s="130"/>
      <c r="AT192" s="130"/>
      <c r="AU192" s="130"/>
      <c r="AV192" s="130"/>
      <c r="AW192" s="130"/>
      <c r="AY192" s="709"/>
      <c r="AZ192" s="130"/>
      <c r="BA192" s="130"/>
      <c r="BB192" s="130"/>
      <c r="BC192" s="130"/>
      <c r="BD192" s="514"/>
      <c r="BE192" s="1156"/>
      <c r="BF192" s="746"/>
      <c r="BG192" s="746"/>
      <c r="BH192" s="746"/>
      <c r="BI192" s="746"/>
      <c r="BJ192" s="746"/>
      <c r="BK192" s="746"/>
      <c r="BL192" s="746"/>
      <c r="BM192" s="746"/>
      <c r="BN192" s="746"/>
      <c r="BO192" s="746"/>
      <c r="BP192" s="746"/>
      <c r="BQ192" s="746"/>
      <c r="BR192" s="1156"/>
      <c r="BS192" s="746"/>
      <c r="BT192" s="746"/>
      <c r="BU192" s="746"/>
      <c r="BV192" s="746"/>
      <c r="BW192" s="746"/>
      <c r="BX192" s="746"/>
      <c r="BY192" s="746"/>
      <c r="BZ192" s="746"/>
      <c r="CA192" s="746"/>
      <c r="CB192" s="746"/>
      <c r="CC192" s="746"/>
      <c r="CD192" s="746"/>
      <c r="CE192" s="1156"/>
      <c r="CF192" s="746"/>
      <c r="CG192" s="88"/>
      <c r="CH192" s="746"/>
      <c r="CI192" s="746"/>
      <c r="CJ192" s="746"/>
      <c r="CK192" s="746"/>
      <c r="CL192" s="746"/>
      <c r="CM192" s="746"/>
      <c r="CN192" s="746"/>
      <c r="CO192" s="746"/>
      <c r="CP192" s="746"/>
      <c r="CQ192" s="746"/>
    </row>
    <row r="193" spans="1:97" ht="21">
      <c r="B193" s="11" t="s">
        <v>251</v>
      </c>
      <c r="C193" s="12"/>
      <c r="D193" s="13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1669"/>
      <c r="S193" s="95"/>
      <c r="T193" s="95"/>
      <c r="U193" s="95"/>
      <c r="V193" s="95"/>
      <c r="W193" s="95"/>
      <c r="Y193" s="95"/>
      <c r="Z193" s="95"/>
      <c r="AA193" s="95"/>
      <c r="AB193" s="95"/>
      <c r="AC193" s="95"/>
      <c r="AD193" s="373"/>
      <c r="AE193" s="1669"/>
      <c r="AF193" s="95"/>
      <c r="AG193" s="95"/>
      <c r="AH193" s="95"/>
      <c r="AI193" s="95"/>
      <c r="AJ193" s="95"/>
      <c r="AL193" s="95"/>
      <c r="AM193" s="95"/>
      <c r="AN193" s="95"/>
      <c r="AO193" s="95"/>
      <c r="AP193" s="95"/>
      <c r="AQ193" s="373"/>
      <c r="AR193" s="1669"/>
      <c r="AS193" s="95"/>
      <c r="AT193" s="95"/>
      <c r="AU193" s="95"/>
      <c r="AV193" s="95"/>
      <c r="AW193" s="95"/>
      <c r="AY193" s="95"/>
      <c r="AZ193" s="95"/>
      <c r="BA193" s="95"/>
      <c r="BB193" s="95"/>
      <c r="BC193" s="95"/>
      <c r="BD193" s="373"/>
      <c r="BE193" s="1763"/>
      <c r="BF193" s="652"/>
      <c r="BG193" s="373"/>
      <c r="BH193" s="373"/>
      <c r="BI193" s="373"/>
      <c r="BJ193" s="373"/>
      <c r="BK193" s="423"/>
      <c r="BL193" s="373"/>
      <c r="BM193" s="373"/>
      <c r="BN193" s="373"/>
      <c r="BO193" s="373"/>
      <c r="BP193" s="373"/>
      <c r="BQ193" s="373"/>
      <c r="BR193" s="1763"/>
      <c r="BS193" s="652"/>
      <c r="BT193" s="373"/>
      <c r="BU193" s="373"/>
      <c r="BV193" s="373"/>
      <c r="BW193" s="373"/>
      <c r="BX193" s="423"/>
      <c r="BY193" s="373"/>
      <c r="BZ193" s="373"/>
      <c r="CA193" s="373"/>
      <c r="CB193" s="373"/>
      <c r="CC193" s="373"/>
      <c r="CD193" s="373"/>
      <c r="CE193" s="373"/>
      <c r="CF193" s="652"/>
      <c r="CG193" s="373"/>
      <c r="CH193" s="373"/>
      <c r="CI193" s="373"/>
      <c r="CJ193" s="373"/>
      <c r="CK193" s="423"/>
      <c r="CL193" s="373"/>
      <c r="CM193" s="373"/>
      <c r="CN193" s="373"/>
      <c r="CO193" s="373"/>
      <c r="CP193" s="373"/>
      <c r="CQ193" s="373"/>
    </row>
    <row r="194" spans="1:97" ht="20.25" hidden="1" customHeight="1">
      <c r="B194" s="139"/>
      <c r="C194" s="140"/>
      <c r="D194" s="104" t="s">
        <v>191</v>
      </c>
      <c r="E194" s="97" t="e">
        <f>AVERAGE(#REF!)</f>
        <v>#REF!</v>
      </c>
      <c r="F194" s="107">
        <v>86690.333333333328</v>
      </c>
      <c r="G194" s="98">
        <v>86690.333333333328</v>
      </c>
      <c r="H194" s="98">
        <v>86690.333333333328</v>
      </c>
      <c r="I194" s="98">
        <v>86690.333333333328</v>
      </c>
      <c r="J194" s="98">
        <v>86690.333333333328</v>
      </c>
      <c r="K194" s="98">
        <v>86690.333333333328</v>
      </c>
      <c r="L194" s="98">
        <v>86690.333333333328</v>
      </c>
      <c r="M194" s="98">
        <v>86690.333333333328</v>
      </c>
      <c r="N194" s="98">
        <v>86690.333333333328</v>
      </c>
      <c r="O194" s="98">
        <v>86690.333333333328</v>
      </c>
      <c r="P194" s="98">
        <v>86690.333333333328</v>
      </c>
      <c r="Q194" s="112">
        <v>86690.333333333328</v>
      </c>
      <c r="R194" s="97">
        <f>AVERAGE(F194:N194)</f>
        <v>86690.333333333328</v>
      </c>
      <c r="S194" s="107">
        <f>R194</f>
        <v>86690.333333333328</v>
      </c>
      <c r="T194" s="98">
        <f>S194</f>
        <v>86690.333333333328</v>
      </c>
      <c r="U194" s="98">
        <f t="shared" ref="U194:AD194" si="725">T194</f>
        <v>86690.333333333328</v>
      </c>
      <c r="V194" s="98">
        <f t="shared" si="725"/>
        <v>86690.333333333328</v>
      </c>
      <c r="W194" s="98">
        <f t="shared" si="725"/>
        <v>86690.333333333328</v>
      </c>
      <c r="X194" s="98">
        <f t="shared" si="725"/>
        <v>86690.333333333328</v>
      </c>
      <c r="Y194" s="98">
        <f t="shared" si="725"/>
        <v>86690.333333333328</v>
      </c>
      <c r="Z194" s="98">
        <f t="shared" si="725"/>
        <v>86690.333333333328</v>
      </c>
      <c r="AA194" s="98">
        <f t="shared" si="725"/>
        <v>86690.333333333328</v>
      </c>
      <c r="AB194" s="98">
        <f t="shared" si="725"/>
        <v>86690.333333333328</v>
      </c>
      <c r="AC194" s="98">
        <f t="shared" si="725"/>
        <v>86690.333333333328</v>
      </c>
      <c r="AD194" s="112">
        <f t="shared" si="725"/>
        <v>86690.333333333328</v>
      </c>
      <c r="AE194" s="97">
        <f>AVERAGE(S194:AA194)</f>
        <v>86690.333333333328</v>
      </c>
      <c r="AF194" s="107">
        <f>AE194</f>
        <v>86690.333333333328</v>
      </c>
      <c r="AG194" s="98">
        <f>AF194</f>
        <v>86690.333333333328</v>
      </c>
      <c r="AH194" s="98">
        <f t="shared" ref="AH194" si="726">AG194</f>
        <v>86690.333333333328</v>
      </c>
      <c r="AI194" s="98">
        <f t="shared" ref="AI194" si="727">AH194</f>
        <v>86690.333333333328</v>
      </c>
      <c r="AJ194" s="98">
        <f t="shared" ref="AJ194" si="728">AI194</f>
        <v>86690.333333333328</v>
      </c>
      <c r="AK194" s="98">
        <f t="shared" ref="AK194" si="729">AJ194</f>
        <v>86690.333333333328</v>
      </c>
      <c r="AL194" s="98">
        <f t="shared" ref="AL194" si="730">AK194</f>
        <v>86690.333333333328</v>
      </c>
      <c r="AM194" s="98">
        <f t="shared" ref="AM194" si="731">AL194</f>
        <v>86690.333333333328</v>
      </c>
      <c r="AN194" s="98">
        <f t="shared" ref="AN194" si="732">AM194</f>
        <v>86690.333333333328</v>
      </c>
      <c r="AO194" s="98">
        <f t="shared" ref="AO194" si="733">AN194</f>
        <v>86690.333333333328</v>
      </c>
      <c r="AP194" s="98">
        <f t="shared" ref="AP194" si="734">AO194</f>
        <v>86690.333333333328</v>
      </c>
      <c r="AQ194" s="112">
        <f t="shared" ref="AQ194" si="735">AP194</f>
        <v>86690.333333333328</v>
      </c>
      <c r="AR194" s="97">
        <f>AVERAGE(AF194:AN194)</f>
        <v>86690.333333333328</v>
      </c>
      <c r="AS194" s="107">
        <f>AR194</f>
        <v>86690.333333333328</v>
      </c>
      <c r="AT194" s="98">
        <f>AS194</f>
        <v>86690.333333333328</v>
      </c>
      <c r="AU194" s="98">
        <f t="shared" ref="AU194" si="736">AT194</f>
        <v>86690.333333333328</v>
      </c>
      <c r="AV194" s="98">
        <f t="shared" ref="AV194" si="737">AU194</f>
        <v>86690.333333333328</v>
      </c>
      <c r="AW194" s="98">
        <f t="shared" ref="AW194" si="738">AV194</f>
        <v>86690.333333333328</v>
      </c>
      <c r="AX194" s="98">
        <f t="shared" ref="AX194" si="739">AW194</f>
        <v>86690.333333333328</v>
      </c>
      <c r="AY194" s="98">
        <f t="shared" ref="AY194" si="740">AX194</f>
        <v>86690.333333333328</v>
      </c>
      <c r="AZ194" s="98">
        <f t="shared" ref="AZ194" si="741">AY194</f>
        <v>86690.333333333328</v>
      </c>
      <c r="BA194" s="98">
        <f t="shared" ref="BA194" si="742">AZ194</f>
        <v>86690.333333333328</v>
      </c>
      <c r="BB194" s="98">
        <f t="shared" ref="BB194" si="743">BA194</f>
        <v>86690.333333333328</v>
      </c>
      <c r="BC194" s="98">
        <f t="shared" ref="BC194" si="744">BB194</f>
        <v>86690.333333333328</v>
      </c>
      <c r="BD194" s="112">
        <f t="shared" ref="BD194" si="745">BC194</f>
        <v>86690.333333333328</v>
      </c>
      <c r="BE194" s="97">
        <f>AVERAGE(AS194:BA194)</f>
        <v>86690.333333333328</v>
      </c>
      <c r="BF194" s="107">
        <f>BE194</f>
        <v>86690.333333333328</v>
      </c>
      <c r="BG194" s="98">
        <f>BF194</f>
        <v>86690.333333333328</v>
      </c>
      <c r="BH194" s="98">
        <f t="shared" ref="BH194" si="746">BG194</f>
        <v>86690.333333333328</v>
      </c>
      <c r="BI194" s="98">
        <f t="shared" ref="BI194" si="747">BH194</f>
        <v>86690.333333333328</v>
      </c>
      <c r="BJ194" s="98">
        <f t="shared" ref="BJ194" si="748">BI194</f>
        <v>86690.333333333328</v>
      </c>
      <c r="BK194" s="98">
        <f t="shared" ref="BK194" si="749">BJ194</f>
        <v>86690.333333333328</v>
      </c>
      <c r="BL194" s="98">
        <f t="shared" ref="BL194" si="750">BK194</f>
        <v>86690.333333333328</v>
      </c>
      <c r="BM194" s="98">
        <f t="shared" ref="BM194" si="751">BL194</f>
        <v>86690.333333333328</v>
      </c>
      <c r="BN194" s="98">
        <f t="shared" ref="BN194" si="752">BM194</f>
        <v>86690.333333333328</v>
      </c>
      <c r="BO194" s="98">
        <f t="shared" ref="BO194" si="753">BN194</f>
        <v>86690.333333333328</v>
      </c>
      <c r="BP194" s="98">
        <f t="shared" ref="BP194" si="754">BO194</f>
        <v>86690.333333333328</v>
      </c>
      <c r="BQ194" s="112">
        <f t="shared" ref="BQ194" si="755">BP194</f>
        <v>86690.333333333328</v>
      </c>
      <c r="BR194" s="97">
        <f>AVERAGE(BF194:BN194)</f>
        <v>86690.333333333328</v>
      </c>
      <c r="BS194" s="107">
        <f>BR194</f>
        <v>86690.333333333328</v>
      </c>
      <c r="BT194" s="98">
        <f>BS194</f>
        <v>86690.333333333328</v>
      </c>
      <c r="BU194" s="98">
        <f t="shared" ref="BU194" si="756">BT194</f>
        <v>86690.333333333328</v>
      </c>
      <c r="BV194" s="98">
        <f t="shared" ref="BV194" si="757">BU194</f>
        <v>86690.333333333328</v>
      </c>
      <c r="BW194" s="98">
        <f t="shared" ref="BW194" si="758">BV194</f>
        <v>86690.333333333328</v>
      </c>
      <c r="BX194" s="98">
        <f t="shared" ref="BX194" si="759">BW194</f>
        <v>86690.333333333328</v>
      </c>
      <c r="BY194" s="98">
        <f t="shared" ref="BY194" si="760">BX194</f>
        <v>86690.333333333328</v>
      </c>
      <c r="BZ194" s="98">
        <f t="shared" ref="BZ194" si="761">BY194</f>
        <v>86690.333333333328</v>
      </c>
      <c r="CA194" s="98">
        <f t="shared" ref="CA194" si="762">BZ194</f>
        <v>86690.333333333328</v>
      </c>
      <c r="CB194" s="98">
        <f t="shared" ref="CB194" si="763">CA194</f>
        <v>86690.333333333328</v>
      </c>
      <c r="CC194" s="98">
        <f t="shared" ref="CC194" si="764">CB194</f>
        <v>86690.333333333328</v>
      </c>
      <c r="CD194" s="112">
        <f t="shared" ref="CD194" si="765">CC194</f>
        <v>86690.333333333328</v>
      </c>
      <c r="CE194" s="97">
        <f>AVERAGE(BS194:CA194)</f>
        <v>86690.333333333328</v>
      </c>
      <c r="CF194" s="107">
        <f>CE194</f>
        <v>86690.333333333328</v>
      </c>
      <c r="CG194" s="98">
        <f>CF194</f>
        <v>86690.333333333328</v>
      </c>
      <c r="CH194" s="98">
        <f t="shared" ref="CH194" si="766">CG194</f>
        <v>86690.333333333328</v>
      </c>
      <c r="CI194" s="98">
        <f t="shared" ref="CI194" si="767">CH194</f>
        <v>86690.333333333328</v>
      </c>
      <c r="CJ194" s="98">
        <f t="shared" ref="CJ194" si="768">CI194</f>
        <v>86690.333333333328</v>
      </c>
      <c r="CK194" s="98">
        <f t="shared" ref="CK194" si="769">CJ194</f>
        <v>86690.333333333328</v>
      </c>
      <c r="CL194" s="98">
        <f t="shared" ref="CL194" si="770">CK194</f>
        <v>86690.333333333328</v>
      </c>
      <c r="CM194" s="98">
        <f t="shared" ref="CM194" si="771">CL194</f>
        <v>86690.333333333328</v>
      </c>
      <c r="CN194" s="98">
        <f t="shared" ref="CN194" si="772">CM194</f>
        <v>86690.333333333328</v>
      </c>
      <c r="CO194" s="98">
        <f t="shared" ref="CO194" si="773">CN194</f>
        <v>86690.333333333328</v>
      </c>
      <c r="CP194" s="98">
        <f t="shared" ref="CP194" si="774">CO194</f>
        <v>86690.333333333328</v>
      </c>
      <c r="CQ194" s="112">
        <f t="shared" ref="CQ194" si="775">CP194</f>
        <v>86690.333333333328</v>
      </c>
    </row>
    <row r="195" spans="1:97" ht="16.5" hidden="1" customHeight="1">
      <c r="B195" s="141"/>
      <c r="C195" s="142"/>
      <c r="D195" s="230" t="s">
        <v>124</v>
      </c>
      <c r="E195" s="233">
        <f>AVERAGE(F195:Q195)</f>
        <v>464634.34958530561</v>
      </c>
      <c r="F195" s="231">
        <v>490395.85166358418</v>
      </c>
      <c r="G195" s="232">
        <v>502468.21194596862</v>
      </c>
      <c r="H195" s="232">
        <v>481093.03731288767</v>
      </c>
      <c r="I195" s="232">
        <v>417677.59424541763</v>
      </c>
      <c r="J195" s="232">
        <v>434608.30201368092</v>
      </c>
      <c r="K195" s="232">
        <v>358893.95270137774</v>
      </c>
      <c r="L195" s="232">
        <v>344270.25266177318</v>
      </c>
      <c r="M195" s="232">
        <v>590512.14446439629</v>
      </c>
      <c r="N195" s="232">
        <v>434910.53516924224</v>
      </c>
      <c r="O195" s="232">
        <v>481721.18845622928</v>
      </c>
      <c r="P195" s="232">
        <v>552515.54067543102</v>
      </c>
      <c r="Q195" s="234">
        <v>486545.58371367824</v>
      </c>
      <c r="R195" s="233">
        <f>AVERAGE(S195:AD195)</f>
        <v>488013.42967305082</v>
      </c>
      <c r="S195" s="231">
        <f>S196*1000000/S194</f>
        <v>492907.03737056424</v>
      </c>
      <c r="T195" s="232">
        <f t="shared" ref="T195:AD195" si="776">T196*1000000/T194</f>
        <v>415214.18794867559</v>
      </c>
      <c r="U195" s="232">
        <f t="shared" si="776"/>
        <v>430418.42644124106</v>
      </c>
      <c r="V195" s="232">
        <f t="shared" si="776"/>
        <v>452828.00686735549</v>
      </c>
      <c r="W195" s="232">
        <f t="shared" si="776"/>
        <v>403936.85602008685</v>
      </c>
      <c r="X195" s="232">
        <f t="shared" si="776"/>
        <v>410474.66890195373</v>
      </c>
      <c r="Y195" s="232">
        <f t="shared" si="776"/>
        <v>377423.26554671611</v>
      </c>
      <c r="Z195" s="232">
        <f t="shared" si="776"/>
        <v>615907.88288582733</v>
      </c>
      <c r="AA195" s="232">
        <f t="shared" si="776"/>
        <v>562278.65564403567</v>
      </c>
      <c r="AB195" s="232">
        <f t="shared" si="776"/>
        <v>714346.41397541447</v>
      </c>
      <c r="AC195" s="232">
        <f t="shared" si="776"/>
        <v>551842.2681921476</v>
      </c>
      <c r="AD195" s="234">
        <f t="shared" si="776"/>
        <v>428583.48628259206</v>
      </c>
      <c r="AE195" s="233">
        <f>AVERAGE(AF195:AQ195)</f>
        <v>478429.66271229781</v>
      </c>
      <c r="AF195" s="231">
        <f>AF196*1000000/AF194</f>
        <v>362300.71090202295</v>
      </c>
      <c r="AG195" s="232">
        <f t="shared" ref="AG195:AQ195" si="777">AG196*1000000/AG194</f>
        <v>588888.97533365886</v>
      </c>
      <c r="AH195" s="232">
        <f t="shared" si="777"/>
        <v>419528.2138223793</v>
      </c>
      <c r="AI195" s="232">
        <f t="shared" si="777"/>
        <v>389517.35842519929</v>
      </c>
      <c r="AJ195" s="232">
        <f t="shared" si="777"/>
        <v>423453.93779775524</v>
      </c>
      <c r="AK195" s="232">
        <f t="shared" si="777"/>
        <v>459708.75297899422</v>
      </c>
      <c r="AL195" s="232">
        <f t="shared" si="777"/>
        <v>337615.36770727998</v>
      </c>
      <c r="AM195" s="232">
        <f t="shared" si="777"/>
        <v>628302.19432385778</v>
      </c>
      <c r="AN195" s="232">
        <f t="shared" si="777"/>
        <v>395080.14497194992</v>
      </c>
      <c r="AO195" s="232">
        <f t="shared" si="777"/>
        <v>888055.69131890917</v>
      </c>
      <c r="AP195" s="232">
        <f t="shared" si="777"/>
        <v>478416.51731258008</v>
      </c>
      <c r="AQ195" s="234">
        <f t="shared" si="777"/>
        <v>370288.0876529871</v>
      </c>
      <c r="AR195" s="233">
        <f>AVERAGE(AS195:BD195)</f>
        <v>435259.74675473245</v>
      </c>
      <c r="AS195" s="231">
        <f>AS196*1000000/AS194</f>
        <v>376275.9696121444</v>
      </c>
      <c r="AT195" s="232">
        <f t="shared" ref="AT195:BD195" si="778">AT196*1000000/AT194</f>
        <v>607434.1957311657</v>
      </c>
      <c r="AU195" s="232">
        <f t="shared" si="778"/>
        <v>394321.42296142207</v>
      </c>
      <c r="AV195" s="232">
        <f t="shared" si="778"/>
        <v>339794.26736929535</v>
      </c>
      <c r="AW195" s="232">
        <f t="shared" si="778"/>
        <v>359990.89560543082</v>
      </c>
      <c r="AX195" s="232">
        <f t="shared" si="778"/>
        <v>285236.90507592162</v>
      </c>
      <c r="AY195" s="232">
        <f t="shared" si="778"/>
        <v>255543.14242649125</v>
      </c>
      <c r="AZ195" s="232">
        <f t="shared" si="778"/>
        <v>664431.22395807307</v>
      </c>
      <c r="BA195" s="232">
        <f t="shared" si="778"/>
        <v>315832.38632527273</v>
      </c>
      <c r="BB195" s="232">
        <f t="shared" si="778"/>
        <v>895522.94217732851</v>
      </c>
      <c r="BC195" s="232">
        <f t="shared" si="778"/>
        <v>396950.44762007298</v>
      </c>
      <c r="BD195" s="234">
        <f t="shared" si="778"/>
        <v>331783.16219417006</v>
      </c>
      <c r="BE195" s="233">
        <f>AVERAGE(BF195:BQ195)</f>
        <v>524136.7280800243</v>
      </c>
      <c r="BF195" s="231">
        <f>BF196*1000000/BF194</f>
        <v>1084393.3578791947</v>
      </c>
      <c r="BG195" s="232">
        <f t="shared" ref="BG195:BQ195" si="779">BG196*1000000/BG194</f>
        <v>493196.32574950688</v>
      </c>
      <c r="BH195" s="232">
        <f t="shared" si="779"/>
        <v>423412.08832203515</v>
      </c>
      <c r="BI195" s="232">
        <f t="shared" si="779"/>
        <v>332088.95003672078</v>
      </c>
      <c r="BJ195" s="232">
        <f t="shared" si="779"/>
        <v>274540.55381799588</v>
      </c>
      <c r="BK195" s="232">
        <f t="shared" si="779"/>
        <v>497557.18585309398</v>
      </c>
      <c r="BL195" s="232">
        <f t="shared" si="779"/>
        <v>568272.32321942854</v>
      </c>
      <c r="BM195" s="232">
        <f t="shared" si="779"/>
        <v>416686.70603796659</v>
      </c>
      <c r="BN195" s="232">
        <f t="shared" si="779"/>
        <v>770226.24798612692</v>
      </c>
      <c r="BO195" s="232">
        <f t="shared" si="779"/>
        <v>763962.16325926373</v>
      </c>
      <c r="BP195" s="232">
        <f t="shared" si="779"/>
        <v>329821.42250000965</v>
      </c>
      <c r="BQ195" s="234">
        <f t="shared" si="779"/>
        <v>335483.41229894914</v>
      </c>
      <c r="BR195" s="233">
        <f>AVERAGE(BS195:CD195)</f>
        <v>449584.98584425024</v>
      </c>
      <c r="BS195" s="231">
        <f>BS196*1000000/BS194</f>
        <v>435437.70874491968</v>
      </c>
      <c r="BT195" s="232">
        <f t="shared" ref="BT195:CD195" si="780">BT196*1000000/BT194</f>
        <v>850381.20531316451</v>
      </c>
      <c r="BU195" s="232">
        <f t="shared" si="780"/>
        <v>425072.47777337732</v>
      </c>
      <c r="BV195" s="232">
        <f t="shared" si="780"/>
        <v>280836.46216225572</v>
      </c>
      <c r="BW195" s="232">
        <f t="shared" si="780"/>
        <v>331104.29335450707</v>
      </c>
      <c r="BX195" s="232">
        <f t="shared" si="780"/>
        <v>368616.03905856481</v>
      </c>
      <c r="BY195" s="232">
        <f t="shared" si="780"/>
        <v>569170.36536561174</v>
      </c>
      <c r="BZ195" s="232">
        <f t="shared" si="780"/>
        <v>361262.49651825847</v>
      </c>
      <c r="CA195" s="232">
        <f t="shared" si="780"/>
        <v>705791.43516193656</v>
      </c>
      <c r="CB195" s="232">
        <f t="shared" si="780"/>
        <v>421871.97262670583</v>
      </c>
      <c r="CC195" s="232">
        <f t="shared" si="780"/>
        <v>388419.51107197657</v>
      </c>
      <c r="CD195" s="234">
        <f t="shared" si="780"/>
        <v>257055.86297972477</v>
      </c>
      <c r="CE195" s="233">
        <f>AVERAGE(CF195:CQ195)</f>
        <v>456163.89191990072</v>
      </c>
      <c r="CF195" s="231">
        <f>CF196*1000000/CF194</f>
        <v>379506.91008189798</v>
      </c>
      <c r="CG195" s="232">
        <f t="shared" ref="CG195:CQ195" si="781">CG196*1000000/CG194</f>
        <v>330512.3246793123</v>
      </c>
      <c r="CH195" s="232">
        <f t="shared" si="781"/>
        <v>732035.85163299821</v>
      </c>
      <c r="CI195" s="232">
        <f t="shared" si="781"/>
        <v>411819.94337860058</v>
      </c>
      <c r="CJ195" s="232">
        <f t="shared" si="781"/>
        <v>393847.03357018996</v>
      </c>
      <c r="CK195" s="232">
        <f t="shared" si="781"/>
        <v>353301.94060906628</v>
      </c>
      <c r="CL195" s="232">
        <f t="shared" si="781"/>
        <v>550827.24449635821</v>
      </c>
      <c r="CM195" s="232">
        <f t="shared" si="781"/>
        <v>418705.62980197562</v>
      </c>
      <c r="CN195" s="232">
        <f t="shared" si="781"/>
        <v>700840.41421825765</v>
      </c>
      <c r="CO195" s="232">
        <f t="shared" si="781"/>
        <v>439236.72708230611</v>
      </c>
      <c r="CP195" s="232">
        <f t="shared" si="781"/>
        <v>382471.92796927266</v>
      </c>
      <c r="CQ195" s="234">
        <f t="shared" si="781"/>
        <v>380860.75551857409</v>
      </c>
    </row>
    <row r="196" spans="1:97" ht="16.5" customHeight="1">
      <c r="B196" s="3311" t="s">
        <v>253</v>
      </c>
      <c r="C196" s="3312"/>
      <c r="D196" s="228" t="s">
        <v>14</v>
      </c>
      <c r="E196" s="377">
        <f t="shared" ref="E196:E202" si="782">SUM(F196:Q196)</f>
        <v>483351.67972400005</v>
      </c>
      <c r="F196" s="395">
        <v>42512.579846000001</v>
      </c>
      <c r="G196" s="395">
        <v>43559.136783000002</v>
      </c>
      <c r="H196" s="395">
        <v>41706.115768999996</v>
      </c>
      <c r="I196" s="321">
        <v>36208.609871000001</v>
      </c>
      <c r="J196" s="321">
        <v>37676.338571</v>
      </c>
      <c r="K196" s="321">
        <v>31112.636391</v>
      </c>
      <c r="L196" s="321">
        <v>29844.902959999999</v>
      </c>
      <c r="M196" s="321">
        <v>51191.694641000002</v>
      </c>
      <c r="N196" s="321">
        <v>37702.539263999999</v>
      </c>
      <c r="O196" s="321">
        <v>41760.570400999997</v>
      </c>
      <c r="P196" s="321">
        <v>47897.756393000003</v>
      </c>
      <c r="Q196" s="321">
        <v>42178.798834000001</v>
      </c>
      <c r="R196" s="377">
        <v>493474.5626740001</v>
      </c>
      <c r="S196" s="235">
        <v>42730.275371999996</v>
      </c>
      <c r="T196" s="235">
        <v>35995.056358000002</v>
      </c>
      <c r="U196" s="235">
        <v>37313.116861000002</v>
      </c>
      <c r="V196" s="235">
        <v>39255.810857999997</v>
      </c>
      <c r="W196" s="235">
        <v>35017.420694</v>
      </c>
      <c r="X196" s="235">
        <v>35584.185872000002</v>
      </c>
      <c r="Y196" s="235">
        <v>32718.948698</v>
      </c>
      <c r="Z196" s="235">
        <v>53393.259669999999</v>
      </c>
      <c r="AA196" s="235">
        <f>48744.124084</f>
        <v>48744.124084000003</v>
      </c>
      <c r="AB196" s="235">
        <v>61926.928742999997</v>
      </c>
      <c r="AC196" s="235">
        <v>47839.390177000001</v>
      </c>
      <c r="AD196" s="235">
        <v>37154.045287000001</v>
      </c>
      <c r="AE196" s="377">
        <v>482036.89269499999</v>
      </c>
      <c r="AF196" s="235">
        <v>31407.969395</v>
      </c>
      <c r="AG196" s="235">
        <v>51050.981568000003</v>
      </c>
      <c r="AH196" s="235">
        <v>36369.040698999997</v>
      </c>
      <c r="AI196" s="235">
        <v>33767.389641000002</v>
      </c>
      <c r="AJ196" s="235">
        <v>36709.363018999997</v>
      </c>
      <c r="AK196" s="235">
        <v>39852.305031999997</v>
      </c>
      <c r="AL196" s="235">
        <v>29267.988764999998</v>
      </c>
      <c r="AM196" s="235">
        <v>54467.72666</v>
      </c>
      <c r="AN196" s="235">
        <v>34249.629460999997</v>
      </c>
      <c r="AO196" s="235">
        <v>76985.843899</v>
      </c>
      <c r="AP196" s="235">
        <v>41474.087357999997</v>
      </c>
      <c r="AQ196" s="235">
        <v>32100.397747999999</v>
      </c>
      <c r="AR196" s="377">
        <f t="shared" ref="AR196:AR202" si="783">SUM(AS196:BD196)</f>
        <v>452793.75039300002</v>
      </c>
      <c r="AS196" s="927">
        <v>32619.489231</v>
      </c>
      <c r="AT196" s="211">
        <v>52658.672906</v>
      </c>
      <c r="AU196" s="211">
        <v>34183.855597000002</v>
      </c>
      <c r="AV196" s="211">
        <v>29456.878303000001</v>
      </c>
      <c r="AW196" s="211">
        <v>31207.730737000002</v>
      </c>
      <c r="AX196" s="211">
        <v>24727.282380000001</v>
      </c>
      <c r="AY196" s="211">
        <v>22153.120198000001</v>
      </c>
      <c r="AZ196" s="211">
        <v>57599.764281999996</v>
      </c>
      <c r="BA196" s="211">
        <v>27379.614848000001</v>
      </c>
      <c r="BB196" s="211">
        <v>77633.182365000001</v>
      </c>
      <c r="BC196" s="211">
        <v>34411.766621000002</v>
      </c>
      <c r="BD196" s="925">
        <v>28762.392925</v>
      </c>
      <c r="BE196" s="377">
        <f t="shared" ref="BE196:BE202" si="784">SUM(BF196:BQ196)</f>
        <v>545251.05203400005</v>
      </c>
      <c r="BF196" s="927">
        <v>94006.421659</v>
      </c>
      <c r="BG196" s="211">
        <v>42755.353878000002</v>
      </c>
      <c r="BH196" s="211">
        <v>36705.735073999997</v>
      </c>
      <c r="BI196" s="211">
        <v>28788.901774999998</v>
      </c>
      <c r="BJ196" s="211">
        <v>23800.012124000001</v>
      </c>
      <c r="BK196" s="211">
        <v>43133.398293999999</v>
      </c>
      <c r="BL196" s="211">
        <v>49263.717124000003</v>
      </c>
      <c r="BM196" s="211">
        <v>36122.709441999999</v>
      </c>
      <c r="BN196" s="211">
        <v>66771.170180000001</v>
      </c>
      <c r="BO196" s="211">
        <v>66228.134586999993</v>
      </c>
      <c r="BP196" s="211">
        <v>28592.329056999999</v>
      </c>
      <c r="BQ196" s="235">
        <v>29083.168839999998</v>
      </c>
      <c r="BR196" s="377">
        <f t="shared" ref="BR196:BR206" si="785">SUM(BS196:CD196)</f>
        <v>467696.06741399999</v>
      </c>
      <c r="BS196" s="976">
        <v>37748.240117000001</v>
      </c>
      <c r="BT196" s="977">
        <v>73719.830149000001</v>
      </c>
      <c r="BU196" s="977">
        <v>36849.674788999997</v>
      </c>
      <c r="BV196" s="977">
        <v>24345.806517000001</v>
      </c>
      <c r="BW196" s="977">
        <v>28703.541559000001</v>
      </c>
      <c r="BX196" s="977">
        <v>31955.447297999999</v>
      </c>
      <c r="BY196" s="977">
        <v>49341.568697000002</v>
      </c>
      <c r="BZ196" s="977">
        <v>31317.966243999999</v>
      </c>
      <c r="CA196" s="977">
        <v>61185.294778000003</v>
      </c>
      <c r="CB196" s="977">
        <v>36572.221931</v>
      </c>
      <c r="CC196" s="977">
        <v>33672.216888000003</v>
      </c>
      <c r="CD196" s="1767">
        <v>22284.258447</v>
      </c>
      <c r="CE196" s="377">
        <f t="shared" ref="CE196:CE206" si="786">SUM(CF196:CQ196)</f>
        <v>474539.99814200215</v>
      </c>
      <c r="CF196" s="976">
        <f t="shared" ref="CF196:CQ196" si="787">SUM(CF197:CF206)</f>
        <v>32899.580537303096</v>
      </c>
      <c r="CG196" s="977">
        <f t="shared" si="787"/>
        <v>28652.223597224474</v>
      </c>
      <c r="CH196" s="977">
        <f t="shared" si="787"/>
        <v>63460.431990015153</v>
      </c>
      <c r="CI196" s="977">
        <f t="shared" si="787"/>
        <v>35700.808164805341</v>
      </c>
      <c r="CJ196" s="977">
        <f t="shared" si="787"/>
        <v>34142.730622544288</v>
      </c>
      <c r="CK196" s="977">
        <f t="shared" si="787"/>
        <v>30627.862998713488</v>
      </c>
      <c r="CL196" s="977">
        <f t="shared" si="787"/>
        <v>47751.397434470789</v>
      </c>
      <c r="CM196" s="977">
        <f t="shared" si="787"/>
        <v>36297.730616076529</v>
      </c>
      <c r="CN196" s="977">
        <f t="shared" si="787"/>
        <v>60756.089122052159</v>
      </c>
      <c r="CO196" s="977">
        <f t="shared" si="787"/>
        <v>38077.578283007475</v>
      </c>
      <c r="CP196" s="977">
        <f t="shared" si="787"/>
        <v>33156.618926298899</v>
      </c>
      <c r="CQ196" s="1767">
        <f t="shared" si="787"/>
        <v>33016.945849490359</v>
      </c>
      <c r="CS196" s="1169"/>
    </row>
    <row r="197" spans="1:97">
      <c r="B197" s="3313"/>
      <c r="C197" s="3314"/>
      <c r="D197" s="101" t="s">
        <v>15</v>
      </c>
      <c r="E197" s="378">
        <f t="shared" si="782"/>
        <v>210636.98461291342</v>
      </c>
      <c r="F197" s="460">
        <v>19433.657363999999</v>
      </c>
      <c r="G197" s="460">
        <v>19655.415148</v>
      </c>
      <c r="H197" s="335">
        <v>19113.186136</v>
      </c>
      <c r="I197" s="335">
        <v>14301.759760374396</v>
      </c>
      <c r="J197" s="335">
        <v>16153.838584740162</v>
      </c>
      <c r="K197" s="335">
        <v>14764.901444472358</v>
      </c>
      <c r="L197" s="335">
        <v>13011.374675999999</v>
      </c>
      <c r="M197" s="335">
        <v>24296.660800000001</v>
      </c>
      <c r="N197" s="335">
        <v>16420.300275326485</v>
      </c>
      <c r="O197" s="335">
        <v>16585.915120000001</v>
      </c>
      <c r="P197" s="335">
        <v>18730.398174999998</v>
      </c>
      <c r="Q197" s="335">
        <v>18169.577129000001</v>
      </c>
      <c r="R197" s="378">
        <f t="shared" ref="R197:R202" si="788">SUM(S197:AD197)</f>
        <v>207829.649932</v>
      </c>
      <c r="S197" s="460">
        <v>19338.418393</v>
      </c>
      <c r="T197" s="460">
        <v>17164.825502</v>
      </c>
      <c r="U197" s="460">
        <v>16839.838521000001</v>
      </c>
      <c r="V197" s="460">
        <v>15736.289468999999</v>
      </c>
      <c r="W197" s="460">
        <v>14436.258922999999</v>
      </c>
      <c r="X197" s="460">
        <v>15707.349606</v>
      </c>
      <c r="Y197" s="460">
        <v>14315.196043</v>
      </c>
      <c r="Z197" s="460">
        <v>22501.121294</v>
      </c>
      <c r="AA197" s="460">
        <v>18233.297925999999</v>
      </c>
      <c r="AB197" s="460">
        <v>22343.879884000002</v>
      </c>
      <c r="AC197" s="460">
        <v>17256.690402</v>
      </c>
      <c r="AD197" s="460">
        <v>13956.483969000001</v>
      </c>
      <c r="AE197" s="378">
        <f t="shared" ref="AE197:AE202" si="789">SUM(AF197:AQ197)</f>
        <v>203541.26156700001</v>
      </c>
      <c r="AF197" s="460">
        <v>13124.198659</v>
      </c>
      <c r="AG197" s="460">
        <v>21780.574163000001</v>
      </c>
      <c r="AH197" s="460">
        <v>15745.325423</v>
      </c>
      <c r="AI197" s="460">
        <v>15586.235784</v>
      </c>
      <c r="AJ197" s="460">
        <v>16440.010518999999</v>
      </c>
      <c r="AK197" s="460">
        <v>15452.386324999999</v>
      </c>
      <c r="AL197" s="460">
        <v>14062.010358</v>
      </c>
      <c r="AM197" s="460">
        <v>22230.434162000001</v>
      </c>
      <c r="AN197" s="460">
        <v>14130.353791</v>
      </c>
      <c r="AO197" s="460">
        <v>27103.146002000001</v>
      </c>
      <c r="AP197" s="460">
        <v>15052.638545</v>
      </c>
      <c r="AQ197" s="460">
        <v>12833.947835999999</v>
      </c>
      <c r="AR197" s="378">
        <f t="shared" si="783"/>
        <v>147413.82241600001</v>
      </c>
      <c r="AS197" s="923">
        <v>12957.887016000001</v>
      </c>
      <c r="AT197" s="335">
        <v>18811.429658000001</v>
      </c>
      <c r="AU197" s="335">
        <v>11754.065785000001</v>
      </c>
      <c r="AV197" s="335">
        <v>10199.922732000001</v>
      </c>
      <c r="AW197" s="335">
        <v>8437.8456000000006</v>
      </c>
      <c r="AX197" s="335">
        <v>7689.1213889999999</v>
      </c>
      <c r="AY197" s="335">
        <v>7947.5315570000002</v>
      </c>
      <c r="AZ197" s="337">
        <v>18489.394671999999</v>
      </c>
      <c r="BA197" s="337">
        <v>10268.247109</v>
      </c>
      <c r="BB197" s="337">
        <v>19707.449947000001</v>
      </c>
      <c r="BC197" s="337">
        <v>11998.160843</v>
      </c>
      <c r="BD197" s="1515">
        <v>9152.7661079999998</v>
      </c>
      <c r="BE197" s="378">
        <f t="shared" si="784"/>
        <v>69441.341836999985</v>
      </c>
      <c r="BF197" s="1833">
        <v>16435.201974</v>
      </c>
      <c r="BG197" s="1834">
        <v>9025.4225889999998</v>
      </c>
      <c r="BH197" s="1834">
        <v>7310.6401690000002</v>
      </c>
      <c r="BI197" s="1834">
        <v>4634.4217420000004</v>
      </c>
      <c r="BJ197" s="1834">
        <v>4377.7268979999999</v>
      </c>
      <c r="BK197" s="1834">
        <v>4656.2949820000003</v>
      </c>
      <c r="BL197" s="1834">
        <v>9151.889674</v>
      </c>
      <c r="BM197" s="1834">
        <v>6153.7074190000003</v>
      </c>
      <c r="BN197" s="1834">
        <v>3512.511591</v>
      </c>
      <c r="BO197" s="1834">
        <v>2107.6311099999998</v>
      </c>
      <c r="BP197" s="1834">
        <v>778.39344100000005</v>
      </c>
      <c r="BQ197" s="1835">
        <v>1297.5002480000001</v>
      </c>
      <c r="BR197" s="378">
        <f t="shared" si="785"/>
        <v>3752.0663489999997</v>
      </c>
      <c r="BS197" s="1859">
        <v>663.08218299999999</v>
      </c>
      <c r="BT197" s="1860">
        <v>813.50248299999998</v>
      </c>
      <c r="BU197" s="1860">
        <v>326.95768399999997</v>
      </c>
      <c r="BV197" s="1860">
        <v>204.04628600000001</v>
      </c>
      <c r="BW197" s="1860">
        <v>414.15626099999997</v>
      </c>
      <c r="BX197" s="1860">
        <v>200.467623</v>
      </c>
      <c r="BY197" s="1860">
        <v>215.26414500000001</v>
      </c>
      <c r="BZ197" s="1860">
        <v>175.94081600000001</v>
      </c>
      <c r="CA197" s="1860">
        <v>266.81637899999998</v>
      </c>
      <c r="CB197" s="1860">
        <v>276.94834400000002</v>
      </c>
      <c r="CC197" s="1860">
        <v>134.52082200000001</v>
      </c>
      <c r="CD197" s="1861">
        <v>60.363323000000001</v>
      </c>
      <c r="CE197" s="378">
        <f t="shared" si="786"/>
        <v>2405.611476</v>
      </c>
      <c r="CF197" s="2252">
        <v>200.467623</v>
      </c>
      <c r="CG197" s="2251">
        <f>CF197</f>
        <v>200.467623</v>
      </c>
      <c r="CH197" s="2251">
        <f t="shared" ref="CH197:CQ197" si="790">CG197</f>
        <v>200.467623</v>
      </c>
      <c r="CI197" s="2251">
        <f t="shared" si="790"/>
        <v>200.467623</v>
      </c>
      <c r="CJ197" s="2251">
        <f t="shared" si="790"/>
        <v>200.467623</v>
      </c>
      <c r="CK197" s="2251">
        <f t="shared" si="790"/>
        <v>200.467623</v>
      </c>
      <c r="CL197" s="2251">
        <f t="shared" si="790"/>
        <v>200.467623</v>
      </c>
      <c r="CM197" s="2251">
        <f t="shared" si="790"/>
        <v>200.467623</v>
      </c>
      <c r="CN197" s="2251">
        <f t="shared" si="790"/>
        <v>200.467623</v>
      </c>
      <c r="CO197" s="2251">
        <f t="shared" si="790"/>
        <v>200.467623</v>
      </c>
      <c r="CP197" s="2251">
        <f t="shared" si="790"/>
        <v>200.467623</v>
      </c>
      <c r="CQ197" s="2252">
        <f t="shared" si="790"/>
        <v>200.467623</v>
      </c>
    </row>
    <row r="198" spans="1:97">
      <c r="B198" s="3313"/>
      <c r="C198" s="3314"/>
      <c r="D198" s="101" t="s">
        <v>16</v>
      </c>
      <c r="E198" s="378">
        <f t="shared" si="782"/>
        <v>190123.08682908662</v>
      </c>
      <c r="F198" s="460">
        <v>15906.184099</v>
      </c>
      <c r="G198" s="460">
        <v>16759.176974999998</v>
      </c>
      <c r="H198" s="335">
        <v>16038.311922000001</v>
      </c>
      <c r="I198" s="460">
        <v>16066.061408625605</v>
      </c>
      <c r="J198" s="335">
        <v>15388.823797259838</v>
      </c>
      <c r="K198" s="335">
        <v>12276.463864527641</v>
      </c>
      <c r="L198" s="335">
        <v>12106.330623</v>
      </c>
      <c r="M198" s="335">
        <v>18859.726197</v>
      </c>
      <c r="N198" s="335">
        <v>14751.635316673515</v>
      </c>
      <c r="O198" s="335">
        <v>17226.081152999999</v>
      </c>
      <c r="P198" s="335">
        <v>18658.709918</v>
      </c>
      <c r="Q198" s="335">
        <v>16085.581555000001</v>
      </c>
      <c r="R198" s="378">
        <f t="shared" si="788"/>
        <v>193364.51804900001</v>
      </c>
      <c r="S198" s="460">
        <v>16083.625701000001</v>
      </c>
      <c r="T198" s="460">
        <v>13100.858242</v>
      </c>
      <c r="U198" s="460">
        <v>13539.398539</v>
      </c>
      <c r="V198" s="460">
        <v>15827.286540999999</v>
      </c>
      <c r="W198" s="460">
        <v>15026.408627000001</v>
      </c>
      <c r="X198" s="460">
        <v>13431.798500999999</v>
      </c>
      <c r="Y198" s="460">
        <v>13283.078968</v>
      </c>
      <c r="Z198" s="460">
        <v>21481.107434000001</v>
      </c>
      <c r="AA198" s="460">
        <v>16291.816068</v>
      </c>
      <c r="AB198" s="460">
        <v>22938.305681999998</v>
      </c>
      <c r="AC198" s="460">
        <v>18635.578247000001</v>
      </c>
      <c r="AD198" s="460">
        <v>13725.255499000001</v>
      </c>
      <c r="AE198" s="378">
        <f t="shared" si="789"/>
        <v>167008.53211</v>
      </c>
      <c r="AF198" s="460">
        <v>12329.495159</v>
      </c>
      <c r="AG198" s="460">
        <v>15788.521825</v>
      </c>
      <c r="AH198" s="460">
        <v>12444.807833000001</v>
      </c>
      <c r="AI198" s="460">
        <v>10649.596670999999</v>
      </c>
      <c r="AJ198" s="460">
        <v>10375.319965999999</v>
      </c>
      <c r="AK198" s="460">
        <v>9687.5623959999994</v>
      </c>
      <c r="AL198" s="460">
        <v>8845.8308990000005</v>
      </c>
      <c r="AM198" s="460">
        <v>20678.773166999999</v>
      </c>
      <c r="AN198" s="460">
        <v>11413.433274000001</v>
      </c>
      <c r="AO198" s="460">
        <v>28112.188807999999</v>
      </c>
      <c r="AP198" s="460">
        <v>14958.65155</v>
      </c>
      <c r="AQ198" s="460">
        <v>11724.350562</v>
      </c>
      <c r="AR198" s="378">
        <f t="shared" si="783"/>
        <v>175500.15014300001</v>
      </c>
      <c r="AS198" s="923">
        <v>12229.585698999999</v>
      </c>
      <c r="AT198" s="335">
        <v>22770.068348000001</v>
      </c>
      <c r="AU198" s="335">
        <v>13503.418524999999</v>
      </c>
      <c r="AV198" s="335">
        <v>11949.525308</v>
      </c>
      <c r="AW198" s="335">
        <v>11873.356991000001</v>
      </c>
      <c r="AX198" s="335">
        <v>10439.502818999999</v>
      </c>
      <c r="AY198" s="335">
        <v>8445.1701109999995</v>
      </c>
      <c r="AZ198" s="335">
        <v>26745.190723</v>
      </c>
      <c r="BA198" s="335">
        <v>9149.9828880000005</v>
      </c>
      <c r="BB198" s="335">
        <v>26538.269031</v>
      </c>
      <c r="BC198" s="335">
        <v>12250.980591</v>
      </c>
      <c r="BD198" s="1516">
        <v>9605.0991090000007</v>
      </c>
      <c r="BE198" s="378">
        <f t="shared" si="784"/>
        <v>177541.74886200001</v>
      </c>
      <c r="BF198" s="1833">
        <v>26171.520031</v>
      </c>
      <c r="BG198" s="1834">
        <v>12254.192214000001</v>
      </c>
      <c r="BH198" s="1834">
        <v>11783.806909999999</v>
      </c>
      <c r="BI198" s="1834">
        <v>11107.215004</v>
      </c>
      <c r="BJ198" s="1834">
        <v>10902.986892000001</v>
      </c>
      <c r="BK198" s="1834">
        <v>9376.3677069999994</v>
      </c>
      <c r="BL198" s="1834">
        <v>25168.400494000001</v>
      </c>
      <c r="BM198" s="1834">
        <v>12020.711626</v>
      </c>
      <c r="BN198" s="1834">
        <v>21729.789844999999</v>
      </c>
      <c r="BO198" s="1834">
        <v>14934.164483</v>
      </c>
      <c r="BP198" s="1834">
        <v>12224.332442000001</v>
      </c>
      <c r="BQ198" s="1835">
        <v>9868.2612140000001</v>
      </c>
      <c r="BR198" s="378">
        <f t="shared" si="785"/>
        <v>177125.95048599996</v>
      </c>
      <c r="BS198" s="1859">
        <v>8407.9569210000009</v>
      </c>
      <c r="BT198" s="1860">
        <v>25824.693519</v>
      </c>
      <c r="BU198" s="1860">
        <v>11464.372557000001</v>
      </c>
      <c r="BV198" s="1860">
        <v>12172.5476</v>
      </c>
      <c r="BW198" s="1860">
        <v>13892.942589</v>
      </c>
      <c r="BX198" s="1860">
        <v>8536.5729940000001</v>
      </c>
      <c r="BY198" s="1860">
        <v>26413.868592999999</v>
      </c>
      <c r="BZ198" s="1860">
        <v>12977.559472000001</v>
      </c>
      <c r="CA198" s="1860">
        <v>24854.953387000001</v>
      </c>
      <c r="CB198" s="1860">
        <v>13771.666496</v>
      </c>
      <c r="CC198" s="1860">
        <v>10147.547291000001</v>
      </c>
      <c r="CD198" s="1861">
        <v>8661.2690669999993</v>
      </c>
      <c r="CE198" s="378">
        <f t="shared" si="786"/>
        <v>180743.81765405266</v>
      </c>
      <c r="CF198" s="2483">
        <f t="shared" ref="CF198:CQ198" si="791">(CF211*(CF10+CF18))/1000000+322.99581274853</f>
        <v>14933.971516884987</v>
      </c>
      <c r="CG198" s="2251">
        <f t="shared" si="791"/>
        <v>11413.878882451954</v>
      </c>
      <c r="CH198" s="2251">
        <f t="shared" si="791"/>
        <v>25338.35077992723</v>
      </c>
      <c r="CI198" s="2251">
        <f t="shared" si="791"/>
        <v>12737.249916381847</v>
      </c>
      <c r="CJ198" s="2251">
        <f t="shared" si="791"/>
        <v>12483.97709571226</v>
      </c>
      <c r="CK198" s="2251">
        <f t="shared" si="791"/>
        <v>8838.4231788032903</v>
      </c>
      <c r="CL198" s="2251">
        <f t="shared" si="791"/>
        <v>25945.213492536488</v>
      </c>
      <c r="CM198" s="2251">
        <f t="shared" si="791"/>
        <v>12018.580726991819</v>
      </c>
      <c r="CN198" s="2251">
        <f t="shared" si="791"/>
        <v>24435.44252956166</v>
      </c>
      <c r="CO198" s="2251">
        <f t="shared" si="791"/>
        <v>11307.883936423634</v>
      </c>
      <c r="CP198" s="2251">
        <f t="shared" si="791"/>
        <v>10989.249911835204</v>
      </c>
      <c r="CQ198" s="2252">
        <f t="shared" si="791"/>
        <v>10301.595686542269</v>
      </c>
    </row>
    <row r="199" spans="1:97">
      <c r="B199" s="3313"/>
      <c r="C199" s="3314"/>
      <c r="D199" s="101" t="s">
        <v>574</v>
      </c>
      <c r="E199" s="378"/>
      <c r="F199" s="460"/>
      <c r="G199" s="460"/>
      <c r="H199" s="335"/>
      <c r="I199" s="460"/>
      <c r="J199" s="335"/>
      <c r="K199" s="335"/>
      <c r="L199" s="335"/>
      <c r="M199" s="335"/>
      <c r="N199" s="335"/>
      <c r="O199" s="335"/>
      <c r="P199" s="335"/>
      <c r="Q199" s="335"/>
      <c r="R199" s="378"/>
      <c r="S199" s="396"/>
      <c r="T199" s="460"/>
      <c r="U199" s="460"/>
      <c r="V199" s="460"/>
      <c r="W199" s="460"/>
      <c r="X199" s="460"/>
      <c r="Y199" s="460"/>
      <c r="Z199" s="460"/>
      <c r="AA199" s="460"/>
      <c r="AB199" s="460"/>
      <c r="AC199" s="460"/>
      <c r="AD199" s="460"/>
      <c r="AE199" s="378"/>
      <c r="AF199" s="460"/>
      <c r="AG199" s="460"/>
      <c r="AH199" s="460"/>
      <c r="AI199" s="460"/>
      <c r="AJ199" s="460"/>
      <c r="AK199" s="460"/>
      <c r="AL199" s="460"/>
      <c r="AM199" s="460"/>
      <c r="AN199" s="460"/>
      <c r="AO199" s="460"/>
      <c r="AP199" s="460"/>
      <c r="AQ199" s="460"/>
      <c r="AR199" s="378"/>
      <c r="AS199" s="923"/>
      <c r="AT199" s="335"/>
      <c r="AU199" s="335"/>
      <c r="AV199" s="335"/>
      <c r="AW199" s="335"/>
      <c r="AX199" s="335"/>
      <c r="AY199" s="335"/>
      <c r="AZ199" s="335"/>
      <c r="BA199" s="335"/>
      <c r="BB199" s="335"/>
      <c r="BC199" s="335"/>
      <c r="BD199" s="1516"/>
      <c r="BE199" s="378"/>
      <c r="BF199" s="1833"/>
      <c r="BG199" s="1834"/>
      <c r="BH199" s="1834"/>
      <c r="BI199" s="1834"/>
      <c r="BJ199" s="1834"/>
      <c r="BK199" s="1834"/>
      <c r="BL199" s="1834"/>
      <c r="BM199" s="1834"/>
      <c r="BN199" s="1834"/>
      <c r="BO199" s="1834"/>
      <c r="BP199" s="1834"/>
      <c r="BQ199" s="1835"/>
      <c r="BR199" s="378">
        <f t="shared" si="785"/>
        <v>1284.4946540000001</v>
      </c>
      <c r="BS199" s="1859">
        <v>51.711545999999998</v>
      </c>
      <c r="BT199" s="1860">
        <v>279.41499900000002</v>
      </c>
      <c r="BU199" s="1860">
        <v>57.386091</v>
      </c>
      <c r="BV199" s="1860">
        <v>62.865999000000002</v>
      </c>
      <c r="BW199" s="1860">
        <v>95.185272999999995</v>
      </c>
      <c r="BX199" s="1860">
        <v>45.255364</v>
      </c>
      <c r="BY199" s="1860">
        <v>217.38272799999999</v>
      </c>
      <c r="BZ199" s="1860">
        <v>58.194564</v>
      </c>
      <c r="CA199" s="1860">
        <v>179.60027400000001</v>
      </c>
      <c r="CB199" s="1860">
        <v>137.09536399999999</v>
      </c>
      <c r="CC199" s="1860">
        <v>58.993726000000002</v>
      </c>
      <c r="CD199" s="1861">
        <v>41.408726000000001</v>
      </c>
      <c r="CE199" s="378">
        <f t="shared" si="786"/>
        <v>1297.2438418512334</v>
      </c>
      <c r="CF199" s="2483">
        <f t="shared" ref="CF199:CQ199" si="792">(CF212*CF11)/1000000</f>
        <v>95.130609848648618</v>
      </c>
      <c r="CG199" s="2251">
        <f t="shared" si="792"/>
        <v>70.906449661217934</v>
      </c>
      <c r="CH199" s="2251">
        <f t="shared" si="792"/>
        <v>284.98211836449951</v>
      </c>
      <c r="CI199" s="2251">
        <f t="shared" si="792"/>
        <v>73.475140253237015</v>
      </c>
      <c r="CJ199" s="2251">
        <f t="shared" si="792"/>
        <v>89.083741533501367</v>
      </c>
      <c r="CK199" s="2251">
        <f t="shared" si="792"/>
        <v>55.897819946890259</v>
      </c>
      <c r="CL199" s="2251">
        <f t="shared" si="792"/>
        <v>255.1614090715338</v>
      </c>
      <c r="CM199" s="2251">
        <f t="shared" si="792"/>
        <v>69.765308638406751</v>
      </c>
      <c r="CN199" s="2251">
        <f t="shared" si="792"/>
        <v>143.93643122804809</v>
      </c>
      <c r="CO199" s="2251">
        <f t="shared" si="792"/>
        <v>69.765308638406751</v>
      </c>
      <c r="CP199" s="2251">
        <f t="shared" si="792"/>
        <v>51.40601689145759</v>
      </c>
      <c r="CQ199" s="2252">
        <f t="shared" si="792"/>
        <v>37.733487775385804</v>
      </c>
    </row>
    <row r="200" spans="1:97">
      <c r="B200" s="3313"/>
      <c r="C200" s="3314"/>
      <c r="D200" s="101" t="s">
        <v>47</v>
      </c>
      <c r="E200" s="378">
        <f t="shared" si="782"/>
        <v>1572.6559770000001</v>
      </c>
      <c r="F200" s="460">
        <v>537.17829500000005</v>
      </c>
      <c r="G200" s="460">
        <v>519.12210700000003</v>
      </c>
      <c r="H200" s="335">
        <v>418.96371099999999</v>
      </c>
      <c r="I200" s="335">
        <v>83.712411000000003</v>
      </c>
      <c r="J200" s="335">
        <v>2.0756049999999999</v>
      </c>
      <c r="K200" s="335">
        <v>1.900099</v>
      </c>
      <c r="L200" s="335">
        <v>2.1199699999999999</v>
      </c>
      <c r="M200" s="335">
        <v>2.0809250000000001</v>
      </c>
      <c r="N200" s="335">
        <v>1.6518539999999999</v>
      </c>
      <c r="O200" s="335">
        <v>1.3678509999999999</v>
      </c>
      <c r="P200" s="335">
        <v>1.5424060000000002</v>
      </c>
      <c r="Q200" s="335">
        <v>0.940743</v>
      </c>
      <c r="R200" s="378">
        <f t="shared" si="788"/>
        <v>6.2898940000000012</v>
      </c>
      <c r="S200" s="699">
        <v>0.84731099999999993</v>
      </c>
      <c r="T200" s="460">
        <v>0.65934700000000002</v>
      </c>
      <c r="U200" s="460">
        <v>0.811249</v>
      </c>
      <c r="V200" s="460">
        <v>1.271909</v>
      </c>
      <c r="W200" s="460">
        <v>0.54584100000000002</v>
      </c>
      <c r="X200" s="460">
        <v>0.59177000000000002</v>
      </c>
      <c r="Y200" s="460">
        <v>0.31833499999999998</v>
      </c>
      <c r="Z200" s="460">
        <v>0.30889699999999998</v>
      </c>
      <c r="AA200" s="460">
        <v>0.302593</v>
      </c>
      <c r="AB200" s="460">
        <v>0.33374999999999999</v>
      </c>
      <c r="AC200" s="460">
        <v>0.20430700000000002</v>
      </c>
      <c r="AD200" s="460">
        <v>9.4584999999999989E-2</v>
      </c>
      <c r="AE200" s="378">
        <f t="shared" si="789"/>
        <v>0.62173750000000005</v>
      </c>
      <c r="AF200" s="460"/>
      <c r="AG200" s="460"/>
      <c r="AH200" s="460"/>
      <c r="AI200" s="460"/>
      <c r="AJ200" s="460"/>
      <c r="AK200" s="460"/>
      <c r="AL200" s="460">
        <v>0.13556599999999999</v>
      </c>
      <c r="AM200" s="460">
        <v>7.5745000000000007E-2</v>
      </c>
      <c r="AN200" s="460">
        <v>9.3332999999999999E-2</v>
      </c>
      <c r="AO200" s="460">
        <v>3.1967000000000002E-2</v>
      </c>
      <c r="AP200" s="460">
        <v>5.5799500000000002E-2</v>
      </c>
      <c r="AQ200" s="460">
        <v>0.229327</v>
      </c>
      <c r="AR200" s="378">
        <f t="shared" si="783"/>
        <v>14.184496999999999</v>
      </c>
      <c r="AS200" s="923">
        <v>1.1617470000000001</v>
      </c>
      <c r="AT200" s="335">
        <v>0.53581500000000004</v>
      </c>
      <c r="AU200" s="335">
        <v>0.28993600000000003</v>
      </c>
      <c r="AV200" s="335">
        <v>0.41162799999999999</v>
      </c>
      <c r="AW200" s="335">
        <v>2.9437999999999999E-2</v>
      </c>
      <c r="AX200" s="335">
        <v>0.120377</v>
      </c>
      <c r="AY200" s="335">
        <v>1.6015999999999999E-2</v>
      </c>
      <c r="AZ200" s="335">
        <v>8.4027000000000004E-2</v>
      </c>
      <c r="BA200" s="335">
        <v>4.1525619999999996</v>
      </c>
      <c r="BB200" s="335">
        <v>9.9515999999999993E-2</v>
      </c>
      <c r="BC200" s="335">
        <v>3.813348</v>
      </c>
      <c r="BD200" s="1516">
        <v>3.4700869999999999</v>
      </c>
      <c r="BE200" s="378">
        <f t="shared" si="784"/>
        <v>0</v>
      </c>
      <c r="BF200" s="1833">
        <v>0</v>
      </c>
      <c r="BG200" s="1834">
        <v>0</v>
      </c>
      <c r="BH200" s="1834">
        <v>0</v>
      </c>
      <c r="BI200" s="1834">
        <v>0</v>
      </c>
      <c r="BJ200" s="1834">
        <v>0</v>
      </c>
      <c r="BK200" s="1834">
        <v>0</v>
      </c>
      <c r="BL200" s="1834">
        <v>0</v>
      </c>
      <c r="BM200" s="1834">
        <v>0</v>
      </c>
      <c r="BN200" s="1834">
        <v>0</v>
      </c>
      <c r="BO200" s="1834">
        <v>0</v>
      </c>
      <c r="BP200" s="1834">
        <v>0</v>
      </c>
      <c r="BQ200" s="1835">
        <v>0</v>
      </c>
      <c r="BR200" s="378">
        <f t="shared" si="785"/>
        <v>0</v>
      </c>
      <c r="BS200" s="1859">
        <v>0</v>
      </c>
      <c r="BT200" s="1860">
        <v>0</v>
      </c>
      <c r="BU200" s="1860">
        <v>0</v>
      </c>
      <c r="BV200" s="1860">
        <v>0</v>
      </c>
      <c r="BW200" s="1860">
        <v>0</v>
      </c>
      <c r="BX200" s="1860">
        <v>0</v>
      </c>
      <c r="BY200" s="1860">
        <v>0</v>
      </c>
      <c r="BZ200" s="1860">
        <v>0</v>
      </c>
      <c r="CA200" s="1860">
        <v>0</v>
      </c>
      <c r="CB200" s="1860">
        <v>0</v>
      </c>
      <c r="CC200" s="1860">
        <v>0</v>
      </c>
      <c r="CD200" s="1861">
        <v>0</v>
      </c>
      <c r="CE200" s="378">
        <f t="shared" si="786"/>
        <v>0</v>
      </c>
      <c r="CF200" s="2483">
        <v>0</v>
      </c>
      <c r="CG200" s="2251">
        <v>0</v>
      </c>
      <c r="CH200" s="2251">
        <v>0</v>
      </c>
      <c r="CI200" s="2251">
        <v>0</v>
      </c>
      <c r="CJ200" s="2251">
        <v>0</v>
      </c>
      <c r="CK200" s="2251">
        <v>0</v>
      </c>
      <c r="CL200" s="2251">
        <v>0</v>
      </c>
      <c r="CM200" s="2251">
        <v>0</v>
      </c>
      <c r="CN200" s="2251">
        <v>0</v>
      </c>
      <c r="CO200" s="2251">
        <v>0</v>
      </c>
      <c r="CP200" s="2251">
        <v>0</v>
      </c>
      <c r="CQ200" s="2252">
        <v>0</v>
      </c>
    </row>
    <row r="201" spans="1:97">
      <c r="B201" s="3313"/>
      <c r="C201" s="3314"/>
      <c r="D201" s="201" t="s">
        <v>680</v>
      </c>
      <c r="E201" s="378">
        <f t="shared" si="782"/>
        <v>43266.493593393912</v>
      </c>
      <c r="F201" s="460">
        <v>2205.7765451977648</v>
      </c>
      <c r="G201" s="460">
        <v>3226.6325078294708</v>
      </c>
      <c r="H201" s="335">
        <v>2922.366028121799</v>
      </c>
      <c r="I201" s="335">
        <v>2310.9881821836361</v>
      </c>
      <c r="J201" s="335">
        <v>3761.3066566500001</v>
      </c>
      <c r="K201" s="335">
        <v>1716.3372263183098</v>
      </c>
      <c r="L201" s="335">
        <v>2332.7824544999999</v>
      </c>
      <c r="M201" s="335">
        <v>4797.9718099051024</v>
      </c>
      <c r="N201" s="335">
        <v>3103.2140140000001</v>
      </c>
      <c r="O201" s="335">
        <v>5265.3871943560098</v>
      </c>
      <c r="P201" s="335">
        <v>7311.471874508271</v>
      </c>
      <c r="Q201" s="335">
        <v>4312.2590998235437</v>
      </c>
      <c r="R201" s="378">
        <f t="shared" si="788"/>
        <v>44077.778978181821</v>
      </c>
      <c r="S201" s="460">
        <v>3779.3001720000002</v>
      </c>
      <c r="T201" s="460">
        <v>2651.229718</v>
      </c>
      <c r="U201" s="460">
        <v>3178.3578459999999</v>
      </c>
      <c r="V201" s="460">
        <v>2508.4353992727274</v>
      </c>
      <c r="W201" s="460">
        <v>2085.6017069999998</v>
      </c>
      <c r="X201" s="460">
        <v>2225.2599070000001</v>
      </c>
      <c r="Y201" s="460">
        <v>2052.4382663636361</v>
      </c>
      <c r="Z201" s="460">
        <v>5010.3791340909083</v>
      </c>
      <c r="AA201" s="460">
        <v>2513.056235181818</v>
      </c>
      <c r="AB201" s="460">
        <v>11109.349781272726</v>
      </c>
      <c r="AC201" s="460">
        <v>4123.5773096363637</v>
      </c>
      <c r="AD201" s="460">
        <v>2840.7935023636364</v>
      </c>
      <c r="AE201" s="378">
        <f t="shared" si="789"/>
        <v>24613.794184454546</v>
      </c>
      <c r="AF201" s="460">
        <v>1419.689848</v>
      </c>
      <c r="AG201" s="460">
        <v>3517.9911264545453</v>
      </c>
      <c r="AH201" s="460">
        <v>2357.1187639999998</v>
      </c>
      <c r="AI201" s="460">
        <v>1937.338968</v>
      </c>
      <c r="AJ201" s="460">
        <v>2419.374953</v>
      </c>
      <c r="AK201" s="460">
        <v>1928.6814770000001</v>
      </c>
      <c r="AL201" s="460">
        <v>1407.661026</v>
      </c>
      <c r="AM201" s="460">
        <v>3268.2147960000002</v>
      </c>
      <c r="AN201" s="460">
        <v>1584.277589</v>
      </c>
      <c r="AO201" s="460">
        <v>2004.9260300000001</v>
      </c>
      <c r="AP201" s="460">
        <v>1545.881089</v>
      </c>
      <c r="AQ201" s="460">
        <v>1222.638518</v>
      </c>
      <c r="AR201" s="378">
        <f t="shared" si="783"/>
        <v>54552.175057</v>
      </c>
      <c r="AS201" s="923">
        <v>2208.498227</v>
      </c>
      <c r="AT201" s="335">
        <v>3257.376076</v>
      </c>
      <c r="AU201" s="335">
        <v>1722.1977979999999</v>
      </c>
      <c r="AV201" s="335">
        <v>1876.9990419999999</v>
      </c>
      <c r="AW201" s="335">
        <v>2574.0603620000002</v>
      </c>
      <c r="AX201" s="335">
        <v>1814.011771</v>
      </c>
      <c r="AY201" s="335">
        <v>1595.8828020000001</v>
      </c>
      <c r="AZ201" s="335">
        <v>5292.5208789999997</v>
      </c>
      <c r="BA201" s="335">
        <v>1855.4172149999999</v>
      </c>
      <c r="BB201" s="335">
        <v>23729.451077000002</v>
      </c>
      <c r="BC201" s="335">
        <v>5651.1045629999999</v>
      </c>
      <c r="BD201" s="1516">
        <v>2974.6552449999999</v>
      </c>
      <c r="BE201" s="378">
        <f t="shared" si="784"/>
        <v>114312.35965034555</v>
      </c>
      <c r="BF201" s="1833">
        <v>9531.4314329999997</v>
      </c>
      <c r="BG201" s="1834">
        <v>8169.7093100000002</v>
      </c>
      <c r="BH201" s="1834">
        <v>4352.1470330000002</v>
      </c>
      <c r="BI201" s="1834">
        <v>4690.5894070000004</v>
      </c>
      <c r="BJ201" s="1834">
        <v>4323.7280899999996</v>
      </c>
      <c r="BK201" s="1834">
        <v>3612.0795990000001</v>
      </c>
      <c r="BL201" s="1834">
        <v>11045.786991999999</v>
      </c>
      <c r="BM201" s="1834">
        <v>6175.1885140000004</v>
      </c>
      <c r="BN201" s="1834">
        <v>27265.867749000001</v>
      </c>
      <c r="BO201" s="1834">
        <v>20151.597284345557</v>
      </c>
      <c r="BP201" s="1834">
        <v>8478.4991460000001</v>
      </c>
      <c r="BQ201" s="1835">
        <v>6515.7350930000002</v>
      </c>
      <c r="BR201" s="378">
        <f t="shared" si="785"/>
        <v>141598.70710200001</v>
      </c>
      <c r="BS201" s="1859">
        <v>6345.3920269999999</v>
      </c>
      <c r="BT201" s="1860">
        <v>18475.018194</v>
      </c>
      <c r="BU201" s="1860">
        <v>7130.8698080000004</v>
      </c>
      <c r="BV201" s="1860">
        <v>7405.8514210000003</v>
      </c>
      <c r="BW201" s="1860">
        <v>8398.1342260000001</v>
      </c>
      <c r="BX201" s="1860">
        <v>5910.7018930000004</v>
      </c>
      <c r="BY201" s="1860">
        <v>15517.905841</v>
      </c>
      <c r="BZ201" s="1860">
        <v>10044.198117</v>
      </c>
      <c r="CA201" s="1860">
        <v>27156.769356000001</v>
      </c>
      <c r="CB201" s="1860">
        <v>15049.306006999999</v>
      </c>
      <c r="CC201" s="1860">
        <v>9974.5965020000003</v>
      </c>
      <c r="CD201" s="1861">
        <v>10189.96371</v>
      </c>
      <c r="CE201" s="378">
        <f t="shared" si="786"/>
        <v>152611.50666285801</v>
      </c>
      <c r="CF201" s="2483">
        <f t="shared" ref="CF201:CQ201" si="793">(CF214*CF14/1000000)+375</f>
        <v>10536.351949470143</v>
      </c>
      <c r="CG201" s="2251">
        <f t="shared" si="793"/>
        <v>10674.623421191753</v>
      </c>
      <c r="CH201" s="2251">
        <f t="shared" si="793"/>
        <v>18217.82171225407</v>
      </c>
      <c r="CI201" s="2251">
        <f t="shared" si="793"/>
        <v>10256.297307960906</v>
      </c>
      <c r="CJ201" s="2251">
        <f t="shared" si="793"/>
        <v>9324.3258056933337</v>
      </c>
      <c r="CK201" s="2251">
        <f t="shared" si="793"/>
        <v>9225.5303325839068</v>
      </c>
      <c r="CL201" s="2251">
        <f t="shared" si="793"/>
        <v>15983.792009696608</v>
      </c>
      <c r="CM201" s="2251">
        <f t="shared" si="793"/>
        <v>11713.518924670649</v>
      </c>
      <c r="CN201" s="2251">
        <f t="shared" si="793"/>
        <v>22930.5290630731</v>
      </c>
      <c r="CO201" s="2251">
        <f t="shared" si="793"/>
        <v>12977.203561928127</v>
      </c>
      <c r="CP201" s="2251">
        <f t="shared" si="793"/>
        <v>10637.13938515231</v>
      </c>
      <c r="CQ201" s="2252">
        <f t="shared" si="793"/>
        <v>10134.373189183098</v>
      </c>
    </row>
    <row r="202" spans="1:97">
      <c r="B202" s="3313"/>
      <c r="C202" s="3314"/>
      <c r="D202" s="201" t="s">
        <v>331</v>
      </c>
      <c r="E202" s="378">
        <f t="shared" si="782"/>
        <v>7561.7943406060913</v>
      </c>
      <c r="F202" s="460">
        <v>606.17914380223499</v>
      </c>
      <c r="G202" s="460">
        <v>623.31927417052964</v>
      </c>
      <c r="H202" s="335">
        <v>648.43679287820112</v>
      </c>
      <c r="I202" s="335">
        <v>578.15091381636398</v>
      </c>
      <c r="J202" s="335">
        <v>418.09703435</v>
      </c>
      <c r="K202" s="335">
        <v>409.07209668169014</v>
      </c>
      <c r="L202" s="335">
        <v>551.78344049999998</v>
      </c>
      <c r="M202" s="335">
        <v>871.74410909489768</v>
      </c>
      <c r="N202" s="335">
        <v>681.62056099999995</v>
      </c>
      <c r="O202" s="335">
        <v>994.9647226439904</v>
      </c>
      <c r="P202" s="335">
        <v>648.98759149172838</v>
      </c>
      <c r="Q202" s="335">
        <v>529.43866017645666</v>
      </c>
      <c r="R202" s="378">
        <f t="shared" si="788"/>
        <v>15059.718430818184</v>
      </c>
      <c r="S202" s="460">
        <v>896.89621299999999</v>
      </c>
      <c r="T202" s="460">
        <v>800.09596699999997</v>
      </c>
      <c r="U202" s="460">
        <v>1232.467085</v>
      </c>
      <c r="V202" s="460">
        <v>945.20479072727255</v>
      </c>
      <c r="W202" s="460">
        <v>868.69844300000022</v>
      </c>
      <c r="X202" s="460">
        <v>1000.546214</v>
      </c>
      <c r="Y202" s="460">
        <v>1205.0069156363638</v>
      </c>
      <c r="Z202" s="460">
        <v>1590.521671909092</v>
      </c>
      <c r="AA202" s="460">
        <v>1759.6553958181819</v>
      </c>
      <c r="AB202" s="460">
        <v>1885.800119727274</v>
      </c>
      <c r="AC202" s="460">
        <v>1318.9591363636364</v>
      </c>
      <c r="AD202" s="460">
        <v>1555.8664786363636</v>
      </c>
      <c r="AE202" s="378">
        <f t="shared" si="789"/>
        <v>39572.289531545459</v>
      </c>
      <c r="AF202" s="460">
        <v>1314.851071</v>
      </c>
      <c r="AG202" s="460">
        <v>2139.5407155454545</v>
      </c>
      <c r="AH202" s="460">
        <v>2237.7266359999999</v>
      </c>
      <c r="AI202" s="460">
        <v>2680.3217159999999</v>
      </c>
      <c r="AJ202" s="460">
        <v>2279.6339849999999</v>
      </c>
      <c r="AK202" s="460">
        <v>1859.0968760000001</v>
      </c>
      <c r="AL202" s="460">
        <v>1970.211583</v>
      </c>
      <c r="AM202" s="460">
        <v>2607.5490629999999</v>
      </c>
      <c r="AN202" s="460">
        <v>1767.03449</v>
      </c>
      <c r="AO202" s="460">
        <v>14609.329094000001</v>
      </c>
      <c r="AP202" s="460">
        <v>3327.925561</v>
      </c>
      <c r="AQ202" s="460">
        <v>2779.068741</v>
      </c>
      <c r="AR202" s="378">
        <f t="shared" si="783"/>
        <v>17261.538261999998</v>
      </c>
      <c r="AS202" s="923">
        <v>1312.3318019999999</v>
      </c>
      <c r="AT202" s="335">
        <v>2205.0580199999999</v>
      </c>
      <c r="AU202" s="335">
        <v>1933.590866</v>
      </c>
      <c r="AV202" s="335">
        <v>842.71835699999997</v>
      </c>
      <c r="AW202" s="335">
        <v>1310.795243</v>
      </c>
      <c r="AX202" s="335">
        <v>1469.061684</v>
      </c>
      <c r="AY202" s="335">
        <v>1625.0691400000001</v>
      </c>
      <c r="AZ202" s="335">
        <v>2333.9809839999998</v>
      </c>
      <c r="BA202" s="335">
        <v>807.55776600000002</v>
      </c>
      <c r="BB202" s="335">
        <v>1508.9937279999999</v>
      </c>
      <c r="BC202" s="335">
        <v>889.83293600000002</v>
      </c>
      <c r="BD202" s="1516">
        <v>1022.547736</v>
      </c>
      <c r="BE202" s="378">
        <f t="shared" si="784"/>
        <v>10505.708911654443</v>
      </c>
      <c r="BF202" s="1833">
        <v>2003.2652949999999</v>
      </c>
      <c r="BG202" s="1834">
        <v>1068.4710689999999</v>
      </c>
      <c r="BH202" s="1834">
        <v>1324.9220150000001</v>
      </c>
      <c r="BI202" s="1834">
        <v>1380.8979549999999</v>
      </c>
      <c r="BJ202" s="1834">
        <v>849.03994899999998</v>
      </c>
      <c r="BK202" s="1834">
        <v>429.510289</v>
      </c>
      <c r="BL202" s="1834">
        <v>779.11282200000005</v>
      </c>
      <c r="BM202" s="1834">
        <v>1041.8959339999999</v>
      </c>
      <c r="BN202" s="1834">
        <v>485.66542900000002</v>
      </c>
      <c r="BO202" s="1834">
        <v>396.75158865444337</v>
      </c>
      <c r="BP202" s="1834">
        <v>386.44187699999998</v>
      </c>
      <c r="BQ202" s="1835">
        <v>359.734689</v>
      </c>
      <c r="BR202" s="378">
        <f t="shared" si="785"/>
        <v>3002.833631</v>
      </c>
      <c r="BS202" s="1859">
        <v>167.61248699999999</v>
      </c>
      <c r="BT202" s="1860">
        <v>193.63068000000001</v>
      </c>
      <c r="BU202" s="1860">
        <v>312.365026</v>
      </c>
      <c r="BV202" s="1860">
        <v>437.693352</v>
      </c>
      <c r="BW202" s="1860">
        <v>243.34786600000001</v>
      </c>
      <c r="BX202" s="1860">
        <v>227.22503499999999</v>
      </c>
      <c r="BY202" s="1860">
        <v>537.12750300000005</v>
      </c>
      <c r="BZ202" s="1860">
        <v>117.244983</v>
      </c>
      <c r="CA202" s="1860">
        <v>373.81863600000003</v>
      </c>
      <c r="CB202" s="1860">
        <v>138.46473800000001</v>
      </c>
      <c r="CC202" s="1860">
        <v>194.67478800000001</v>
      </c>
      <c r="CD202" s="1861">
        <v>59.628537000000001</v>
      </c>
      <c r="CE202" s="378">
        <f t="shared" si="786"/>
        <v>0</v>
      </c>
      <c r="CF202" s="2483">
        <f t="shared" ref="CF202:CQ202" si="794">CF215*CF15/1000000</f>
        <v>0</v>
      </c>
      <c r="CG202" s="2251">
        <f t="shared" si="794"/>
        <v>0</v>
      </c>
      <c r="CH202" s="2251">
        <f t="shared" si="794"/>
        <v>0</v>
      </c>
      <c r="CI202" s="2251">
        <f t="shared" si="794"/>
        <v>0</v>
      </c>
      <c r="CJ202" s="2251">
        <f t="shared" si="794"/>
        <v>0</v>
      </c>
      <c r="CK202" s="2251">
        <f t="shared" si="794"/>
        <v>0</v>
      </c>
      <c r="CL202" s="2251">
        <f t="shared" si="794"/>
        <v>0</v>
      </c>
      <c r="CM202" s="2251">
        <f t="shared" si="794"/>
        <v>0</v>
      </c>
      <c r="CN202" s="2251">
        <f t="shared" si="794"/>
        <v>0</v>
      </c>
      <c r="CO202" s="2251">
        <f t="shared" si="794"/>
        <v>0</v>
      </c>
      <c r="CP202" s="2251">
        <f t="shared" si="794"/>
        <v>0</v>
      </c>
      <c r="CQ202" s="2252">
        <f t="shared" si="794"/>
        <v>0</v>
      </c>
    </row>
    <row r="203" spans="1:97">
      <c r="B203" s="3313"/>
      <c r="C203" s="3314"/>
      <c r="D203" s="101" t="s">
        <v>18</v>
      </c>
      <c r="E203" s="378">
        <f t="shared" ref="E203:E206" si="795">SUM(F203:Q203)</f>
        <v>3818.441417</v>
      </c>
      <c r="F203" s="460">
        <v>202.39061899999999</v>
      </c>
      <c r="G203" s="460">
        <v>160.70600999999999</v>
      </c>
      <c r="H203" s="335">
        <v>301.37195000000003</v>
      </c>
      <c r="I203" s="335">
        <v>160.08185499999999</v>
      </c>
      <c r="J203" s="335">
        <v>248.03921199999999</v>
      </c>
      <c r="K203" s="335">
        <v>223.13136900000001</v>
      </c>
      <c r="L203" s="335">
        <v>287.88506000000001</v>
      </c>
      <c r="M203" s="335">
        <v>479.684664</v>
      </c>
      <c r="N203" s="335">
        <v>834.31565899999998</v>
      </c>
      <c r="O203" s="335">
        <v>229.90513799999999</v>
      </c>
      <c r="P203" s="335">
        <v>313.84506399999998</v>
      </c>
      <c r="Q203" s="335">
        <v>377.08481699999999</v>
      </c>
      <c r="R203" s="378">
        <f t="shared" ref="R203:R205" si="796">SUM(S203:AD203)</f>
        <v>4571.7413470000001</v>
      </c>
      <c r="S203" s="460">
        <v>338.29223400000001</v>
      </c>
      <c r="T203" s="460">
        <v>96.898151999999996</v>
      </c>
      <c r="U203" s="460">
        <v>64.494162000000003</v>
      </c>
      <c r="V203" s="460">
        <v>307.09109000000001</v>
      </c>
      <c r="W203" s="460">
        <v>502.15807999999998</v>
      </c>
      <c r="X203" s="460">
        <v>297.61046599999997</v>
      </c>
      <c r="Y203" s="460">
        <v>389.63583699999998</v>
      </c>
      <c r="Z203" s="460">
        <v>756.79952700000001</v>
      </c>
      <c r="AA203" s="460">
        <v>475.512517</v>
      </c>
      <c r="AB203" s="460">
        <v>443.62486699999999</v>
      </c>
      <c r="AC203" s="460">
        <v>528.85530600000004</v>
      </c>
      <c r="AD203" s="460">
        <v>370.76910900000001</v>
      </c>
      <c r="AE203" s="378">
        <f t="shared" ref="AE203:AE205" si="797">SUM(AF203:AQ203)</f>
        <v>3676.4605394454534</v>
      </c>
      <c r="AF203" s="460">
        <v>343.18664754545398</v>
      </c>
      <c r="AG203" s="460">
        <v>416.19794000000002</v>
      </c>
      <c r="AH203" s="460">
        <v>335.75478700000002</v>
      </c>
      <c r="AI203" s="460">
        <v>151.71037799999999</v>
      </c>
      <c r="AJ203" s="460">
        <v>228.8700159</v>
      </c>
      <c r="AK203" s="460">
        <v>220.764613</v>
      </c>
      <c r="AL203" s="460">
        <v>409.04195199999998</v>
      </c>
      <c r="AM203" s="460">
        <v>651.38910699999997</v>
      </c>
      <c r="AN203" s="460">
        <v>121.842218</v>
      </c>
      <c r="AO203" s="460">
        <v>472.70715899999999</v>
      </c>
      <c r="AP203" s="460">
        <v>259.17650200000003</v>
      </c>
      <c r="AQ203" s="460">
        <v>65.819220000000001</v>
      </c>
      <c r="AR203" s="378">
        <f t="shared" ref="AR203:AR206" si="798">SUM(AS203:BD203)</f>
        <v>2687.2232089999998</v>
      </c>
      <c r="AS203" s="923">
        <v>347.611786</v>
      </c>
      <c r="AT203" s="335">
        <v>253.57188500000001</v>
      </c>
      <c r="AU203" s="335">
        <v>186.64997700000001</v>
      </c>
      <c r="AV203" s="335">
        <v>185.580095</v>
      </c>
      <c r="AW203" s="335">
        <v>78.818606000000003</v>
      </c>
      <c r="AX203" s="335">
        <v>144.76284699999999</v>
      </c>
      <c r="AY203" s="335">
        <v>129.49856299999999</v>
      </c>
      <c r="AZ203" s="335">
        <v>426.59490799999998</v>
      </c>
      <c r="BA203" s="335">
        <v>177.38615300000001</v>
      </c>
      <c r="BB203" s="335">
        <v>300.54822200000001</v>
      </c>
      <c r="BC203" s="335">
        <v>242.32373999999999</v>
      </c>
      <c r="BD203" s="1516">
        <v>213.87642700000001</v>
      </c>
      <c r="BE203" s="378">
        <f t="shared" ref="BE203:BE206" si="799">SUM(BF203:BQ203)</f>
        <v>5572.3239850000009</v>
      </c>
      <c r="BF203" s="1833">
        <v>842.448576</v>
      </c>
      <c r="BG203" s="1834">
        <v>214.78320400000001</v>
      </c>
      <c r="BH203" s="1834">
        <v>390.00777199999999</v>
      </c>
      <c r="BI203" s="1834">
        <v>1097.760413</v>
      </c>
      <c r="BJ203" s="1834">
        <v>160.38330500000001</v>
      </c>
      <c r="BK203" s="1834">
        <v>273.654856</v>
      </c>
      <c r="BL203" s="1834">
        <v>529.86608999999999</v>
      </c>
      <c r="BM203" s="1834">
        <v>454.40169600000002</v>
      </c>
      <c r="BN203" s="1834">
        <v>860.82465000000002</v>
      </c>
      <c r="BO203" s="1834">
        <v>308.944658</v>
      </c>
      <c r="BP203" s="1834">
        <v>316.85550899999998</v>
      </c>
      <c r="BQ203" s="1835">
        <v>122.39325599999999</v>
      </c>
      <c r="BR203" s="378">
        <f t="shared" si="785"/>
        <v>4342.4275939999998</v>
      </c>
      <c r="BS203" s="1859">
        <v>276.61108999999999</v>
      </c>
      <c r="BT203" s="1860">
        <v>492.45590499999997</v>
      </c>
      <c r="BU203" s="1860">
        <v>461.60799700000001</v>
      </c>
      <c r="BV203" s="1860">
        <v>206.77966699999999</v>
      </c>
      <c r="BW203" s="1860">
        <v>184.28609900000001</v>
      </c>
      <c r="BX203" s="1860">
        <v>190.88706300000001</v>
      </c>
      <c r="BY203" s="1860">
        <v>338.39108900000002</v>
      </c>
      <c r="BZ203" s="1860">
        <v>240.32996900000001</v>
      </c>
      <c r="CA203" s="1860">
        <v>656.60242700000003</v>
      </c>
      <c r="CB203" s="1860">
        <v>337.12836199999998</v>
      </c>
      <c r="CC203" s="1860">
        <v>372.70427100000001</v>
      </c>
      <c r="CD203" s="1861">
        <v>584.64365499999997</v>
      </c>
      <c r="CE203" s="378">
        <f t="shared" si="786"/>
        <v>4926.7127853827687</v>
      </c>
      <c r="CF203" s="2483">
        <f t="shared" ref="CF203:CQ203" si="800">((CF216*CF16)/1000000)-375</f>
        <v>202.8455193527368</v>
      </c>
      <c r="CG203" s="2251">
        <f t="shared" si="800"/>
        <v>202.84551935273453</v>
      </c>
      <c r="CH203" s="2251">
        <f t="shared" si="800"/>
        <v>252.22825650097457</v>
      </c>
      <c r="CI203" s="2251">
        <f t="shared" si="800"/>
        <v>339.68444881086316</v>
      </c>
      <c r="CJ203" s="2251">
        <f t="shared" si="800"/>
        <v>148.81618935040103</v>
      </c>
      <c r="CK203" s="2251">
        <f t="shared" si="800"/>
        <v>196.25168332393503</v>
      </c>
      <c r="CL203" s="2251">
        <f t="shared" si="800"/>
        <v>469.70121454811976</v>
      </c>
      <c r="CM203" s="2251">
        <f t="shared" si="800"/>
        <v>184.70708608251061</v>
      </c>
      <c r="CN203" s="2251">
        <f t="shared" si="800"/>
        <v>1148.6517895713077</v>
      </c>
      <c r="CO203" s="2251">
        <f t="shared" si="800"/>
        <v>1411.5669063241637</v>
      </c>
      <c r="CP203" s="2251">
        <f t="shared" si="800"/>
        <v>184.70708608251061</v>
      </c>
      <c r="CQ203" s="2252">
        <f t="shared" si="800"/>
        <v>184.70708608251061</v>
      </c>
    </row>
    <row r="204" spans="1:97">
      <c r="B204" s="3313"/>
      <c r="C204" s="3314"/>
      <c r="D204" s="101" t="s">
        <v>244</v>
      </c>
      <c r="E204" s="378">
        <f t="shared" si="795"/>
        <v>370.98590799999999</v>
      </c>
      <c r="F204" s="460">
        <v>8.7672709999999991</v>
      </c>
      <c r="G204" s="460">
        <v>2.4752719999999999</v>
      </c>
      <c r="H204" s="335">
        <v>11.11988</v>
      </c>
      <c r="I204" s="335">
        <v>6.3109260000000003</v>
      </c>
      <c r="J204" s="335">
        <v>9.3236720000000002</v>
      </c>
      <c r="K204" s="335">
        <v>8.0410330000000005</v>
      </c>
      <c r="L204" s="335">
        <v>10.870362999999999</v>
      </c>
      <c r="M204" s="335">
        <v>12.030271000000001</v>
      </c>
      <c r="N204" s="335">
        <v>31.279544999999999</v>
      </c>
      <c r="O204" s="335">
        <v>62.501054000000003</v>
      </c>
      <c r="P204" s="335">
        <v>64.686715000000007</v>
      </c>
      <c r="Q204" s="335">
        <v>143.57990599999999</v>
      </c>
      <c r="R204" s="378">
        <f t="shared" si="796"/>
        <v>848.168679</v>
      </c>
      <c r="S204" s="460">
        <v>27.609608999999999</v>
      </c>
      <c r="T204" s="460">
        <v>145.347228</v>
      </c>
      <c r="U204" s="460">
        <v>96.741243999999995</v>
      </c>
      <c r="V204" s="460">
        <v>17.222180999999999</v>
      </c>
      <c r="W204" s="460">
        <v>10.771000000000001</v>
      </c>
      <c r="X204" s="460">
        <v>14.965816999999999</v>
      </c>
      <c r="Y204" s="460">
        <v>11.290888000000001</v>
      </c>
      <c r="Z204" s="460">
        <v>24.347898000000001</v>
      </c>
      <c r="AA204" s="460">
        <v>18.753544999999999</v>
      </c>
      <c r="AB204" s="460">
        <v>3.9413619999999998</v>
      </c>
      <c r="AC204" s="460">
        <v>9.6620899999999992</v>
      </c>
      <c r="AD204" s="460">
        <v>467.51581700000003</v>
      </c>
      <c r="AE204" s="378">
        <f t="shared" si="797"/>
        <v>177.23566155454552</v>
      </c>
      <c r="AF204" s="460">
        <v>16.321636454545498</v>
      </c>
      <c r="AG204" s="460">
        <v>5.0859990000000002</v>
      </c>
      <c r="AH204" s="460">
        <v>10.857998</v>
      </c>
      <c r="AI204" s="460">
        <v>22.887499999999999</v>
      </c>
      <c r="AJ204" s="460">
        <v>20.929817100000001</v>
      </c>
      <c r="AK204" s="460">
        <v>2.3061799999999999</v>
      </c>
      <c r="AL204" s="460">
        <v>9.9781980000000008</v>
      </c>
      <c r="AM204" s="460">
        <v>41.750653999999997</v>
      </c>
      <c r="AN204" s="460">
        <v>7.1725450000000004</v>
      </c>
      <c r="AO204" s="460">
        <v>12.786362</v>
      </c>
      <c r="AP204" s="460">
        <v>16.428000000000001</v>
      </c>
      <c r="AQ204" s="460">
        <v>10.730772</v>
      </c>
      <c r="AR204" s="378">
        <f t="shared" si="798"/>
        <v>153.244283</v>
      </c>
      <c r="AS204" s="923">
        <v>21.809272</v>
      </c>
      <c r="AT204" s="335">
        <v>10.973254000000001</v>
      </c>
      <c r="AU204" s="335">
        <v>6.3851810000000002</v>
      </c>
      <c r="AV204" s="335">
        <v>26.752272000000001</v>
      </c>
      <c r="AW204" s="335">
        <v>7.3312720000000002</v>
      </c>
      <c r="AX204" s="335">
        <v>8.1250900000000001</v>
      </c>
      <c r="AY204" s="335">
        <v>7.786543</v>
      </c>
      <c r="AZ204" s="335">
        <v>3.195363</v>
      </c>
      <c r="BA204" s="335">
        <v>8.9028130000000001</v>
      </c>
      <c r="BB204" s="335">
        <v>1.637726</v>
      </c>
      <c r="BC204" s="335">
        <v>12.117407</v>
      </c>
      <c r="BD204" s="1516">
        <v>38.228090000000002</v>
      </c>
      <c r="BE204" s="378">
        <f t="shared" si="799"/>
        <v>190.91815299999999</v>
      </c>
      <c r="BF204" s="1833">
        <v>2.219681</v>
      </c>
      <c r="BG204" s="1834">
        <v>3.0770900000000001</v>
      </c>
      <c r="BH204" s="1834">
        <v>10.037179999999999</v>
      </c>
      <c r="BI204" s="1834">
        <v>3.3879069999999998</v>
      </c>
      <c r="BJ204" s="1834">
        <v>14.643363000000001</v>
      </c>
      <c r="BK204" s="1834">
        <v>6.1326809999999998</v>
      </c>
      <c r="BL204" s="1834">
        <v>87.568906999999996</v>
      </c>
      <c r="BM204" s="1834">
        <v>9.1147240000000007</v>
      </c>
      <c r="BN204" s="1834">
        <v>5.2541779999999996</v>
      </c>
      <c r="BO204" s="1834">
        <v>16.766271</v>
      </c>
      <c r="BP204" s="1834">
        <v>11.593655999999999</v>
      </c>
      <c r="BQ204" s="1835">
        <v>21.122515</v>
      </c>
      <c r="BR204" s="378">
        <f t="shared" si="785"/>
        <v>168.73718</v>
      </c>
      <c r="BS204" s="1859">
        <v>15.934362999999999</v>
      </c>
      <c r="BT204" s="1860">
        <v>6.4435409999999997</v>
      </c>
      <c r="BU204" s="1860">
        <v>4.5976330000000001</v>
      </c>
      <c r="BV204" s="1860">
        <v>21.565905000000001</v>
      </c>
      <c r="BW204" s="1860">
        <v>15.275907</v>
      </c>
      <c r="BX204" s="1860">
        <v>14.814177000000001</v>
      </c>
      <c r="BY204" s="1860">
        <v>12.843735000000001</v>
      </c>
      <c r="BZ204" s="1860">
        <v>13.172276999999999</v>
      </c>
      <c r="CA204" s="1860">
        <v>24.890180999999998</v>
      </c>
      <c r="CB204" s="1860">
        <v>8.3140879999999999</v>
      </c>
      <c r="CC204" s="1860">
        <v>19.748995000000001</v>
      </c>
      <c r="CD204" s="1861">
        <v>11.136378000000001</v>
      </c>
      <c r="CE204" s="378">
        <f t="shared" si="786"/>
        <v>168.13697229477202</v>
      </c>
      <c r="CF204" s="2483">
        <f t="shared" ref="CF204:CQ204" si="801">(CF217*CF20)/1000000</f>
        <v>16.75705416169</v>
      </c>
      <c r="CG204" s="2251">
        <f t="shared" si="801"/>
        <v>5.1419399393678793</v>
      </c>
      <c r="CH204" s="2251">
        <f t="shared" si="801"/>
        <v>15.002573667952312</v>
      </c>
      <c r="CI204" s="2251">
        <f t="shared" si="801"/>
        <v>14.950750005792328</v>
      </c>
      <c r="CJ204" s="2251">
        <f t="shared" si="801"/>
        <v>16.064602078409997</v>
      </c>
      <c r="CK204" s="2251">
        <f t="shared" si="801"/>
        <v>15.579032958509998</v>
      </c>
      <c r="CL204" s="2251">
        <f t="shared" si="801"/>
        <v>17.066120441663678</v>
      </c>
      <c r="CM204" s="2251">
        <f t="shared" si="801"/>
        <v>14.977618596190178</v>
      </c>
      <c r="CN204" s="2251">
        <f t="shared" si="801"/>
        <v>17.066120441663678</v>
      </c>
      <c r="CO204" s="2251">
        <f t="shared" si="801"/>
        <v>14.977618596190178</v>
      </c>
      <c r="CP204" s="2251">
        <f t="shared" si="801"/>
        <v>14.965924944716248</v>
      </c>
      <c r="CQ204" s="2252">
        <f t="shared" si="801"/>
        <v>5.5876164626255349</v>
      </c>
    </row>
    <row r="205" spans="1:97">
      <c r="B205" s="3313"/>
      <c r="C205" s="3314"/>
      <c r="D205" s="1418" t="s">
        <v>678</v>
      </c>
      <c r="E205" s="378">
        <f t="shared" si="795"/>
        <v>21402.521918999999</v>
      </c>
      <c r="F205" s="460">
        <v>1745.4757030000001</v>
      </c>
      <c r="G205" s="460">
        <v>2582.094294</v>
      </c>
      <c r="H205" s="335">
        <v>2056.125059</v>
      </c>
      <c r="I205" s="335">
        <v>1503.909997</v>
      </c>
      <c r="J205" s="335">
        <v>1642.8536939999999</v>
      </c>
      <c r="K205" s="335">
        <v>1331.728754</v>
      </c>
      <c r="L205" s="335">
        <v>1493.1195230000001</v>
      </c>
      <c r="M205" s="335">
        <v>1749.0492790000001</v>
      </c>
      <c r="N205" s="335">
        <v>1779.1241620000001</v>
      </c>
      <c r="O205" s="335">
        <v>1374.7907439999999</v>
      </c>
      <c r="P205" s="335">
        <v>1678.6462329999999</v>
      </c>
      <c r="Q205" s="335">
        <v>2465.6044769999999</v>
      </c>
      <c r="R205" s="378">
        <f t="shared" si="796"/>
        <v>24317.716611</v>
      </c>
      <c r="S205" s="460">
        <v>2216.3323919999998</v>
      </c>
      <c r="T205" s="460">
        <v>1899.4342670000001</v>
      </c>
      <c r="U205" s="460">
        <v>2158.7865630000001</v>
      </c>
      <c r="V205" s="460">
        <v>1937.6379770000001</v>
      </c>
      <c r="W205" s="460">
        <v>1588.2576750000001</v>
      </c>
      <c r="X205" s="460">
        <v>1937.797818</v>
      </c>
      <c r="Y205" s="460">
        <v>1336.091021</v>
      </c>
      <c r="Z205" s="460">
        <v>1801.7806969999999</v>
      </c>
      <c r="AA205" s="460">
        <v>1820.0318339999999</v>
      </c>
      <c r="AB205" s="460">
        <v>2342.3581819999999</v>
      </c>
      <c r="AC205" s="460">
        <v>2749.9697900000001</v>
      </c>
      <c r="AD205" s="460">
        <v>2529.2383949999999</v>
      </c>
      <c r="AE205" s="378">
        <f t="shared" si="797"/>
        <v>40785.765438000002</v>
      </c>
      <c r="AF205" s="460">
        <v>2401.6932270000002</v>
      </c>
      <c r="AG205" s="460">
        <v>3356.253291</v>
      </c>
      <c r="AH205" s="460">
        <v>3004.5124989999999</v>
      </c>
      <c r="AI205" s="460">
        <v>2538.8765069999999</v>
      </c>
      <c r="AJ205" s="460">
        <v>2335.7325719999999</v>
      </c>
      <c r="AK205" s="460">
        <v>10063.202611000001</v>
      </c>
      <c r="AL205" s="460">
        <v>2111.4434860000001</v>
      </c>
      <c r="AM205" s="460">
        <v>2833.9659839999999</v>
      </c>
      <c r="AN205" s="460">
        <v>5032.7930720000004</v>
      </c>
      <c r="AO205" s="460">
        <v>3846.406054</v>
      </c>
      <c r="AP205" s="460">
        <v>1783.5862279999999</v>
      </c>
      <c r="AQ205" s="460">
        <v>1477.2999070000001</v>
      </c>
      <c r="AR205" s="378">
        <f t="shared" si="798"/>
        <v>27641.394558999997</v>
      </c>
      <c r="AS205" s="923">
        <v>1651.160527</v>
      </c>
      <c r="AT205" s="335">
        <v>3409.186561</v>
      </c>
      <c r="AU205" s="335">
        <v>4444.3693620000004</v>
      </c>
      <c r="AV205" s="335">
        <v>1995.798055</v>
      </c>
      <c r="AW205" s="335">
        <v>2522.9167040000002</v>
      </c>
      <c r="AX205" s="335">
        <v>2413.9315449999999</v>
      </c>
      <c r="AY205" s="335">
        <v>1684.0858290000001</v>
      </c>
      <c r="AZ205" s="335">
        <v>2081.3870179999999</v>
      </c>
      <c r="BA205" s="335">
        <v>1610.1816309999999</v>
      </c>
      <c r="BB205" s="335">
        <v>2701.1033969999999</v>
      </c>
      <c r="BC205" s="335">
        <v>2039.0325519999999</v>
      </c>
      <c r="BD205" s="1516">
        <v>1088.2413779999999</v>
      </c>
      <c r="BE205" s="378">
        <f t="shared" si="799"/>
        <v>42408.358963999999</v>
      </c>
      <c r="BF205" s="1833">
        <v>1140.024281</v>
      </c>
      <c r="BG205" s="1834">
        <v>1017.024685</v>
      </c>
      <c r="BH205" s="1834">
        <v>804.09519599999999</v>
      </c>
      <c r="BI205" s="1834">
        <v>650.21728900000005</v>
      </c>
      <c r="BJ205" s="1834">
        <v>606.46002199999998</v>
      </c>
      <c r="BK205" s="1834">
        <v>503.95127600000001</v>
      </c>
      <c r="BL205" s="1834">
        <v>1201.7866779999999</v>
      </c>
      <c r="BM205" s="1834">
        <v>5269.5537350000004</v>
      </c>
      <c r="BN205" s="1834">
        <v>4727.5623029999997</v>
      </c>
      <c r="BO205" s="1834">
        <v>21974.697692000002</v>
      </c>
      <c r="BP205" s="1834">
        <v>4038.8118720000002</v>
      </c>
      <c r="BQ205" s="1835">
        <v>474.17393499999997</v>
      </c>
      <c r="BR205" s="378">
        <f t="shared" si="785"/>
        <v>83027.784583000001</v>
      </c>
      <c r="BS205" s="1859">
        <v>18282.783735000001</v>
      </c>
      <c r="BT205" s="1860">
        <v>21498.736720000001</v>
      </c>
      <c r="BU205" s="1860">
        <v>12572.025142</v>
      </c>
      <c r="BV205" s="1860">
        <v>904.04503599999998</v>
      </c>
      <c r="BW205" s="1860">
        <v>1336.141676</v>
      </c>
      <c r="BX205" s="1860">
        <v>12327.080064</v>
      </c>
      <c r="BY205" s="1860">
        <v>785.35260600000004</v>
      </c>
      <c r="BZ205" s="1860">
        <v>1915.884024</v>
      </c>
      <c r="CA205" s="1860">
        <v>2322.7650189999999</v>
      </c>
      <c r="CB205" s="1860">
        <v>2720.5171270000001</v>
      </c>
      <c r="CC205" s="1860">
        <v>7242.3669259999997</v>
      </c>
      <c r="CD205" s="1861">
        <v>1120.0865080000001</v>
      </c>
      <c r="CE205" s="378">
        <f t="shared" si="786"/>
        <v>91891.944772280083</v>
      </c>
      <c r="CF205" s="2483">
        <f t="shared" ref="CF205:CQ205" si="802">CF218*(CF17+CF21)/1000000-336.504846826458-160.4904222797-1166.66666666667</f>
        <v>7539.395746966009</v>
      </c>
      <c r="CG205" s="2251">
        <f t="shared" si="802"/>
        <v>7709.6992440085651</v>
      </c>
      <c r="CH205" s="2251">
        <f t="shared" si="802"/>
        <v>7777.8206428255889</v>
      </c>
      <c r="CI205" s="2251">
        <f t="shared" si="802"/>
        <v>7704.0224607738128</v>
      </c>
      <c r="CJ205" s="2251">
        <f t="shared" si="802"/>
        <v>7505.3350475574989</v>
      </c>
      <c r="CK205" s="2251">
        <f t="shared" si="802"/>
        <v>7721.0528104780697</v>
      </c>
      <c r="CL205" s="2251">
        <f t="shared" si="802"/>
        <v>7505.3350475574989</v>
      </c>
      <c r="CM205" s="2251">
        <f t="shared" si="802"/>
        <v>7721.0528104780697</v>
      </c>
      <c r="CN205" s="2251">
        <f t="shared" si="802"/>
        <v>7505.3350475574989</v>
      </c>
      <c r="CO205" s="2251">
        <f t="shared" si="802"/>
        <v>7721.0528104780697</v>
      </c>
      <c r="CP205" s="2251">
        <f t="shared" si="802"/>
        <v>7704.0224607738128</v>
      </c>
      <c r="CQ205" s="2252">
        <f t="shared" si="802"/>
        <v>7777.8206428255889</v>
      </c>
    </row>
    <row r="206" spans="1:97">
      <c r="B206" s="3313"/>
      <c r="C206" s="3314"/>
      <c r="D206" s="2772" t="s">
        <v>723</v>
      </c>
      <c r="E206" s="381">
        <f t="shared" si="795"/>
        <v>4598.7151269999958</v>
      </c>
      <c r="F206" s="336">
        <v>1866.9708060000194</v>
      </c>
      <c r="G206" s="336">
        <v>30.19519500000024</v>
      </c>
      <c r="H206" s="336">
        <v>196.2342900000076</v>
      </c>
      <c r="I206" s="336">
        <v>1197.6344170000011</v>
      </c>
      <c r="J206" s="336">
        <v>51.980314999993425</v>
      </c>
      <c r="K206" s="336">
        <v>381.06050400000095</v>
      </c>
      <c r="L206" s="336">
        <v>48.63684999999532</v>
      </c>
      <c r="M206" s="336">
        <v>122.74658599999384</v>
      </c>
      <c r="N206" s="336">
        <v>99.397876999995788</v>
      </c>
      <c r="O206" s="336">
        <v>19.657423999997263</v>
      </c>
      <c r="P206" s="336">
        <v>489.46841599999607</v>
      </c>
      <c r="Q206" s="336">
        <v>94.732446999994863</v>
      </c>
      <c r="R206" s="381"/>
      <c r="S206" s="336">
        <f t="shared" ref="S206:AD206" si="803">S196-SUM(S197:S205)</f>
        <v>48.953347000002395</v>
      </c>
      <c r="T206" s="336">
        <f t="shared" si="803"/>
        <v>135.70793499999854</v>
      </c>
      <c r="U206" s="336">
        <f t="shared" si="803"/>
        <v>202.22165200000745</v>
      </c>
      <c r="V206" s="336">
        <f t="shared" si="803"/>
        <v>1975.3715010000014</v>
      </c>
      <c r="W206" s="336">
        <f t="shared" si="803"/>
        <v>498.72039799999766</v>
      </c>
      <c r="X206" s="336">
        <f t="shared" si="803"/>
        <v>968.26577299999917</v>
      </c>
      <c r="Y206" s="336">
        <f t="shared" si="803"/>
        <v>125.89242400000148</v>
      </c>
      <c r="Z206" s="336">
        <f t="shared" si="803"/>
        <v>226.89311699999234</v>
      </c>
      <c r="AA206" s="336">
        <f t="shared" si="803"/>
        <v>7631.6979700000011</v>
      </c>
      <c r="AB206" s="336">
        <f t="shared" si="803"/>
        <v>859.33511500000895</v>
      </c>
      <c r="AC206" s="336">
        <f t="shared" si="803"/>
        <v>3215.8935889999993</v>
      </c>
      <c r="AD206" s="336">
        <f t="shared" si="803"/>
        <v>1708.0279319999972</v>
      </c>
      <c r="AE206" s="381"/>
      <c r="AF206" s="336">
        <f t="shared" ref="AF206:AQ206" si="804">AF196-SUM(AF197:AF205)</f>
        <v>458.53314699999828</v>
      </c>
      <c r="AG206" s="336">
        <f t="shared" si="804"/>
        <v>4046.8165080000035</v>
      </c>
      <c r="AH206" s="336">
        <f t="shared" si="804"/>
        <v>232.9367590000038</v>
      </c>
      <c r="AI206" s="336">
        <f t="shared" si="804"/>
        <v>200.42211700000189</v>
      </c>
      <c r="AJ206" s="336">
        <f t="shared" si="804"/>
        <v>2609.491191000001</v>
      </c>
      <c r="AK206" s="336">
        <f t="shared" si="804"/>
        <v>638.30455399999482</v>
      </c>
      <c r="AL206" s="336">
        <f t="shared" si="804"/>
        <v>451.67569699999513</v>
      </c>
      <c r="AM206" s="336">
        <f t="shared" si="804"/>
        <v>2155.5739819999944</v>
      </c>
      <c r="AN206" s="336">
        <f t="shared" si="804"/>
        <v>192.62914899999305</v>
      </c>
      <c r="AO206" s="336">
        <f t="shared" si="804"/>
        <v>824.32242299999052</v>
      </c>
      <c r="AP206" s="336">
        <f t="shared" si="804"/>
        <v>4529.7440834999943</v>
      </c>
      <c r="AQ206" s="336">
        <f t="shared" si="804"/>
        <v>1986.3128649999999</v>
      </c>
      <c r="AR206" s="381">
        <f t="shared" si="798"/>
        <v>27570.017966999982</v>
      </c>
      <c r="AS206" s="1519">
        <f t="shared" ref="AS206:BD206" si="805">AS196-SUM(AS197:AS205)</f>
        <v>1889.4431550000008</v>
      </c>
      <c r="AT206" s="336">
        <f t="shared" si="805"/>
        <v>1940.4732890000014</v>
      </c>
      <c r="AU206" s="336">
        <f t="shared" si="805"/>
        <v>632.88816699999734</v>
      </c>
      <c r="AV206" s="336">
        <f t="shared" si="805"/>
        <v>2379.1708139999937</v>
      </c>
      <c r="AW206" s="336">
        <f t="shared" si="805"/>
        <v>4402.576520999999</v>
      </c>
      <c r="AX206" s="336">
        <f t="shared" si="805"/>
        <v>748.64485799999602</v>
      </c>
      <c r="AY206" s="336">
        <f t="shared" si="805"/>
        <v>718.07963699999891</v>
      </c>
      <c r="AZ206" s="336">
        <f t="shared" si="805"/>
        <v>2227.4157080000004</v>
      </c>
      <c r="BA206" s="336">
        <f t="shared" si="805"/>
        <v>3497.786710999997</v>
      </c>
      <c r="BB206" s="336">
        <f t="shared" si="805"/>
        <v>3145.6297209999902</v>
      </c>
      <c r="BC206" s="336">
        <f t="shared" si="805"/>
        <v>1324.4006410000075</v>
      </c>
      <c r="BD206" s="336">
        <f t="shared" si="805"/>
        <v>4663.5087449999992</v>
      </c>
      <c r="BE206" s="381">
        <f t="shared" si="799"/>
        <v>125278.29167099997</v>
      </c>
      <c r="BF206" s="2773">
        <f t="shared" ref="BF206:BQ206" si="806">BF196-SUM(BF197:BF205)</f>
        <v>37880.310387999998</v>
      </c>
      <c r="BG206" s="1848">
        <f t="shared" si="806"/>
        <v>11002.673717000001</v>
      </c>
      <c r="BH206" s="1848">
        <f t="shared" si="806"/>
        <v>10730.078798999999</v>
      </c>
      <c r="BI206" s="1848">
        <f t="shared" si="806"/>
        <v>5224.4120579999981</v>
      </c>
      <c r="BJ206" s="1848">
        <f t="shared" si="806"/>
        <v>2565.0436049999989</v>
      </c>
      <c r="BK206" s="1848">
        <f t="shared" si="806"/>
        <v>24275.406903999996</v>
      </c>
      <c r="BL206" s="1848">
        <f t="shared" si="806"/>
        <v>1299.3054669999983</v>
      </c>
      <c r="BM206" s="1848">
        <f t="shared" si="806"/>
        <v>4998.1357939999943</v>
      </c>
      <c r="BN206" s="1848">
        <f t="shared" si="806"/>
        <v>8183.6944349999976</v>
      </c>
      <c r="BO206" s="1848">
        <f t="shared" si="806"/>
        <v>6337.581499999993</v>
      </c>
      <c r="BP206" s="1848">
        <f t="shared" si="806"/>
        <v>2357.4011139999966</v>
      </c>
      <c r="BQ206" s="1849">
        <f t="shared" si="806"/>
        <v>10424.247889999999</v>
      </c>
      <c r="BR206" s="381">
        <f t="shared" si="785"/>
        <v>53393.065835000016</v>
      </c>
      <c r="BS206" s="2773">
        <f t="shared" ref="BS206:CD206" si="807">BS196-SUM(BS197:BS205)</f>
        <v>3537.1557649999959</v>
      </c>
      <c r="BT206" s="3140">
        <f t="shared" si="807"/>
        <v>6135.9341080000013</v>
      </c>
      <c r="BU206" s="3140">
        <f t="shared" si="807"/>
        <v>4519.4928509999954</v>
      </c>
      <c r="BV206" s="3140">
        <f t="shared" si="807"/>
        <v>2930.411251000005</v>
      </c>
      <c r="BW206" s="3140">
        <f t="shared" si="807"/>
        <v>4124.0716620000021</v>
      </c>
      <c r="BX206" s="3140">
        <f t="shared" si="807"/>
        <v>4502.443084999999</v>
      </c>
      <c r="BY206" s="3140">
        <f t="shared" si="807"/>
        <v>5303.4324570000026</v>
      </c>
      <c r="BZ206" s="3140">
        <f t="shared" si="807"/>
        <v>5775.4420219999993</v>
      </c>
      <c r="CA206" s="3140">
        <f t="shared" si="807"/>
        <v>5349.0791190000018</v>
      </c>
      <c r="CB206" s="3140">
        <f t="shared" si="807"/>
        <v>4132.7814050000015</v>
      </c>
      <c r="CC206" s="3140">
        <f t="shared" si="807"/>
        <v>5527.0635670000011</v>
      </c>
      <c r="CD206" s="3140">
        <f t="shared" si="807"/>
        <v>1555.7585430000036</v>
      </c>
      <c r="CE206" s="381">
        <f t="shared" si="786"/>
        <v>40495.023977282566</v>
      </c>
      <c r="CF206" s="2774">
        <f>(((4182.56401672871-6000)+1004.54996390332)-729.628232080907+500)-82.8252309322415+500</f>
        <v>-625.33948238111839</v>
      </c>
      <c r="CG206" s="2775">
        <f>(((4182.56401672871-6000)+1004.54996390332)-729.628232080907+500)-82.8252309322415-500</f>
        <v>-1625.3394823811184</v>
      </c>
      <c r="CH206" s="2775">
        <f>(((4182.56401672871+7000)+1004.54996390332)-729.628232080907-0.902234144043177)-82.8252309322415</f>
        <v>11373.758283474837</v>
      </c>
      <c r="CI206" s="2775">
        <v>4374.660517618885</v>
      </c>
      <c r="CJ206" s="2775">
        <v>4374.660517618885</v>
      </c>
      <c r="CK206" s="2775">
        <v>4374.660517618885</v>
      </c>
      <c r="CL206" s="2775">
        <f>(((4182.56401672871-7000)+1004.54996390332)-729.628232080907)-82.8252309322415</f>
        <v>-2625.3394823811182</v>
      </c>
      <c r="CM206" s="2775">
        <v>4374.660517618885</v>
      </c>
      <c r="CN206" s="2775">
        <v>4374.660517618885</v>
      </c>
      <c r="CO206" s="2775">
        <v>4374.660517618885</v>
      </c>
      <c r="CP206" s="2775">
        <v>3374.6605176188887</v>
      </c>
      <c r="CQ206" s="2809">
        <v>4374.660517618885</v>
      </c>
    </row>
    <row r="207" spans="1:97">
      <c r="A207" s="3154">
        <v>1.0209999999999999</v>
      </c>
      <c r="B207" s="3311" t="s">
        <v>206</v>
      </c>
      <c r="C207" s="3312"/>
      <c r="D207" s="228" t="s">
        <v>405</v>
      </c>
      <c r="E207" s="382">
        <f>E196/E8*1000000</f>
        <v>746183.69273424777</v>
      </c>
      <c r="F207" s="321">
        <v>816387.82974228985</v>
      </c>
      <c r="G207" s="321">
        <v>807832.51020938042</v>
      </c>
      <c r="H207" s="321">
        <v>774702.6241107086</v>
      </c>
      <c r="I207" s="321">
        <v>731708.79803981003</v>
      </c>
      <c r="J207" s="321">
        <v>602426.22553205094</v>
      </c>
      <c r="K207" s="321">
        <v>596004.68164055026</v>
      </c>
      <c r="L207" s="321">
        <v>616095.59803476324</v>
      </c>
      <c r="M207" s="321">
        <v>841857.89108341013</v>
      </c>
      <c r="N207" s="321">
        <v>780332.37983276765</v>
      </c>
      <c r="O207" s="321">
        <v>771771.76863795973</v>
      </c>
      <c r="P207" s="321">
        <v>804368.92526911513</v>
      </c>
      <c r="Q207" s="321">
        <v>803650.61416812742</v>
      </c>
      <c r="R207" s="382">
        <f t="shared" ref="R207:AQ207" si="808">R196/R8*1000000</f>
        <v>752230.6085592556</v>
      </c>
      <c r="S207" s="211">
        <f t="shared" si="808"/>
        <v>752161.15775391646</v>
      </c>
      <c r="T207" s="211">
        <f t="shared" si="808"/>
        <v>689203.98181017488</v>
      </c>
      <c r="U207" s="211">
        <f t="shared" si="808"/>
        <v>664052.62254849612</v>
      </c>
      <c r="V207" s="211">
        <f t="shared" si="808"/>
        <v>757088.79014869523</v>
      </c>
      <c r="W207" s="211">
        <f t="shared" si="808"/>
        <v>680743.01504665636</v>
      </c>
      <c r="X207" s="211">
        <f t="shared" si="808"/>
        <v>666682.63928805629</v>
      </c>
      <c r="Y207" s="211">
        <f t="shared" si="808"/>
        <v>650411.46402942052</v>
      </c>
      <c r="Z207" s="211">
        <f t="shared" si="808"/>
        <v>808070.52092319331</v>
      </c>
      <c r="AA207" s="211">
        <f t="shared" si="808"/>
        <v>937296.87691568118</v>
      </c>
      <c r="AB207" s="211">
        <f t="shared" si="808"/>
        <v>934576.81239624508</v>
      </c>
      <c r="AC207" s="211">
        <f t="shared" si="808"/>
        <v>883232.22393102432</v>
      </c>
      <c r="AD207" s="211">
        <f t="shared" si="808"/>
        <v>819978.48838030512</v>
      </c>
      <c r="AE207" s="382">
        <f t="shared" si="808"/>
        <v>792526.63917971542</v>
      </c>
      <c r="AF207" s="211">
        <f t="shared" si="808"/>
        <v>659651.13298888959</v>
      </c>
      <c r="AG207" s="211">
        <f t="shared" si="808"/>
        <v>901371.56925684621</v>
      </c>
      <c r="AH207" s="211">
        <f t="shared" si="808"/>
        <v>716334.92936912796</v>
      </c>
      <c r="AI207" s="211">
        <f t="shared" si="808"/>
        <v>655626.54630708299</v>
      </c>
      <c r="AJ207" s="211">
        <f t="shared" si="808"/>
        <v>689973.74293286214</v>
      </c>
      <c r="AK207" s="211">
        <f t="shared" si="808"/>
        <v>767600.92900342843</v>
      </c>
      <c r="AL207" s="211">
        <f t="shared" si="808"/>
        <v>639877.32324005244</v>
      </c>
      <c r="AM207" s="211">
        <f t="shared" si="808"/>
        <v>909159.18310799543</v>
      </c>
      <c r="AN207" s="211">
        <f t="shared" si="808"/>
        <v>748887.68664450943</v>
      </c>
      <c r="AO207" s="211">
        <f t="shared" si="808"/>
        <v>1134814.915964033</v>
      </c>
      <c r="AP207" s="211">
        <f t="shared" si="808"/>
        <v>972360.38163786836</v>
      </c>
      <c r="AQ207" s="211">
        <f t="shared" si="808"/>
        <v>924976.88301060395</v>
      </c>
      <c r="AR207" s="382">
        <f>(AR196/AR8*1000000)+600</f>
        <v>854515.37369308411</v>
      </c>
      <c r="AS207" s="927">
        <f t="shared" ref="AS207:BX207" si="809">AS196/AS8*1000000</f>
        <v>818168.10292667476</v>
      </c>
      <c r="AT207" s="211">
        <f t="shared" si="809"/>
        <v>992948.34707555221</v>
      </c>
      <c r="AU207" s="211">
        <f t="shared" si="809"/>
        <v>822623.32658847619</v>
      </c>
      <c r="AV207" s="211">
        <f t="shared" si="809"/>
        <v>750989.71010840975</v>
      </c>
      <c r="AW207" s="211">
        <f t="shared" si="809"/>
        <v>725162.95359532966</v>
      </c>
      <c r="AX207" s="211">
        <f t="shared" si="809"/>
        <v>606899.3403736006</v>
      </c>
      <c r="AY207" s="211">
        <f t="shared" si="809"/>
        <v>550779.77974011144</v>
      </c>
      <c r="AZ207" s="211">
        <f t="shared" si="809"/>
        <v>989759.28155198658</v>
      </c>
      <c r="BA207" s="211">
        <f t="shared" si="809"/>
        <v>738535.8644839311</v>
      </c>
      <c r="BB207" s="211">
        <f t="shared" si="809"/>
        <v>1142153.3575629864</v>
      </c>
      <c r="BC207" s="211">
        <f t="shared" si="809"/>
        <v>905922.30017061776</v>
      </c>
      <c r="BD207" s="925">
        <f t="shared" si="809"/>
        <v>917449.28456376307</v>
      </c>
      <c r="BE207" s="382">
        <f t="shared" si="809"/>
        <v>992717.44982530759</v>
      </c>
      <c r="BF207" s="927">
        <f t="shared" si="809"/>
        <v>1731114.1289591927</v>
      </c>
      <c r="BG207" s="211">
        <f t="shared" si="809"/>
        <v>1116794.3234249295</v>
      </c>
      <c r="BH207" s="211">
        <f t="shared" si="809"/>
        <v>933252.01683150686</v>
      </c>
      <c r="BI207" s="211">
        <f t="shared" si="809"/>
        <v>678823.43256307475</v>
      </c>
      <c r="BJ207" s="211">
        <f t="shared" si="809"/>
        <v>551654.08348978986</v>
      </c>
      <c r="BK207" s="211">
        <f t="shared" si="809"/>
        <v>1125522.4876444954</v>
      </c>
      <c r="BL207" s="211">
        <f t="shared" si="809"/>
        <v>892765.93617368303</v>
      </c>
      <c r="BM207" s="211">
        <f t="shared" si="809"/>
        <v>877680.8183784046</v>
      </c>
      <c r="BN207" s="211">
        <f t="shared" si="809"/>
        <v>1067007.0980216691</v>
      </c>
      <c r="BO207" s="211">
        <f t="shared" si="809"/>
        <v>1192118.3437494375</v>
      </c>
      <c r="BP207" s="211">
        <f t="shared" si="809"/>
        <v>661966.73203991388</v>
      </c>
      <c r="BQ207" s="235">
        <f t="shared" si="809"/>
        <v>812560.59566383541</v>
      </c>
      <c r="BR207" s="382">
        <f t="shared" si="809"/>
        <v>727440.24645453494</v>
      </c>
      <c r="BS207" s="976">
        <f t="shared" si="809"/>
        <v>1119295.4816011861</v>
      </c>
      <c r="BT207" s="977">
        <f t="shared" si="809"/>
        <v>1090965.7725570865</v>
      </c>
      <c r="BU207" s="977">
        <f t="shared" si="809"/>
        <v>856132.95825008128</v>
      </c>
      <c r="BV207" s="977">
        <f t="shared" si="809"/>
        <v>520398.57463181071</v>
      </c>
      <c r="BW207" s="977">
        <f t="shared" si="809"/>
        <v>453846.81095738796</v>
      </c>
      <c r="BX207" s="977">
        <f t="shared" si="809"/>
        <v>623922.66821563151</v>
      </c>
      <c r="BY207" s="977">
        <f t="shared" ref="BY207:CQ207" si="810">BY196/BY8*1000000</f>
        <v>717090.58099348925</v>
      </c>
      <c r="BZ207" s="977">
        <f t="shared" si="810"/>
        <v>629304.46979865769</v>
      </c>
      <c r="CA207" s="977">
        <f t="shared" si="810"/>
        <v>881238.85264507215</v>
      </c>
      <c r="CB207" s="977">
        <f t="shared" si="810"/>
        <v>649664.65220094507</v>
      </c>
      <c r="CC207" s="977">
        <f t="shared" si="810"/>
        <v>721109.68814648257</v>
      </c>
      <c r="CD207" s="1767">
        <f t="shared" si="810"/>
        <v>480730.41628734762</v>
      </c>
      <c r="CE207" s="382">
        <f t="shared" si="810"/>
        <v>708268.3886572771</v>
      </c>
      <c r="CF207" s="976">
        <f t="shared" si="810"/>
        <v>557929.07377935736</v>
      </c>
      <c r="CG207" s="977">
        <f t="shared" si="810"/>
        <v>596919.19367054105</v>
      </c>
      <c r="CH207" s="977">
        <f t="shared" si="810"/>
        <v>996126.81960991526</v>
      </c>
      <c r="CI207" s="977">
        <f t="shared" si="810"/>
        <v>698208.02838869544</v>
      </c>
      <c r="CJ207" s="977">
        <f t="shared" si="810"/>
        <v>668490.1057365716</v>
      </c>
      <c r="CK207" s="977">
        <f t="shared" si="810"/>
        <v>606928.81065640715</v>
      </c>
      <c r="CL207" s="977">
        <f t="shared" si="810"/>
        <v>717958.28868695174</v>
      </c>
      <c r="CM207" s="977">
        <f t="shared" si="810"/>
        <v>689499.38727207039</v>
      </c>
      <c r="CN207" s="977">
        <f t="shared" si="810"/>
        <v>862821.50165226229</v>
      </c>
      <c r="CO207" s="977">
        <f t="shared" si="810"/>
        <v>664850.1857228172</v>
      </c>
      <c r="CP207" s="977">
        <f t="shared" si="810"/>
        <v>622123.06812555529</v>
      </c>
      <c r="CQ207" s="1767">
        <f t="shared" si="810"/>
        <v>709768.17359383963</v>
      </c>
      <c r="CS207" s="2786"/>
    </row>
    <row r="208" spans="1:97" hidden="1">
      <c r="B208" s="3313"/>
      <c r="C208" s="3314"/>
      <c r="D208" s="228" t="s">
        <v>406</v>
      </c>
      <c r="E208" s="921"/>
      <c r="F208" s="338"/>
      <c r="G208" s="338"/>
      <c r="H208" s="338"/>
      <c r="I208" s="338"/>
      <c r="J208" s="338"/>
      <c r="K208" s="338"/>
      <c r="L208" s="338"/>
      <c r="M208" s="338"/>
      <c r="N208" s="338"/>
      <c r="O208" s="338"/>
      <c r="P208" s="338"/>
      <c r="Q208" s="338"/>
      <c r="R208" s="921">
        <f t="shared" ref="R208:AW208" si="811">(R196-R206)/R8*1000000</f>
        <v>752230.6085592556</v>
      </c>
      <c r="S208" s="922">
        <f t="shared" si="811"/>
        <v>751299.45476148557</v>
      </c>
      <c r="T208" s="922">
        <f t="shared" si="811"/>
        <v>686605.55695330002</v>
      </c>
      <c r="U208" s="922">
        <f t="shared" si="811"/>
        <v>660453.73214095028</v>
      </c>
      <c r="V208" s="922">
        <f t="shared" si="811"/>
        <v>718991.71389172808</v>
      </c>
      <c r="W208" s="922">
        <f t="shared" si="811"/>
        <v>671047.82846034213</v>
      </c>
      <c r="X208" s="922">
        <f t="shared" si="811"/>
        <v>648541.82855269325</v>
      </c>
      <c r="Y208" s="922">
        <f t="shared" si="811"/>
        <v>647908.88130404532</v>
      </c>
      <c r="Z208" s="922">
        <f t="shared" si="811"/>
        <v>804636.64855088922</v>
      </c>
      <c r="AA208" s="922">
        <f t="shared" si="811"/>
        <v>790547.56492644944</v>
      </c>
      <c r="AB208" s="922">
        <f t="shared" si="811"/>
        <v>921608.06537683727</v>
      </c>
      <c r="AC208" s="922">
        <f t="shared" si="811"/>
        <v>823858.95775792038</v>
      </c>
      <c r="AD208" s="922">
        <f t="shared" si="811"/>
        <v>782282.83099026734</v>
      </c>
      <c r="AE208" s="921">
        <f t="shared" si="811"/>
        <v>792526.63917971542</v>
      </c>
      <c r="AF208" s="922">
        <f t="shared" si="811"/>
        <v>650020.7138386576</v>
      </c>
      <c r="AG208" s="922">
        <f t="shared" si="811"/>
        <v>829919.7531648922</v>
      </c>
      <c r="AH208" s="922">
        <f t="shared" si="811"/>
        <v>711746.94097023888</v>
      </c>
      <c r="AI208" s="922">
        <f t="shared" si="811"/>
        <v>651735.15695868281</v>
      </c>
      <c r="AJ208" s="922">
        <f t="shared" si="811"/>
        <v>640926.84437260346</v>
      </c>
      <c r="AK208" s="922">
        <f t="shared" si="811"/>
        <v>755306.45398513041</v>
      </c>
      <c r="AL208" s="922">
        <f t="shared" si="811"/>
        <v>630002.4719720158</v>
      </c>
      <c r="AM208" s="922">
        <f t="shared" si="811"/>
        <v>873178.97976965457</v>
      </c>
      <c r="AN208" s="922">
        <f t="shared" si="811"/>
        <v>744675.74041194736</v>
      </c>
      <c r="AO208" s="922">
        <f t="shared" si="811"/>
        <v>1122663.9368514153</v>
      </c>
      <c r="AP208" s="922">
        <f t="shared" si="811"/>
        <v>866160.48752725497</v>
      </c>
      <c r="AQ208" s="922">
        <f t="shared" si="811"/>
        <v>867741.03512563393</v>
      </c>
      <c r="AR208" s="921">
        <f t="shared" si="811"/>
        <v>801921.58584909944</v>
      </c>
      <c r="AS208" s="965">
        <f t="shared" si="811"/>
        <v>770776.7378820926</v>
      </c>
      <c r="AT208" s="922">
        <f t="shared" si="811"/>
        <v>956358.17800129007</v>
      </c>
      <c r="AU208" s="922">
        <f t="shared" si="811"/>
        <v>807393.07943807251</v>
      </c>
      <c r="AV208" s="922">
        <f t="shared" si="811"/>
        <v>690333.83267545456</v>
      </c>
      <c r="AW208" s="922">
        <f t="shared" si="811"/>
        <v>622861.84685024142</v>
      </c>
      <c r="AX208" s="922">
        <f t="shared" ref="AX208:CC208" si="812">(AX196-AX206)/AX8*1000000</f>
        <v>588524.81528378418</v>
      </c>
      <c r="AY208" s="922">
        <f t="shared" si="812"/>
        <v>532926.59514273703</v>
      </c>
      <c r="AZ208" s="922">
        <f t="shared" si="812"/>
        <v>951484.72612022702</v>
      </c>
      <c r="BA208" s="922">
        <f t="shared" si="812"/>
        <v>644186.80418013048</v>
      </c>
      <c r="BB208" s="922">
        <f t="shared" si="812"/>
        <v>1095874.2867064269</v>
      </c>
      <c r="BC208" s="922">
        <f t="shared" si="812"/>
        <v>871056.20078500872</v>
      </c>
      <c r="BD208" s="1514">
        <f t="shared" si="812"/>
        <v>768694.87554036628</v>
      </c>
      <c r="BE208" s="921">
        <f t="shared" si="812"/>
        <v>764628.12150182726</v>
      </c>
      <c r="BF208" s="965">
        <f t="shared" si="812"/>
        <v>1033553.9052555982</v>
      </c>
      <c r="BG208" s="922">
        <f t="shared" si="812"/>
        <v>829398.1862135618</v>
      </c>
      <c r="BH208" s="922">
        <f t="shared" si="812"/>
        <v>660437.21936894546</v>
      </c>
      <c r="BI208" s="922">
        <f t="shared" si="812"/>
        <v>555635.22086771985</v>
      </c>
      <c r="BJ208" s="922">
        <f t="shared" si="812"/>
        <v>492199.62726282369</v>
      </c>
      <c r="BK208" s="922">
        <f t="shared" si="812"/>
        <v>492080.24919760984</v>
      </c>
      <c r="BL208" s="922">
        <f t="shared" si="812"/>
        <v>869219.68896902923</v>
      </c>
      <c r="BM208" s="922">
        <f t="shared" si="812"/>
        <v>756240.09641130315</v>
      </c>
      <c r="BN208" s="922">
        <f t="shared" si="812"/>
        <v>936231.19538815564</v>
      </c>
      <c r="BO208" s="922">
        <f t="shared" si="812"/>
        <v>1078040.7359733598</v>
      </c>
      <c r="BP208" s="922">
        <f t="shared" si="812"/>
        <v>607388.41810015519</v>
      </c>
      <c r="BQ208" s="1764">
        <f t="shared" si="812"/>
        <v>521315.40428028611</v>
      </c>
      <c r="BR208" s="921">
        <f t="shared" si="812"/>
        <v>644394.29487163539</v>
      </c>
      <c r="BS208" s="1887">
        <f t="shared" si="812"/>
        <v>1014413.1757449963</v>
      </c>
      <c r="BT208" s="1544">
        <f t="shared" si="812"/>
        <v>1000161.2484424252</v>
      </c>
      <c r="BU208" s="1544">
        <f t="shared" si="812"/>
        <v>751131.03336276195</v>
      </c>
      <c r="BV208" s="1544">
        <f t="shared" si="812"/>
        <v>457760.19635337609</v>
      </c>
      <c r="BW208" s="1544">
        <f t="shared" si="812"/>
        <v>388638.94216143567</v>
      </c>
      <c r="BX208" s="1544">
        <f t="shared" si="812"/>
        <v>536013.51529765502</v>
      </c>
      <c r="BY208" s="1544">
        <f t="shared" si="812"/>
        <v>640014.76921288227</v>
      </c>
      <c r="BZ208" s="1544">
        <f t="shared" si="812"/>
        <v>513252.50616887031</v>
      </c>
      <c r="CA208" s="1544">
        <f t="shared" si="812"/>
        <v>804197.19806714589</v>
      </c>
      <c r="CB208" s="1544">
        <f t="shared" si="812"/>
        <v>576250.40903115785</v>
      </c>
      <c r="CC208" s="1544">
        <f t="shared" si="812"/>
        <v>602744.47630367277</v>
      </c>
      <c r="CD208" s="2250">
        <f t="shared" ref="CD208:CQ208" si="813">(CD196-CD206)/CD8*1000000</f>
        <v>447168.5881566173</v>
      </c>
      <c r="CE208" s="921">
        <f t="shared" si="813"/>
        <v>647828.07700109296</v>
      </c>
      <c r="CF208" s="1887">
        <f t="shared" si="813"/>
        <v>568533.92261039233</v>
      </c>
      <c r="CG208" s="1544">
        <f t="shared" si="813"/>
        <v>630780.31198729924</v>
      </c>
      <c r="CH208" s="1544">
        <f t="shared" si="813"/>
        <v>817595.01151077833</v>
      </c>
      <c r="CI208" s="1544">
        <f t="shared" si="813"/>
        <v>612651.89529567293</v>
      </c>
      <c r="CJ208" s="1544">
        <f t="shared" si="813"/>
        <v>582837.39962132974</v>
      </c>
      <c r="CK208" s="1544">
        <f t="shared" si="813"/>
        <v>520239.52694453014</v>
      </c>
      <c r="CL208" s="1544">
        <f t="shared" si="813"/>
        <v>757431.14902741113</v>
      </c>
      <c r="CM208" s="1544">
        <f t="shared" si="813"/>
        <v>606399.81891818589</v>
      </c>
      <c r="CN208" s="1544">
        <f t="shared" si="813"/>
        <v>800695.19939063815</v>
      </c>
      <c r="CO208" s="1544">
        <f t="shared" si="813"/>
        <v>588466.81291491108</v>
      </c>
      <c r="CP208" s="1544">
        <f t="shared" si="813"/>
        <v>558803.76045519416</v>
      </c>
      <c r="CQ208" s="2250">
        <f t="shared" si="813"/>
        <v>615725.71370558301</v>
      </c>
      <c r="CS208" s="2785"/>
    </row>
    <row r="209" spans="1:96">
      <c r="B209" s="3313"/>
      <c r="C209" s="3314"/>
      <c r="D209" s="228" t="s">
        <v>545</v>
      </c>
      <c r="E209" s="747"/>
      <c r="F209" s="335"/>
      <c r="G209" s="335"/>
      <c r="H209" s="335"/>
      <c r="I209" s="335"/>
      <c r="J209" s="335"/>
      <c r="K209" s="335"/>
      <c r="L209" s="335"/>
      <c r="M209" s="335"/>
      <c r="N209" s="335"/>
      <c r="O209" s="335"/>
      <c r="P209" s="335"/>
      <c r="Q209" s="335"/>
      <c r="R209" s="747"/>
      <c r="S209" s="1885"/>
      <c r="T209" s="1885"/>
      <c r="U209" s="1885"/>
      <c r="V209" s="1885"/>
      <c r="W209" s="1885"/>
      <c r="X209" s="1885"/>
      <c r="Y209" s="1885"/>
      <c r="Z209" s="1885"/>
      <c r="AA209" s="1885"/>
      <c r="AB209" s="1885"/>
      <c r="AC209" s="1885"/>
      <c r="AD209" s="1885"/>
      <c r="AE209" s="747"/>
      <c r="AF209" s="1885"/>
      <c r="AG209" s="1885"/>
      <c r="AH209" s="1885"/>
      <c r="AI209" s="1885"/>
      <c r="AJ209" s="1885"/>
      <c r="AK209" s="1885"/>
      <c r="AL209" s="1885"/>
      <c r="AM209" s="1885"/>
      <c r="AN209" s="1885"/>
      <c r="AO209" s="1885"/>
      <c r="AP209" s="1885"/>
      <c r="AQ209" s="1885"/>
      <c r="AR209" s="921">
        <f t="shared" ref="AR209:BQ209" si="814">(AR196-AR197)/(AR8-AR9)*1000000</f>
        <v>980516.58054314053</v>
      </c>
      <c r="AS209" s="1887">
        <f t="shared" si="814"/>
        <v>912035.59579435328</v>
      </c>
      <c r="AT209" s="1544">
        <f t="shared" si="814"/>
        <v>1081532.2041875594</v>
      </c>
      <c r="AU209" s="1544">
        <f t="shared" si="814"/>
        <v>927130.9539140386</v>
      </c>
      <c r="AV209" s="1544">
        <f t="shared" si="814"/>
        <v>870485.87117643096</v>
      </c>
      <c r="AW209" s="1544">
        <f t="shared" si="814"/>
        <v>890197.20230833138</v>
      </c>
      <c r="AX209" s="1544">
        <f t="shared" si="814"/>
        <v>692900.24912412232</v>
      </c>
      <c r="AY209" s="1544">
        <f t="shared" si="814"/>
        <v>651501.75053032907</v>
      </c>
      <c r="AZ209" s="922">
        <f t="shared" si="814"/>
        <v>1134728.1621529278</v>
      </c>
      <c r="BA209" s="922">
        <f t="shared" si="814"/>
        <v>830091.61360768229</v>
      </c>
      <c r="BB209" s="922">
        <f t="shared" si="814"/>
        <v>1262909.4769085629</v>
      </c>
      <c r="BC209" s="922">
        <f t="shared" si="814"/>
        <v>1039816.8499000904</v>
      </c>
      <c r="BD209" s="1888">
        <f t="shared" si="814"/>
        <v>1101392.7889992222</v>
      </c>
      <c r="BE209" s="921">
        <f t="shared" si="814"/>
        <v>1495344.6959936393</v>
      </c>
      <c r="BF209" s="1887">
        <f t="shared" si="814"/>
        <v>2328836.6412981478</v>
      </c>
      <c r="BG209" s="1544">
        <f t="shared" si="814"/>
        <v>1562149.4668858838</v>
      </c>
      <c r="BH209" s="1544">
        <f t="shared" si="814"/>
        <v>1403174.1326554965</v>
      </c>
      <c r="BI209" s="1544">
        <f t="shared" si="814"/>
        <v>1007360.0814496621</v>
      </c>
      <c r="BJ209" s="1544">
        <f t="shared" si="814"/>
        <v>844557.34339261649</v>
      </c>
      <c r="BK209" s="1544">
        <f t="shared" si="814"/>
        <v>1953648.3022086823</v>
      </c>
      <c r="BL209" s="1544">
        <f t="shared" si="814"/>
        <v>1216099.5467499397</v>
      </c>
      <c r="BM209" s="922">
        <f t="shared" si="814"/>
        <v>1284734.514639688</v>
      </c>
      <c r="BN209" s="922">
        <f t="shared" si="814"/>
        <v>1501083.4461819562</v>
      </c>
      <c r="BO209" s="922">
        <f t="shared" si="814"/>
        <v>1802707.5115128339</v>
      </c>
      <c r="BP209" s="922">
        <f t="shared" si="814"/>
        <v>1216547.9427896601</v>
      </c>
      <c r="BQ209" s="1888">
        <f t="shared" si="814"/>
        <v>1478826.3660652507</v>
      </c>
      <c r="BR209" s="921">
        <f>(BR196-BR197-BR206)/(BR8-BR9)*1000000</f>
        <v>1166076.1795790149</v>
      </c>
      <c r="BS209" s="1887">
        <f>(BS196-BS197-BS206)/(BS8-BS9)*1000000</f>
        <v>1934829.1233058427</v>
      </c>
      <c r="BT209" s="1544">
        <f t="shared" ref="BT209:CQ209" si="815">(BT196-BT197-BT206)/(BT8-BT9)*1000000</f>
        <v>1566277.1184142621</v>
      </c>
      <c r="BU209" s="1544">
        <f t="shared" si="815"/>
        <v>1289204.9731711247</v>
      </c>
      <c r="BV209" s="1544">
        <f t="shared" si="815"/>
        <v>842221.51995235239</v>
      </c>
      <c r="BW209" s="1544">
        <f t="shared" si="815"/>
        <v>787220.6937485747</v>
      </c>
      <c r="BX209" s="1544">
        <f t="shared" si="815"/>
        <v>1132926.0690085222</v>
      </c>
      <c r="BY209" s="1544">
        <f t="shared" si="815"/>
        <v>1111465.762782794</v>
      </c>
      <c r="BZ209" s="1544">
        <f t="shared" si="815"/>
        <v>967009.12648673391</v>
      </c>
      <c r="CA209" s="1544">
        <f t="shared" si="815"/>
        <v>1283802.6863809633</v>
      </c>
      <c r="CB209" s="1544">
        <f t="shared" si="815"/>
        <v>1060488.3995647586</v>
      </c>
      <c r="CC209" s="1544">
        <f t="shared" si="815"/>
        <v>1120918.5041018049</v>
      </c>
      <c r="CD209" s="2250">
        <f t="shared" si="815"/>
        <v>895228.33547017782</v>
      </c>
      <c r="CE209" s="921">
        <f t="shared" si="815"/>
        <v>1141091.4407358377</v>
      </c>
      <c r="CF209" s="1887">
        <f t="shared" si="815"/>
        <v>1090876.8700848809</v>
      </c>
      <c r="CG209" s="1544">
        <f t="shared" si="815"/>
        <v>1107567.2386590482</v>
      </c>
      <c r="CH209" s="1544">
        <f t="shared" si="815"/>
        <v>1350513.0790499842</v>
      </c>
      <c r="CI209" s="1544">
        <f t="shared" si="815"/>
        <v>1109671.1713206377</v>
      </c>
      <c r="CJ209" s="1544">
        <f t="shared" si="815"/>
        <v>1053873.022353769</v>
      </c>
      <c r="CK209" s="1544">
        <f t="shared" si="815"/>
        <v>960329.58903145499</v>
      </c>
      <c r="CL209" s="1544">
        <f t="shared" si="815"/>
        <v>1300444.711633631</v>
      </c>
      <c r="CM209" s="1544">
        <f t="shared" si="815"/>
        <v>1045726.9868101057</v>
      </c>
      <c r="CN209" s="1544">
        <f t="shared" si="815"/>
        <v>1283990.4209047931</v>
      </c>
      <c r="CO209" s="1544">
        <f t="shared" si="815"/>
        <v>1040749.5517393146</v>
      </c>
      <c r="CP209" s="1544">
        <f t="shared" si="815"/>
        <v>1065168.4990524861</v>
      </c>
      <c r="CQ209" s="2250">
        <f t="shared" si="815"/>
        <v>1082521.5702723463</v>
      </c>
    </row>
    <row r="210" spans="1:96">
      <c r="A210" s="3155"/>
      <c r="B210" s="3313"/>
      <c r="C210" s="3314"/>
      <c r="D210" s="101" t="s">
        <v>15</v>
      </c>
      <c r="E210" s="378">
        <f>E197/E9*1000000</f>
        <v>651012.30590633815</v>
      </c>
      <c r="F210" s="335">
        <v>659864.09167770192</v>
      </c>
      <c r="G210" s="335">
        <v>684213.98503150349</v>
      </c>
      <c r="H210" s="335">
        <v>671557.08288535185</v>
      </c>
      <c r="I210" s="335">
        <v>581537.82622593408</v>
      </c>
      <c r="J210" s="335">
        <v>528940.35968369874</v>
      </c>
      <c r="K210" s="335">
        <v>545011.31167075259</v>
      </c>
      <c r="L210" s="335">
        <v>573112.5699687266</v>
      </c>
      <c r="M210" s="335">
        <v>787012.85307074373</v>
      </c>
      <c r="N210" s="335">
        <v>725630.83986594563</v>
      </c>
      <c r="O210" s="335">
        <v>650913.03794984496</v>
      </c>
      <c r="P210" s="335">
        <v>682147.21301624295</v>
      </c>
      <c r="Q210" s="335">
        <v>711221.55748228752</v>
      </c>
      <c r="R210" s="378">
        <f>R197/R9*1000000</f>
        <v>658453.48848821258</v>
      </c>
      <c r="S210" s="335">
        <f t="shared" ref="S210:AD210" si="816">S197*1000000/S9</f>
        <v>660036.8064780368</v>
      </c>
      <c r="T210" s="335">
        <f t="shared" si="816"/>
        <v>639119.24273001449</v>
      </c>
      <c r="U210" s="335">
        <f t="shared" si="816"/>
        <v>609741.41940039117</v>
      </c>
      <c r="V210" s="335">
        <f t="shared" si="816"/>
        <v>650932.34618407441</v>
      </c>
      <c r="W210" s="335">
        <f t="shared" si="816"/>
        <v>587532.41312929871</v>
      </c>
      <c r="X210" s="335">
        <f t="shared" si="816"/>
        <v>581280.05351195321</v>
      </c>
      <c r="Y210" s="335">
        <f t="shared" si="816"/>
        <v>584986.14862490294</v>
      </c>
      <c r="Z210" s="335">
        <f t="shared" si="816"/>
        <v>734538.61175856099</v>
      </c>
      <c r="AA210" s="335">
        <f t="shared" si="816"/>
        <v>710849.8216764133</v>
      </c>
      <c r="AB210" s="335">
        <f t="shared" si="816"/>
        <v>782074.89968498424</v>
      </c>
      <c r="AC210" s="335">
        <f t="shared" si="816"/>
        <v>688834.83961360366</v>
      </c>
      <c r="AD210" s="335">
        <f t="shared" si="816"/>
        <v>642711.67253050883</v>
      </c>
      <c r="AE210" s="378">
        <f>AE197/AE9*1000000</f>
        <v>713473.90149746567</v>
      </c>
      <c r="AF210" s="335">
        <f t="shared" ref="AF210:AQ210" si="817">AF197*1000000/AF9</f>
        <v>578464.32735366712</v>
      </c>
      <c r="AG210" s="335">
        <f t="shared" si="817"/>
        <v>784094.39711282309</v>
      </c>
      <c r="AH210" s="335">
        <f t="shared" si="817"/>
        <v>644798.12535320851</v>
      </c>
      <c r="AI210" s="335">
        <f t="shared" si="817"/>
        <v>596510.9948333269</v>
      </c>
      <c r="AJ210" s="335">
        <f t="shared" si="817"/>
        <v>602374.7075699839</v>
      </c>
      <c r="AK210" s="335">
        <f t="shared" si="817"/>
        <v>611152.75767283654</v>
      </c>
      <c r="AL210" s="335">
        <f t="shared" si="817"/>
        <v>602950.44841780292</v>
      </c>
      <c r="AM210" s="335">
        <f t="shared" si="817"/>
        <v>842604.48629799497</v>
      </c>
      <c r="AN210" s="335">
        <f t="shared" si="817"/>
        <v>716658.40599482681</v>
      </c>
      <c r="AO210" s="335">
        <f t="shared" si="817"/>
        <v>990033.09475452953</v>
      </c>
      <c r="AP210" s="335">
        <f t="shared" si="817"/>
        <v>809934.81544256117</v>
      </c>
      <c r="AQ210" s="335">
        <f t="shared" si="817"/>
        <v>786924.26488441962</v>
      </c>
      <c r="AR210" s="378">
        <f>AR197/AR9*1000000</f>
        <v>673713.12939197838</v>
      </c>
      <c r="AS210" s="923">
        <f t="shared" ref="AS210:BD210" si="818">AS197*1000000/AS9</f>
        <v>707655.89077603631</v>
      </c>
      <c r="AT210" s="335">
        <f t="shared" si="818"/>
        <v>865410.57450430142</v>
      </c>
      <c r="AU210" s="335">
        <f t="shared" si="818"/>
        <v>676999.52684022579</v>
      </c>
      <c r="AV210" s="335">
        <f t="shared" si="818"/>
        <v>596416.95310489996</v>
      </c>
      <c r="AW210" s="335">
        <f t="shared" si="818"/>
        <v>483350.26636879193</v>
      </c>
      <c r="AX210" s="335">
        <f t="shared" si="818"/>
        <v>475988.69561718463</v>
      </c>
      <c r="AY210" s="335">
        <f t="shared" si="818"/>
        <v>431532.36450019001</v>
      </c>
      <c r="AZ210" s="335">
        <f t="shared" si="818"/>
        <v>779189.79611445905</v>
      </c>
      <c r="BA210" s="335">
        <f t="shared" si="818"/>
        <v>623868.22461874958</v>
      </c>
      <c r="BB210" s="335">
        <f t="shared" si="818"/>
        <v>891578.44494209194</v>
      </c>
      <c r="BC210" s="335">
        <f t="shared" si="818"/>
        <v>730259.33311016439</v>
      </c>
      <c r="BD210" s="1516">
        <f t="shared" si="818"/>
        <v>675680.35641517793</v>
      </c>
      <c r="BE210" s="378">
        <f>BE197/BE9*1000000</f>
        <v>300537.71076833847</v>
      </c>
      <c r="BF210" s="1833">
        <f t="shared" ref="BF210:BQ210" si="819">BF197*1000000/BF9</f>
        <v>782815.04996427719</v>
      </c>
      <c r="BG210" s="1834">
        <f t="shared" si="819"/>
        <v>540703.48604121734</v>
      </c>
      <c r="BH210" s="1834">
        <f t="shared" si="819"/>
        <v>397706.46115765424</v>
      </c>
      <c r="BI210" s="1834">
        <f t="shared" si="819"/>
        <v>251433.47124565972</v>
      </c>
      <c r="BJ210" s="1834">
        <f t="shared" si="819"/>
        <v>217300.05450213442</v>
      </c>
      <c r="BK210" s="1834">
        <f t="shared" si="819"/>
        <v>249962.15278076014</v>
      </c>
      <c r="BL210" s="1834">
        <f t="shared" si="819"/>
        <v>412302.99923413072</v>
      </c>
      <c r="BM210" s="1834">
        <f t="shared" si="819"/>
        <v>345132.21643297811</v>
      </c>
      <c r="BN210" s="1834">
        <f t="shared" si="819"/>
        <v>171878.62551379917</v>
      </c>
      <c r="BO210" s="1834">
        <f t="shared" si="819"/>
        <v>105455.37426198338</v>
      </c>
      <c r="BP210" s="1834">
        <f t="shared" si="819"/>
        <v>38287.921347761927</v>
      </c>
      <c r="BQ210" s="1835">
        <f t="shared" si="819"/>
        <v>76310.077515732512</v>
      </c>
      <c r="BR210" s="378">
        <f>BR197/BR9*1000000</f>
        <v>12900.126691994292</v>
      </c>
      <c r="BS210" s="1859">
        <f t="shared" ref="BS210:BX210" si="820">BS197*1000000/BS9</f>
        <v>40466.38490174539</v>
      </c>
      <c r="BT210" s="1860">
        <f t="shared" si="820"/>
        <v>32614.46028945997</v>
      </c>
      <c r="BU210" s="1860">
        <f t="shared" si="820"/>
        <v>17946.958173235264</v>
      </c>
      <c r="BV210" s="1860">
        <f t="shared" si="820"/>
        <v>9447.4620798222059</v>
      </c>
      <c r="BW210" s="1860">
        <f t="shared" si="820"/>
        <v>12724.476496251689</v>
      </c>
      <c r="BX210" s="1860">
        <f t="shared" si="820"/>
        <v>7380.4441130991827</v>
      </c>
      <c r="BY210" s="1860">
        <f t="shared" ref="BY210:CC210" si="821">BY197*1000000/BY9</f>
        <v>7326.8939754935336</v>
      </c>
      <c r="BZ210" s="1860">
        <f t="shared" si="821"/>
        <v>7476.0268547633214</v>
      </c>
      <c r="CA210" s="1860">
        <f t="shared" si="821"/>
        <v>10204.864185726305</v>
      </c>
      <c r="CB210" s="1860">
        <f t="shared" si="821"/>
        <v>10665.806978356311</v>
      </c>
      <c r="CC210" s="1860">
        <f t="shared" si="821"/>
        <v>6197.4026536441534</v>
      </c>
      <c r="CD210" s="1860">
        <f t="shared" ref="CD210" si="822">CD197*1000000/CD9</f>
        <v>2594.2634949286576</v>
      </c>
      <c r="CE210" s="378">
        <f>CE197/CE9*1000000</f>
        <v>8245.9809992636947</v>
      </c>
      <c r="CF210" s="2483">
        <f t="shared" ref="CF210:CQ210" si="823">CF197*1000000/CF9</f>
        <v>7053.9998944368208</v>
      </c>
      <c r="CG210" s="2251">
        <f t="shared" si="823"/>
        <v>9617.4424587039302</v>
      </c>
      <c r="CH210" s="2251">
        <f t="shared" si="823"/>
        <v>7927.5205572401592</v>
      </c>
      <c r="CI210" s="2251">
        <f t="shared" si="823"/>
        <v>8684.7984265515479</v>
      </c>
      <c r="CJ210" s="2251">
        <f t="shared" si="823"/>
        <v>8709.0672498261574</v>
      </c>
      <c r="CK210" s="2251">
        <f t="shared" si="823"/>
        <v>8590.9548441270708</v>
      </c>
      <c r="CL210" s="2251">
        <f t="shared" si="823"/>
        <v>7178.515097980965</v>
      </c>
      <c r="CM210" s="2251">
        <f t="shared" si="823"/>
        <v>8986.2963308316084</v>
      </c>
      <c r="CN210" s="2251">
        <f t="shared" si="823"/>
        <v>7519.2392368564406</v>
      </c>
      <c r="CO210" s="2251">
        <f t="shared" si="823"/>
        <v>7992.5771817684345</v>
      </c>
      <c r="CP210" s="2251">
        <f t="shared" si="823"/>
        <v>7854.0025770144775</v>
      </c>
      <c r="CQ210" s="2252">
        <f t="shared" si="823"/>
        <v>9902.4443181240385</v>
      </c>
    </row>
    <row r="211" spans="1:96">
      <c r="B211" s="3313"/>
      <c r="C211" s="3314"/>
      <c r="D211" s="101" t="s">
        <v>16</v>
      </c>
      <c r="E211" s="378">
        <f>E198*1000000/(E10+E18)</f>
        <v>824807.54006007046</v>
      </c>
      <c r="F211" s="335">
        <v>960750.42878714669</v>
      </c>
      <c r="G211" s="335">
        <v>971546.49130434776</v>
      </c>
      <c r="H211" s="335">
        <v>902854.75804998877</v>
      </c>
      <c r="I211" s="335">
        <v>845448.68750332086</v>
      </c>
      <c r="J211" s="335">
        <v>709849.33794270211</v>
      </c>
      <c r="K211" s="335">
        <v>665896.28251939907</v>
      </c>
      <c r="L211" s="335">
        <v>682816.16598984774</v>
      </c>
      <c r="M211" s="335">
        <v>892979.46008522727</v>
      </c>
      <c r="N211" s="335">
        <v>850974.05922546959</v>
      </c>
      <c r="O211" s="335">
        <v>874021.06413313712</v>
      </c>
      <c r="P211" s="335">
        <v>887158.13607835677</v>
      </c>
      <c r="Q211" s="335">
        <v>857440.38139658852</v>
      </c>
      <c r="R211" s="378">
        <f t="shared" ref="R211:AQ211" si="824">R198*1000000/(R10+R18)</f>
        <v>795359.07981786469</v>
      </c>
      <c r="S211" s="335">
        <f t="shared" si="824"/>
        <v>839218.66428385081</v>
      </c>
      <c r="T211" s="335">
        <f t="shared" si="824"/>
        <v>736168.70319172845</v>
      </c>
      <c r="U211" s="335">
        <f t="shared" si="824"/>
        <v>705507.71398051165</v>
      </c>
      <c r="V211" s="335">
        <f t="shared" si="824"/>
        <v>803946.08325290796</v>
      </c>
      <c r="W211" s="335">
        <f t="shared" si="824"/>
        <v>778449.39268507482</v>
      </c>
      <c r="X211" s="335">
        <f t="shared" si="824"/>
        <v>688280.73282090703</v>
      </c>
      <c r="Y211" s="335">
        <f t="shared" si="824"/>
        <v>655922.12572218652</v>
      </c>
      <c r="Z211" s="335">
        <f t="shared" si="824"/>
        <v>834768.87397505145</v>
      </c>
      <c r="AA211" s="335">
        <f t="shared" si="824"/>
        <v>859182.36831557855</v>
      </c>
      <c r="AB211" s="335">
        <f t="shared" si="824"/>
        <v>937405.21789946873</v>
      </c>
      <c r="AC211" s="335">
        <f t="shared" si="824"/>
        <v>869277.83594551729</v>
      </c>
      <c r="AD211" s="335">
        <f t="shared" si="824"/>
        <v>779622.57875603519</v>
      </c>
      <c r="AE211" s="378">
        <f t="shared" si="824"/>
        <v>759471.45356319437</v>
      </c>
      <c r="AF211" s="335">
        <f t="shared" si="824"/>
        <v>684401.6185956148</v>
      </c>
      <c r="AG211" s="335">
        <f t="shared" si="824"/>
        <v>836788.30957176175</v>
      </c>
      <c r="AH211" s="335">
        <f t="shared" si="824"/>
        <v>728661.3872592072</v>
      </c>
      <c r="AI211" s="335">
        <f t="shared" si="824"/>
        <v>613385.3629190186</v>
      </c>
      <c r="AJ211" s="335">
        <f t="shared" si="824"/>
        <v>610672.15809299587</v>
      </c>
      <c r="AK211" s="335">
        <f t="shared" si="824"/>
        <v>501972.24705943314</v>
      </c>
      <c r="AL211" s="335">
        <f t="shared" si="824"/>
        <v>557428.37601613207</v>
      </c>
      <c r="AM211" s="335">
        <f t="shared" si="824"/>
        <v>805404.99189873412</v>
      </c>
      <c r="AN211" s="335">
        <f t="shared" si="824"/>
        <v>717825.99207547167</v>
      </c>
      <c r="AO211" s="335">
        <f t="shared" si="824"/>
        <v>1154220.2663820004</v>
      </c>
      <c r="AP211" s="335">
        <f t="shared" si="824"/>
        <v>900852.24631135201</v>
      </c>
      <c r="AQ211" s="335">
        <f t="shared" si="824"/>
        <v>844511.31326082256</v>
      </c>
      <c r="AR211" s="378">
        <f>AR198/AR10*1000000</f>
        <v>917791.8112279051</v>
      </c>
      <c r="AS211" s="923">
        <f t="shared" ref="AS211:BD211" si="825">AS198*1000000/(AS10+AS18)</f>
        <v>805478.87103997893</v>
      </c>
      <c r="AT211" s="335">
        <f t="shared" si="825"/>
        <v>1040964.9971655847</v>
      </c>
      <c r="AU211" s="335">
        <f t="shared" si="825"/>
        <v>808927.00682920986</v>
      </c>
      <c r="AV211" s="335">
        <f t="shared" si="825"/>
        <v>760534.96104887989</v>
      </c>
      <c r="AW211" s="335">
        <f t="shared" si="825"/>
        <v>692364.393900519</v>
      </c>
      <c r="AX211" s="335">
        <f t="shared" si="825"/>
        <v>653899.33097400563</v>
      </c>
      <c r="AY211" s="335">
        <f t="shared" si="825"/>
        <v>593601.61038869747</v>
      </c>
      <c r="AZ211" s="335">
        <f t="shared" si="825"/>
        <v>1102121.8413071248</v>
      </c>
      <c r="BA211" s="335">
        <f t="shared" si="825"/>
        <v>794545.23167766584</v>
      </c>
      <c r="BB211" s="335">
        <f t="shared" si="825"/>
        <v>1229876.2179534712</v>
      </c>
      <c r="BC211" s="335">
        <f t="shared" si="825"/>
        <v>866344.71331588994</v>
      </c>
      <c r="BD211" s="1516">
        <f t="shared" si="825"/>
        <v>784666.2126460257</v>
      </c>
      <c r="BE211" s="378">
        <f>BE198/BE10*1000000</f>
        <v>935301.56441527116</v>
      </c>
      <c r="BF211" s="1833">
        <f t="shared" ref="BF211:BQ211" si="826">BF198*1000000/(BF10+BF18)</f>
        <v>1159057.5744464127</v>
      </c>
      <c r="BG211" s="1834">
        <f t="shared" si="826"/>
        <v>887341.94163649529</v>
      </c>
      <c r="BH211" s="1834">
        <f t="shared" si="826"/>
        <v>780953.47007753991</v>
      </c>
      <c r="BI211" s="1834">
        <f t="shared" si="826"/>
        <v>729825.54727643076</v>
      </c>
      <c r="BJ211" s="1834">
        <f t="shared" si="826"/>
        <v>711311.77531315235</v>
      </c>
      <c r="BK211" s="1834">
        <f t="shared" si="826"/>
        <v>672044.70377006882</v>
      </c>
      <c r="BL211" s="1834">
        <f t="shared" si="826"/>
        <v>1193493.9536229135</v>
      </c>
      <c r="BM211" s="1834">
        <f t="shared" si="826"/>
        <v>797817.19161080511</v>
      </c>
      <c r="BN211" s="1834">
        <f t="shared" si="826"/>
        <v>1117902.5540179031</v>
      </c>
      <c r="BO211" s="1834">
        <f t="shared" si="826"/>
        <v>990986.36250829464</v>
      </c>
      <c r="BP211" s="1834">
        <f t="shared" si="826"/>
        <v>891571.17949091969</v>
      </c>
      <c r="BQ211" s="1835">
        <f t="shared" si="826"/>
        <v>829753.73866980581</v>
      </c>
      <c r="BR211" s="378">
        <f>BR198/BR10*1000000</f>
        <v>899582.2734918585</v>
      </c>
      <c r="BS211" s="1859">
        <f>BS198*1000000/(BS10)</f>
        <v>791933.40124328912</v>
      </c>
      <c r="BT211" s="1860">
        <f>BT198*1000000/(BT10+BT18)</f>
        <v>1115392.9736535223</v>
      </c>
      <c r="BU211" s="1860">
        <f>BU198*1000000/(BU10+BU18)</f>
        <v>743763.62767613854</v>
      </c>
      <c r="BV211" s="1860">
        <f>BV198*1000000/(BV10+BV18)</f>
        <v>754839.86109388561</v>
      </c>
      <c r="BW211" s="1860">
        <f>BW198*1000000/(BW10+BW18)</f>
        <v>729211.76721604029</v>
      </c>
      <c r="BX211" s="1860">
        <f>BX198*1000000/(BX10+BX18)</f>
        <v>565635.63437582832</v>
      </c>
      <c r="BY211" s="1860">
        <f t="shared" ref="BY211:CC211" si="827">BY198*1000000/(BY10+BY18)</f>
        <v>1145143.0067198474</v>
      </c>
      <c r="BZ211" s="1860">
        <f t="shared" si="827"/>
        <v>831361.91364509927</v>
      </c>
      <c r="CA211" s="1860">
        <f t="shared" si="827"/>
        <v>1158415.0534582401</v>
      </c>
      <c r="CB211" s="1860">
        <f t="shared" si="827"/>
        <v>994559.57940348086</v>
      </c>
      <c r="CC211" s="1860">
        <f t="shared" si="827"/>
        <v>831425.42326915194</v>
      </c>
      <c r="CD211" s="1860">
        <f t="shared" ref="CD211" si="828">CD198*1000000/(CD10+CD18)</f>
        <v>769070.24214171548</v>
      </c>
      <c r="CE211" s="378">
        <f>CE198/CE10*1000000</f>
        <v>876295.70976350107</v>
      </c>
      <c r="CF211" s="2483">
        <v>808564.00266939809</v>
      </c>
      <c r="CG211" s="2251">
        <v>759382.66385733744</v>
      </c>
      <c r="CH211" s="2251">
        <v>1138816.2261002462</v>
      </c>
      <c r="CI211" s="2251">
        <v>770787.09374844946</v>
      </c>
      <c r="CJ211" s="2251">
        <v>744525.21432757704</v>
      </c>
      <c r="CK211" s="2251">
        <v>577513.98269772064</v>
      </c>
      <c r="CL211" s="2251">
        <v>1138816.2261002462</v>
      </c>
      <c r="CM211" s="2251">
        <v>713052.23865777114</v>
      </c>
      <c r="CN211" s="2251">
        <v>1138816.2261002462</v>
      </c>
      <c r="CO211" s="2251">
        <v>713052.23865777114</v>
      </c>
      <c r="CP211" s="2251">
        <v>713052.23865777114</v>
      </c>
      <c r="CQ211" s="2252">
        <v>713052.23865777114</v>
      </c>
      <c r="CR211" s="2921"/>
    </row>
    <row r="212" spans="1:96">
      <c r="B212" s="3313"/>
      <c r="C212" s="3314"/>
      <c r="D212" s="101" t="s">
        <v>574</v>
      </c>
      <c r="E212" s="378"/>
      <c r="F212" s="335"/>
      <c r="G212" s="335"/>
      <c r="H212" s="335"/>
      <c r="I212" s="335"/>
      <c r="J212" s="335"/>
      <c r="K212" s="335"/>
      <c r="L212" s="335"/>
      <c r="M212" s="335"/>
      <c r="N212" s="335"/>
      <c r="O212" s="335"/>
      <c r="P212" s="335"/>
      <c r="Q212" s="335"/>
      <c r="R212" s="378"/>
      <c r="S212" s="335"/>
      <c r="T212" s="335"/>
      <c r="U212" s="335"/>
      <c r="V212" s="335"/>
      <c r="W212" s="335"/>
      <c r="X212" s="335"/>
      <c r="Y212" s="335"/>
      <c r="Z212" s="335"/>
      <c r="AA212" s="335"/>
      <c r="AB212" s="335"/>
      <c r="AC212" s="335"/>
      <c r="AD212" s="335"/>
      <c r="AE212" s="378"/>
      <c r="AF212" s="335"/>
      <c r="AG212" s="335"/>
      <c r="AH212" s="335"/>
      <c r="AI212" s="335"/>
      <c r="AJ212" s="335"/>
      <c r="AK212" s="335"/>
      <c r="AL212" s="335"/>
      <c r="AM212" s="335"/>
      <c r="AN212" s="335"/>
      <c r="AO212" s="335"/>
      <c r="AP212" s="335"/>
      <c r="AQ212" s="335"/>
      <c r="AR212" s="378"/>
      <c r="AS212" s="923"/>
      <c r="AT212" s="335"/>
      <c r="AU212" s="335"/>
      <c r="AV212" s="335"/>
      <c r="AW212" s="335"/>
      <c r="AX212" s="335"/>
      <c r="AY212" s="335"/>
      <c r="AZ212" s="335"/>
      <c r="BA212" s="335"/>
      <c r="BB212" s="335"/>
      <c r="BC212" s="335"/>
      <c r="BD212" s="1516"/>
      <c r="BE212" s="378"/>
      <c r="BF212" s="1833"/>
      <c r="BG212" s="1834"/>
      <c r="BH212" s="1834"/>
      <c r="BI212" s="1834"/>
      <c r="BJ212" s="1834"/>
      <c r="BK212" s="1834"/>
      <c r="BL212" s="1834"/>
      <c r="BM212" s="1834"/>
      <c r="BN212" s="1834"/>
      <c r="BO212" s="1834"/>
      <c r="BP212" s="1834"/>
      <c r="BQ212" s="1835"/>
      <c r="BR212" s="378">
        <f>BR199/BR11*1000000</f>
        <v>662793.93911248713</v>
      </c>
      <c r="BS212" s="1859">
        <f>BS199*1000000/(BS11)</f>
        <v>465869.78378378373</v>
      </c>
      <c r="BT212" s="1860">
        <f>BT199*1000000/(BT11)</f>
        <v>814620.98833819246</v>
      </c>
      <c r="BU212" s="1860">
        <f>BU199*1000000/(BU11)</f>
        <v>490479.41025641025</v>
      </c>
      <c r="BV212" s="1860">
        <f>BV199*1000000/(BV11)</f>
        <v>515295.07377049181</v>
      </c>
      <c r="BW212" s="1860">
        <f>BW199*1000000/(BW11)</f>
        <v>556639.02339181292</v>
      </c>
      <c r="BX212" s="1860">
        <f>BX199*1000000/(BX11)</f>
        <v>367929.7886178862</v>
      </c>
      <c r="BY212" s="1860">
        <f t="shared" ref="BY212:CC212" si="829">BY199*1000000/(BY11)</f>
        <v>811129.58208955219</v>
      </c>
      <c r="BZ212" s="1860">
        <f t="shared" si="829"/>
        <v>612574.35789473681</v>
      </c>
      <c r="CA212" s="1860">
        <f t="shared" si="829"/>
        <v>907072.09090909094</v>
      </c>
      <c r="CB212" s="1860">
        <f t="shared" si="829"/>
        <v>737071.84946236562</v>
      </c>
      <c r="CC212" s="1860">
        <f t="shared" si="829"/>
        <v>453797.89230769232</v>
      </c>
      <c r="CD212" s="1860">
        <f t="shared" ref="CD212" si="830">CD199*1000000/(CD11)</f>
        <v>559577.37837837834</v>
      </c>
      <c r="CE212" s="378">
        <f>CE199/CE11*1000000</f>
        <v>625668.34968291095</v>
      </c>
      <c r="CF212" s="2483">
        <v>475653.04924324312</v>
      </c>
      <c r="CG212" s="2251">
        <v>500779.47787179484</v>
      </c>
      <c r="CH212" s="2251">
        <v>831728.0290932944</v>
      </c>
      <c r="CI212" s="2251">
        <v>526116.27031967207</v>
      </c>
      <c r="CJ212" s="2251">
        <v>568328.44288304099</v>
      </c>
      <c r="CK212" s="2251">
        <v>375656.31417886179</v>
      </c>
      <c r="CL212" s="2251">
        <v>831728.0290932944</v>
      </c>
      <c r="CM212" s="2251">
        <v>492720.12631334236</v>
      </c>
      <c r="CN212" s="2251">
        <v>831728.0290932944</v>
      </c>
      <c r="CO212" s="2251">
        <v>492720.12631334236</v>
      </c>
      <c r="CP212" s="2251">
        <v>492720.12631334236</v>
      </c>
      <c r="CQ212" s="2252">
        <v>492720.12631334236</v>
      </c>
      <c r="CR212" s="2921"/>
    </row>
    <row r="213" spans="1:96" hidden="1">
      <c r="B213" s="3313"/>
      <c r="C213" s="3314"/>
      <c r="D213" s="101" t="s">
        <v>47</v>
      </c>
      <c r="E213" s="378">
        <f>E200/E13*1000000</f>
        <v>513771.96243057831</v>
      </c>
      <c r="F213" s="335">
        <v>479623.47767857148</v>
      </c>
      <c r="G213" s="335">
        <v>523836.63673057524</v>
      </c>
      <c r="H213" s="335">
        <v>567701.50542005419</v>
      </c>
      <c r="I213" s="335">
        <v>394869.86320754717</v>
      </c>
      <c r="J213" s="335"/>
      <c r="K213" s="335"/>
      <c r="L213" s="335"/>
      <c r="M213" s="335"/>
      <c r="N213" s="335"/>
      <c r="O213" s="335"/>
      <c r="P213" s="335"/>
      <c r="Q213" s="335"/>
      <c r="R213" s="378" t="e">
        <f>R200/R13*1000000</f>
        <v>#DIV/0!</v>
      </c>
      <c r="S213" s="335"/>
      <c r="T213" s="335"/>
      <c r="U213" s="335"/>
      <c r="V213" s="335"/>
      <c r="W213" s="335"/>
      <c r="X213" s="335"/>
      <c r="Y213" s="335"/>
      <c r="Z213" s="335"/>
      <c r="AA213" s="335"/>
      <c r="AB213" s="335"/>
      <c r="AC213" s="335"/>
      <c r="AD213" s="335"/>
      <c r="AE213" s="378" t="e">
        <f>AE200/AE13*1000000</f>
        <v>#DIV/0!</v>
      </c>
      <c r="AF213" s="335"/>
      <c r="AG213" s="335"/>
      <c r="AH213" s="335"/>
      <c r="AI213" s="335"/>
      <c r="AJ213" s="335"/>
      <c r="AK213" s="335"/>
      <c r="AL213" s="335"/>
      <c r="AM213" s="335"/>
      <c r="AN213" s="335"/>
      <c r="AO213" s="335"/>
      <c r="AP213" s="335"/>
      <c r="AQ213" s="335"/>
      <c r="AR213" s="378" t="e">
        <f>AR200/AR13*1000000</f>
        <v>#DIV/0!</v>
      </c>
      <c r="AS213" s="923">
        <f t="shared" ref="AS213:BD213" si="831">IFERROR(AS200*1000000/(AS12+AS13),0)</f>
        <v>0</v>
      </c>
      <c r="AT213" s="335">
        <f t="shared" si="831"/>
        <v>0</v>
      </c>
      <c r="AU213" s="335">
        <f t="shared" si="831"/>
        <v>0</v>
      </c>
      <c r="AV213" s="335">
        <f t="shared" si="831"/>
        <v>0</v>
      </c>
      <c r="AW213" s="335">
        <f t="shared" si="831"/>
        <v>0</v>
      </c>
      <c r="AX213" s="335">
        <f t="shared" si="831"/>
        <v>0</v>
      </c>
      <c r="AY213" s="335">
        <f t="shared" si="831"/>
        <v>0</v>
      </c>
      <c r="AZ213" s="335">
        <f t="shared" si="831"/>
        <v>0</v>
      </c>
      <c r="BA213" s="335">
        <f t="shared" si="831"/>
        <v>0</v>
      </c>
      <c r="BB213" s="335">
        <f t="shared" si="831"/>
        <v>0</v>
      </c>
      <c r="BC213" s="335">
        <f t="shared" si="831"/>
        <v>0</v>
      </c>
      <c r="BD213" s="1516">
        <f t="shared" si="831"/>
        <v>0</v>
      </c>
      <c r="BE213" s="378" t="e">
        <f>BE200/BE13*1000000</f>
        <v>#DIV/0!</v>
      </c>
      <c r="BF213" s="1833">
        <f t="shared" ref="BF213:BQ213" si="832">IFERROR(BF200*1000000/(BF12+BF13),0)</f>
        <v>0</v>
      </c>
      <c r="BG213" s="1834">
        <f t="shared" si="832"/>
        <v>0</v>
      </c>
      <c r="BH213" s="1834">
        <f t="shared" si="832"/>
        <v>0</v>
      </c>
      <c r="BI213" s="1834">
        <f t="shared" si="832"/>
        <v>0</v>
      </c>
      <c r="BJ213" s="1834">
        <f t="shared" si="832"/>
        <v>0</v>
      </c>
      <c r="BK213" s="1834">
        <f t="shared" si="832"/>
        <v>0</v>
      </c>
      <c r="BL213" s="1834">
        <f t="shared" si="832"/>
        <v>0</v>
      </c>
      <c r="BM213" s="1834">
        <f t="shared" si="832"/>
        <v>0</v>
      </c>
      <c r="BN213" s="1834">
        <f t="shared" si="832"/>
        <v>0</v>
      </c>
      <c r="BO213" s="1834">
        <f t="shared" si="832"/>
        <v>0</v>
      </c>
      <c r="BP213" s="1834">
        <f t="shared" si="832"/>
        <v>0</v>
      </c>
      <c r="BQ213" s="1835">
        <f t="shared" si="832"/>
        <v>0</v>
      </c>
      <c r="BR213" s="378" t="e">
        <f>BR200/BR13*1000000</f>
        <v>#DIV/0!</v>
      </c>
      <c r="BS213" s="1859">
        <f t="shared" ref="BS213:BX213" si="833">IFERROR(BS200*1000000/(BS12+BS13),0)</f>
        <v>0</v>
      </c>
      <c r="BT213" s="1860">
        <f t="shared" si="833"/>
        <v>0</v>
      </c>
      <c r="BU213" s="1860">
        <f t="shared" si="833"/>
        <v>0</v>
      </c>
      <c r="BV213" s="1860">
        <f t="shared" si="833"/>
        <v>0</v>
      </c>
      <c r="BW213" s="1860">
        <f t="shared" si="833"/>
        <v>0</v>
      </c>
      <c r="BX213" s="1860">
        <f t="shared" si="833"/>
        <v>0</v>
      </c>
      <c r="BY213" s="1860">
        <f t="shared" ref="BY213:CC213" si="834">IFERROR(BY200*1000000/(BY12+BY13),0)</f>
        <v>0</v>
      </c>
      <c r="BZ213" s="1860">
        <f t="shared" si="834"/>
        <v>0</v>
      </c>
      <c r="CA213" s="1860">
        <f t="shared" si="834"/>
        <v>0</v>
      </c>
      <c r="CB213" s="1860">
        <f t="shared" si="834"/>
        <v>0</v>
      </c>
      <c r="CC213" s="1860">
        <f t="shared" si="834"/>
        <v>0</v>
      </c>
      <c r="CD213" s="1860">
        <f t="shared" ref="CD213" si="835">IFERROR(CD200*1000000/(CD12+CD13),0)</f>
        <v>0</v>
      </c>
      <c r="CE213" s="378" t="e">
        <f>CE200/CE13*1000000</f>
        <v>#DIV/0!</v>
      </c>
      <c r="CF213" s="2483">
        <v>0</v>
      </c>
      <c r="CG213" s="2251">
        <v>0</v>
      </c>
      <c r="CH213" s="2251">
        <v>0</v>
      </c>
      <c r="CI213" s="2251">
        <v>0</v>
      </c>
      <c r="CJ213" s="2251">
        <v>0</v>
      </c>
      <c r="CK213" s="2251">
        <v>0</v>
      </c>
      <c r="CL213" s="2251">
        <v>0</v>
      </c>
      <c r="CM213" s="2251">
        <v>0</v>
      </c>
      <c r="CN213" s="2251">
        <v>0</v>
      </c>
      <c r="CO213" s="2251">
        <v>0</v>
      </c>
      <c r="CP213" s="2251">
        <v>0</v>
      </c>
      <c r="CQ213" s="2252">
        <v>0</v>
      </c>
      <c r="CR213" s="2921"/>
    </row>
    <row r="214" spans="1:96">
      <c r="B214" s="3313"/>
      <c r="C214" s="3314"/>
      <c r="D214" s="201" t="s">
        <v>680</v>
      </c>
      <c r="E214" s="378">
        <f>E201/E14*1000000</f>
        <v>931985.47288889182</v>
      </c>
      <c r="F214" s="335">
        <v>1211965.1347240466</v>
      </c>
      <c r="G214" s="335">
        <v>1145007.987164468</v>
      </c>
      <c r="H214" s="335">
        <v>996374.37031087594</v>
      </c>
      <c r="I214" s="335">
        <v>996975.0570248646</v>
      </c>
      <c r="J214" s="335">
        <v>591772.60173851473</v>
      </c>
      <c r="K214" s="335">
        <v>618722.86457040731</v>
      </c>
      <c r="L214" s="335">
        <v>605445.74474435498</v>
      </c>
      <c r="M214" s="335">
        <v>1000619.7726600838</v>
      </c>
      <c r="N214" s="335">
        <v>1048029.0489699426</v>
      </c>
      <c r="O214" s="335">
        <v>1077427.2957552711</v>
      </c>
      <c r="P214" s="335">
        <v>1067679.8882167451</v>
      </c>
      <c r="Q214" s="335">
        <v>1061871.2385677281</v>
      </c>
      <c r="R214" s="378">
        <f>R201/R14*1000000</f>
        <v>1031469.3323235398</v>
      </c>
      <c r="S214" s="699">
        <f t="shared" ref="S214:AD214" si="836">S201*1000000/S14</f>
        <v>957027.13902253739</v>
      </c>
      <c r="T214" s="335">
        <f t="shared" si="836"/>
        <v>767804.72574572836</v>
      </c>
      <c r="U214" s="335">
        <f t="shared" si="836"/>
        <v>770697.82880698354</v>
      </c>
      <c r="V214" s="335">
        <f t="shared" si="836"/>
        <v>659073.93569961307</v>
      </c>
      <c r="W214" s="335">
        <f t="shared" si="836"/>
        <v>742735.65064102551</v>
      </c>
      <c r="X214" s="335">
        <f t="shared" si="836"/>
        <v>951779.25876817794</v>
      </c>
      <c r="Y214" s="335">
        <f t="shared" si="836"/>
        <v>1101684.5230078562</v>
      </c>
      <c r="Z214" s="335">
        <f t="shared" si="836"/>
        <v>1046663.7004576788</v>
      </c>
      <c r="AA214" s="335">
        <f t="shared" si="836"/>
        <v>953721.531378299</v>
      </c>
      <c r="AB214" s="335">
        <f t="shared" si="836"/>
        <v>1295550.9949006094</v>
      </c>
      <c r="AC214" s="335">
        <f t="shared" si="836"/>
        <v>1545568.7067602561</v>
      </c>
      <c r="AD214" s="335">
        <f t="shared" si="836"/>
        <v>1644929.6481549719</v>
      </c>
      <c r="AE214" s="378">
        <f>AE201/AE14*1000000</f>
        <v>689346.16547511751</v>
      </c>
      <c r="AF214" s="335">
        <f t="shared" ref="AF214:AQ214" si="837">AF201*1000000/AF14</f>
        <v>863558.30170316307</v>
      </c>
      <c r="AG214" s="335">
        <f t="shared" si="837"/>
        <v>1010046.2608253073</v>
      </c>
      <c r="AH214" s="335">
        <f t="shared" si="837"/>
        <v>725713.9051724138</v>
      </c>
      <c r="AI214" s="335">
        <f t="shared" si="837"/>
        <v>966253.84937655856</v>
      </c>
      <c r="AJ214" s="335">
        <f t="shared" si="837"/>
        <v>751825.65351149777</v>
      </c>
      <c r="AK214" s="335">
        <f t="shared" si="837"/>
        <v>1159760.3589897775</v>
      </c>
      <c r="AL214" s="335">
        <f t="shared" si="837"/>
        <v>954346.45830508473</v>
      </c>
      <c r="AM214" s="335">
        <f t="shared" si="837"/>
        <v>1075778.405529954</v>
      </c>
      <c r="AN214" s="335">
        <f t="shared" si="837"/>
        <v>1074086.5010169491</v>
      </c>
      <c r="AO214" s="335">
        <f t="shared" si="837"/>
        <v>219983.10621022602</v>
      </c>
      <c r="AP214" s="335">
        <f t="shared" si="837"/>
        <v>459536.59007134364</v>
      </c>
      <c r="AQ214" s="335">
        <f t="shared" si="837"/>
        <v>617806.22435573523</v>
      </c>
      <c r="AR214" s="378">
        <f>AR201/AR14*1000000</f>
        <v>1219451.7728177044</v>
      </c>
      <c r="AS214" s="923">
        <f t="shared" ref="AS214:BD214" si="838">AS201*1000000/AS14</f>
        <v>978944.2495567376</v>
      </c>
      <c r="AT214" s="335">
        <f t="shared" si="838"/>
        <v>1201097.3731563422</v>
      </c>
      <c r="AU214" s="335">
        <f t="shared" si="838"/>
        <v>993193.65513264132</v>
      </c>
      <c r="AV214" s="335">
        <f t="shared" si="838"/>
        <v>855514.60437556973</v>
      </c>
      <c r="AW214" s="335">
        <f t="shared" si="838"/>
        <v>780018.2915151515</v>
      </c>
      <c r="AX214" s="335">
        <f t="shared" si="838"/>
        <v>709152.37333854579</v>
      </c>
      <c r="AY214" s="335">
        <f t="shared" si="838"/>
        <v>748537.8996247655</v>
      </c>
      <c r="AZ214" s="335">
        <f t="shared" si="838"/>
        <v>1161914.5727771679</v>
      </c>
      <c r="BA214" s="335">
        <f t="shared" si="838"/>
        <v>1013889.1885245901</v>
      </c>
      <c r="BB214" s="335">
        <f t="shared" si="838"/>
        <v>1587891.5335251605</v>
      </c>
      <c r="BC214" s="335">
        <f t="shared" si="838"/>
        <v>1412776.14075</v>
      </c>
      <c r="BD214" s="1516">
        <f t="shared" si="838"/>
        <v>1180418.7480158729</v>
      </c>
      <c r="BE214" s="378">
        <f>BE201/BE14*1000000</f>
        <v>1273519.2305159874</v>
      </c>
      <c r="BF214" s="1833">
        <f t="shared" ref="BF214:BQ214" si="839">BF201*1000000/BF14</f>
        <v>1286293.0408906883</v>
      </c>
      <c r="BG214" s="1834">
        <f t="shared" si="839"/>
        <v>1456016.629834254</v>
      </c>
      <c r="BH214" s="1834">
        <f t="shared" si="839"/>
        <v>1233252.2054406346</v>
      </c>
      <c r="BI214" s="1834">
        <f t="shared" si="839"/>
        <v>895663.43459996185</v>
      </c>
      <c r="BJ214" s="1834">
        <f t="shared" si="839"/>
        <v>857712.37651259673</v>
      </c>
      <c r="BK214" s="1834">
        <f t="shared" si="839"/>
        <v>1132313.3539184954</v>
      </c>
      <c r="BL214" s="1834">
        <f t="shared" si="839"/>
        <v>1307193.7268639053</v>
      </c>
      <c r="BM214" s="1834">
        <f t="shared" si="839"/>
        <v>1099179.158775365</v>
      </c>
      <c r="BN214" s="1834">
        <f t="shared" si="839"/>
        <v>1409307.2698092728</v>
      </c>
      <c r="BO214" s="1834">
        <f t="shared" si="839"/>
        <v>1406645.0708045203</v>
      </c>
      <c r="BP214" s="1834">
        <f t="shared" si="839"/>
        <v>1333516.6948726014</v>
      </c>
      <c r="BQ214" s="1835">
        <f t="shared" si="839"/>
        <v>1154453.4183203401</v>
      </c>
      <c r="BR214" s="378">
        <f>BR201/BR14*1000000</f>
        <v>1126230.4904396795</v>
      </c>
      <c r="BS214" s="1859">
        <f t="shared" ref="BS214:BX216" si="840">BS201*1000000/(BS14)</f>
        <v>1204516.3301063022</v>
      </c>
      <c r="BT214" s="1860">
        <f t="shared" si="840"/>
        <v>1094491.5991706161</v>
      </c>
      <c r="BU214" s="1860">
        <f t="shared" si="840"/>
        <v>963370.68467981624</v>
      </c>
      <c r="BV214" s="1860">
        <f t="shared" si="840"/>
        <v>959058.71807821805</v>
      </c>
      <c r="BW214" s="1860">
        <f t="shared" si="840"/>
        <v>886066.07153407892</v>
      </c>
      <c r="BX214" s="1860">
        <f t="shared" si="840"/>
        <v>781632.09375826502</v>
      </c>
      <c r="BY214" s="1860">
        <f t="shared" ref="BY214:CC214" si="841">BY201*1000000/(BY14)</f>
        <v>1218524.212092658</v>
      </c>
      <c r="BZ214" s="1860">
        <f t="shared" si="841"/>
        <v>1060409.4295819257</v>
      </c>
      <c r="CA214" s="1860">
        <f t="shared" si="841"/>
        <v>1365622.5161420095</v>
      </c>
      <c r="CB214" s="1860">
        <f t="shared" si="841"/>
        <v>1261996.3108595388</v>
      </c>
      <c r="CC214" s="1860">
        <f t="shared" si="841"/>
        <v>1159162.8706565951</v>
      </c>
      <c r="CD214" s="1860">
        <f t="shared" ref="CD214" si="842">CD201*1000000/(CD14)</f>
        <v>1158872.2517911976</v>
      </c>
      <c r="CE214" s="378">
        <f>CE201/CE14*1000000</f>
        <v>1106106.0465373665</v>
      </c>
      <c r="CF214" s="2483">
        <v>1053601.4690580922</v>
      </c>
      <c r="CG214" s="2251">
        <v>1053601.4690580922</v>
      </c>
      <c r="CH214" s="2251">
        <v>1299811.1730385344</v>
      </c>
      <c r="CI214" s="2251">
        <v>1048945.4040446659</v>
      </c>
      <c r="CJ214" s="2251">
        <v>974673.45903629449</v>
      </c>
      <c r="CK214" s="2251">
        <v>898390.75260851055</v>
      </c>
      <c r="CL214" s="2251">
        <v>1187475.922753199</v>
      </c>
      <c r="CM214" s="2251">
        <v>993902.7711868909</v>
      </c>
      <c r="CN214" s="2251">
        <v>1187475.922753199</v>
      </c>
      <c r="CO214" s="2251">
        <v>993902.7711868909</v>
      </c>
      <c r="CP214" s="2251">
        <v>993902.7711868909</v>
      </c>
      <c r="CQ214" s="2252">
        <v>993902.7711868909</v>
      </c>
      <c r="CR214" s="2921"/>
    </row>
    <row r="215" spans="1:96">
      <c r="B215" s="3313"/>
      <c r="C215" s="3314"/>
      <c r="D215" s="201" t="s">
        <v>331</v>
      </c>
      <c r="E215" s="378">
        <f>E202/E15*1000000</f>
        <v>539011.64306836494</v>
      </c>
      <c r="F215" s="335">
        <v>684948.18508727115</v>
      </c>
      <c r="G215" s="335">
        <v>845752.06807398866</v>
      </c>
      <c r="H215" s="335">
        <v>973628.81813543709</v>
      </c>
      <c r="I215" s="335">
        <v>513455.51848700177</v>
      </c>
      <c r="J215" s="335">
        <v>477825.18211428571</v>
      </c>
      <c r="K215" s="335">
        <v>327257.67734535213</v>
      </c>
      <c r="L215" s="335">
        <v>410247.91115241632</v>
      </c>
      <c r="M215" s="335">
        <v>637706.00519012264</v>
      </c>
      <c r="N215" s="335">
        <v>653519.23394055595</v>
      </c>
      <c r="O215" s="335">
        <v>531782.32102832198</v>
      </c>
      <c r="P215" s="335">
        <v>388615.32424654393</v>
      </c>
      <c r="Q215" s="335">
        <v>443415.96329686488</v>
      </c>
      <c r="R215" s="378">
        <f>R202/R15*1000000</f>
        <v>853096.83514519816</v>
      </c>
      <c r="S215" s="699">
        <f t="shared" ref="S215:AD215" si="843">S202*1000000/S15</f>
        <v>547555.68559218559</v>
      </c>
      <c r="T215" s="700">
        <f t="shared" si="843"/>
        <v>543543.45584239135</v>
      </c>
      <c r="U215" s="700">
        <f t="shared" si="843"/>
        <v>696309.08757062152</v>
      </c>
      <c r="V215" s="700">
        <f t="shared" si="843"/>
        <v>847717.30110069283</v>
      </c>
      <c r="W215" s="700">
        <f t="shared" si="843"/>
        <v>750819.74330164236</v>
      </c>
      <c r="X215" s="700">
        <f t="shared" si="843"/>
        <v>716210.60415175371</v>
      </c>
      <c r="Y215" s="700">
        <f t="shared" si="843"/>
        <v>850393.02444344654</v>
      </c>
      <c r="Z215" s="700">
        <f t="shared" si="843"/>
        <v>955842.35090690618</v>
      </c>
      <c r="AA215" s="700">
        <f t="shared" si="843"/>
        <v>948601.29154618981</v>
      </c>
      <c r="AB215" s="700">
        <f t="shared" si="843"/>
        <v>1031055.2868929874</v>
      </c>
      <c r="AC215" s="700">
        <f t="shared" si="843"/>
        <v>1214511.1752887997</v>
      </c>
      <c r="AD215" s="700">
        <f t="shared" si="843"/>
        <v>1241713.0715374011</v>
      </c>
      <c r="AE215" s="378">
        <f>AE202/AE15*1000000</f>
        <v>1680708.8354871718</v>
      </c>
      <c r="AF215" s="700">
        <f t="shared" ref="AF215:AQ215" si="844">AF202*1000000/AF15</f>
        <v>914997.26583159354</v>
      </c>
      <c r="AG215" s="700">
        <f t="shared" si="844"/>
        <v>985509.31162849127</v>
      </c>
      <c r="AH215" s="700">
        <f t="shared" si="844"/>
        <v>933942.66944908176</v>
      </c>
      <c r="AI215" s="700">
        <f t="shared" si="844"/>
        <v>1002364.1421091997</v>
      </c>
      <c r="AJ215" s="700">
        <f t="shared" si="844"/>
        <v>1160709.7683299389</v>
      </c>
      <c r="AK215" s="700">
        <f t="shared" si="844"/>
        <v>989407.59765832894</v>
      </c>
      <c r="AL215" s="700">
        <f t="shared" si="844"/>
        <v>1192622.0236077481</v>
      </c>
      <c r="AM215" s="700">
        <f t="shared" si="844"/>
        <v>1083769.3528678303</v>
      </c>
      <c r="AN215" s="700">
        <f t="shared" si="844"/>
        <v>728373.65622423741</v>
      </c>
      <c r="AO215" s="700">
        <f t="shared" si="844"/>
        <v>6643623.9627103228</v>
      </c>
      <c r="AP215" s="700">
        <f t="shared" si="844"/>
        <v>2233507.0879194629</v>
      </c>
      <c r="AQ215" s="700">
        <f t="shared" si="844"/>
        <v>3265650.694477086</v>
      </c>
      <c r="AR215" s="378">
        <f>AR202/AR15*1000000</f>
        <v>1221191.2459851431</v>
      </c>
      <c r="AS215" s="923">
        <f t="shared" ref="AS215:BD215" si="845">AS202*1000000/AS15</f>
        <v>1198476.5315068492</v>
      </c>
      <c r="AT215" s="335">
        <f t="shared" si="845"/>
        <v>1238796.6404494382</v>
      </c>
      <c r="AU215" s="335">
        <f t="shared" si="845"/>
        <v>1570748.0633631195</v>
      </c>
      <c r="AV215" s="335">
        <f t="shared" si="845"/>
        <v>1114706.8214285714</v>
      </c>
      <c r="AW215" s="335">
        <f t="shared" si="845"/>
        <v>999081.74009146343</v>
      </c>
      <c r="AX215" s="335">
        <f t="shared" si="845"/>
        <v>955176.64759427833</v>
      </c>
      <c r="AY215" s="335">
        <f t="shared" si="845"/>
        <v>1045733.0373230373</v>
      </c>
      <c r="AZ215" s="335">
        <f t="shared" si="845"/>
        <v>1081548.1853568119</v>
      </c>
      <c r="BA215" s="335">
        <f t="shared" si="845"/>
        <v>1658229.498973306</v>
      </c>
      <c r="BB215" s="335">
        <f t="shared" si="845"/>
        <v>1508993.7279999999</v>
      </c>
      <c r="BC215" s="335">
        <f t="shared" si="845"/>
        <v>1657044.5735567971</v>
      </c>
      <c r="BD215" s="1516">
        <f t="shared" si="845"/>
        <v>1488424.652110626</v>
      </c>
      <c r="BE215" s="378">
        <f>BE202/BE15*1000000</f>
        <v>851768.1945560599</v>
      </c>
      <c r="BF215" s="1833">
        <f t="shared" ref="BF215:BQ215" si="846">BF202*1000000/BF15</f>
        <v>1446400.9350180505</v>
      </c>
      <c r="BG215" s="1834">
        <f t="shared" si="846"/>
        <v>1058940.603567889</v>
      </c>
      <c r="BH215" s="1834">
        <f t="shared" si="846"/>
        <v>1122815.2669491526</v>
      </c>
      <c r="BI215" s="1834">
        <f t="shared" si="846"/>
        <v>998480.08315256692</v>
      </c>
      <c r="BJ215" s="1834">
        <f t="shared" si="846"/>
        <v>574840.85917400138</v>
      </c>
      <c r="BK215" s="1834">
        <f t="shared" si="846"/>
        <v>559987.3389830509</v>
      </c>
      <c r="BL215" s="1834">
        <f t="shared" si="846"/>
        <v>718738.76568265678</v>
      </c>
      <c r="BM215" s="1834">
        <f t="shared" si="846"/>
        <v>811445.43146417441</v>
      </c>
      <c r="BN215" s="1834">
        <f t="shared" si="846"/>
        <v>557595.2112514351</v>
      </c>
      <c r="BO215" s="1834">
        <f t="shared" si="846"/>
        <v>492859.11634092347</v>
      </c>
      <c r="BP215" s="1834">
        <f t="shared" si="846"/>
        <v>646223.87458193977</v>
      </c>
      <c r="BQ215" s="1835">
        <f t="shared" si="846"/>
        <v>732657.20773930755</v>
      </c>
      <c r="BR215" s="378">
        <f>BR202/BR15*1000000</f>
        <v>5343120.3398576509</v>
      </c>
      <c r="BS215" s="1859">
        <f t="shared" si="840"/>
        <v>1444935.2327586208</v>
      </c>
      <c r="BT215" s="1860">
        <f t="shared" si="840"/>
        <v>5532305.1428571427</v>
      </c>
      <c r="BU215" s="1860">
        <f t="shared" si="840"/>
        <v>52060837.666666664</v>
      </c>
      <c r="BV215" s="1860">
        <f t="shared" si="840"/>
        <v>4809817.0549450554</v>
      </c>
      <c r="BW215" s="1860">
        <f t="shared" si="840"/>
        <v>774993.20382165606</v>
      </c>
      <c r="BX215" s="1860" t="e">
        <f t="shared" si="840"/>
        <v>#DIV/0!</v>
      </c>
      <c r="BY215" s="1860" t="e">
        <f t="shared" ref="BY215:CC215" si="847">BY202*1000000/(BY15)</f>
        <v>#DIV/0!</v>
      </c>
      <c r="BZ215" s="1860" t="e">
        <f t="shared" si="847"/>
        <v>#DIV/0!</v>
      </c>
      <c r="CA215" s="1860" t="e">
        <f t="shared" si="847"/>
        <v>#DIV/0!</v>
      </c>
      <c r="CB215" s="1860" t="e">
        <f t="shared" si="847"/>
        <v>#DIV/0!</v>
      </c>
      <c r="CC215" s="1860" t="e">
        <f t="shared" si="847"/>
        <v>#DIV/0!</v>
      </c>
      <c r="CD215" s="1860" t="e">
        <f t="shared" ref="CD215" si="848">CD202*1000000/(CD15)</f>
        <v>#DIV/0!</v>
      </c>
      <c r="CE215" s="378" t="e">
        <f>CE202/CE15*1000000</f>
        <v>#DIV/0!</v>
      </c>
      <c r="CF215" s="2252">
        <v>820306.98555956676</v>
      </c>
      <c r="CG215" s="2251">
        <f>CF215</f>
        <v>820306.98555956676</v>
      </c>
      <c r="CH215" s="2251">
        <f t="shared" ref="CH215:CO215" si="849">CG215</f>
        <v>820306.98555956676</v>
      </c>
      <c r="CI215" s="2251">
        <f t="shared" si="849"/>
        <v>820306.98555956676</v>
      </c>
      <c r="CJ215" s="2251">
        <f t="shared" si="849"/>
        <v>820306.98555956676</v>
      </c>
      <c r="CK215" s="2251">
        <f t="shared" si="849"/>
        <v>820306.98555956676</v>
      </c>
      <c r="CL215" s="2251">
        <f t="shared" si="849"/>
        <v>820306.98555956676</v>
      </c>
      <c r="CM215" s="2251">
        <f t="shared" si="849"/>
        <v>820306.98555956676</v>
      </c>
      <c r="CN215" s="2251">
        <f t="shared" si="849"/>
        <v>820306.98555956676</v>
      </c>
      <c r="CO215" s="2251">
        <f t="shared" si="849"/>
        <v>820306.98555956676</v>
      </c>
      <c r="CP215" s="2251">
        <f t="shared" ref="CP215:CP219" si="850">CO215</f>
        <v>820306.98555956676</v>
      </c>
      <c r="CQ215" s="2252">
        <f t="shared" ref="CQ215:CQ219" si="851">CP215</f>
        <v>820306.98555956676</v>
      </c>
      <c r="CR215" s="2921"/>
    </row>
    <row r="216" spans="1:96">
      <c r="B216" s="3313"/>
      <c r="C216" s="3314"/>
      <c r="D216" s="101" t="s">
        <v>18</v>
      </c>
      <c r="E216" s="378">
        <f>E203/E16*1000000</f>
        <v>865075.08314454008</v>
      </c>
      <c r="F216" s="335">
        <v>1946063.644230769</v>
      </c>
      <c r="G216" s="335">
        <v>1339216.7499999998</v>
      </c>
      <c r="H216" s="335">
        <v>988104.75409836078</v>
      </c>
      <c r="I216" s="335">
        <v>846993.9417989417</v>
      </c>
      <c r="J216" s="335">
        <v>708683.46285714279</v>
      </c>
      <c r="K216" s="335">
        <v>612998.26648351655</v>
      </c>
      <c r="L216" s="335">
        <v>1031846.0931899642</v>
      </c>
      <c r="M216" s="335">
        <v>1744307.8690909091</v>
      </c>
      <c r="N216" s="335">
        <v>555839.87941372418</v>
      </c>
      <c r="O216" s="335">
        <v>1242730.4756756756</v>
      </c>
      <c r="P216" s="335">
        <v>939655.8802395208</v>
      </c>
      <c r="Q216" s="335">
        <v>924227.4926470588</v>
      </c>
      <c r="R216" s="378">
        <f>R203/R16*1000000</f>
        <v>821812.21409311518</v>
      </c>
      <c r="S216" s="335">
        <f t="shared" ref="S216:AD216" si="852">S203*1000000/S16</f>
        <v>1451898</v>
      </c>
      <c r="T216" s="335">
        <f t="shared" si="852"/>
        <v>914133.50943396229</v>
      </c>
      <c r="U216" s="335">
        <f t="shared" si="852"/>
        <v>377158.84210526315</v>
      </c>
      <c r="V216" s="335">
        <f t="shared" si="852"/>
        <v>797639.19480519486</v>
      </c>
      <c r="W216" s="335">
        <f t="shared" si="852"/>
        <v>484241.15718418517</v>
      </c>
      <c r="X216" s="335">
        <f t="shared" si="852"/>
        <v>674853.66439909302</v>
      </c>
      <c r="Y216" s="335">
        <f t="shared" si="852"/>
        <v>1004216.0747422681</v>
      </c>
      <c r="Z216" s="335">
        <f t="shared" si="852"/>
        <v>1236600.5343137255</v>
      </c>
      <c r="AA216" s="335">
        <f t="shared" si="852"/>
        <v>893820.52067669178</v>
      </c>
      <c r="AB216" s="335">
        <f t="shared" si="852"/>
        <v>851487.26871401153</v>
      </c>
      <c r="AC216" s="335">
        <f t="shared" si="852"/>
        <v>678019.62307692319</v>
      </c>
      <c r="AD216" s="335">
        <f t="shared" si="852"/>
        <v>1038568.9327731093</v>
      </c>
      <c r="AE216" s="378">
        <f>AE203/AE16*1000000</f>
        <v>419735.1911685642</v>
      </c>
      <c r="AF216" s="335">
        <f t="shared" ref="AF216:AQ216" si="853">AF203*1000000/AF16</f>
        <v>1603675.923109598</v>
      </c>
      <c r="AG216" s="335">
        <f t="shared" si="853"/>
        <v>1092383.0446194226</v>
      </c>
      <c r="AH216" s="335">
        <f t="shared" si="853"/>
        <v>1472608.7149122807</v>
      </c>
      <c r="AI216" s="335">
        <f t="shared" si="853"/>
        <v>1083645.5571428572</v>
      </c>
      <c r="AJ216" s="335">
        <f t="shared" si="853"/>
        <v>937991.86844262294</v>
      </c>
      <c r="AK216" s="335">
        <f t="shared" si="853"/>
        <v>829942.15413533838</v>
      </c>
      <c r="AL216" s="335">
        <f t="shared" si="853"/>
        <v>911006.57461024495</v>
      </c>
      <c r="AM216" s="335">
        <f t="shared" si="853"/>
        <v>1126970.7733564014</v>
      </c>
      <c r="AN216" s="335">
        <f t="shared" si="853"/>
        <v>35899.298173246905</v>
      </c>
      <c r="AO216" s="335">
        <f t="shared" si="853"/>
        <v>187955.13280318092</v>
      </c>
      <c r="AP216" s="335">
        <f t="shared" si="853"/>
        <v>1020379.9291338584</v>
      </c>
      <c r="AQ216" s="335">
        <f t="shared" si="853"/>
        <v>685616.875</v>
      </c>
      <c r="AR216" s="378">
        <f>AR203/AR16*1000000</f>
        <v>227518.17541440995</v>
      </c>
      <c r="AS216" s="923">
        <f t="shared" ref="AS216:BD216" si="854">AS203*1000000/AS16</f>
        <v>1090965.8830254795</v>
      </c>
      <c r="AT216" s="335">
        <f t="shared" si="854"/>
        <v>922035.55157009442</v>
      </c>
      <c r="AU216" s="335">
        <f t="shared" si="854"/>
        <v>933719.48406994296</v>
      </c>
      <c r="AV216" s="335">
        <f t="shared" si="854"/>
        <v>911789.39334722597</v>
      </c>
      <c r="AW216" s="335">
        <f t="shared" si="854"/>
        <v>468043.66799291194</v>
      </c>
      <c r="AX216" s="335">
        <f t="shared" si="854"/>
        <v>1004112.9752337281</v>
      </c>
      <c r="AY216" s="335">
        <f t="shared" si="854"/>
        <v>898235.90843320708</v>
      </c>
      <c r="AZ216" s="335">
        <f t="shared" si="854"/>
        <v>1067023.91237001</v>
      </c>
      <c r="BA216" s="335">
        <f t="shared" si="854"/>
        <v>39971.939499903296</v>
      </c>
      <c r="BB216" s="335">
        <f t="shared" si="854"/>
        <v>61314.149648621111</v>
      </c>
      <c r="BC216" s="335">
        <f t="shared" si="854"/>
        <v>738072.62416429515</v>
      </c>
      <c r="BD216" s="1516">
        <f t="shared" si="854"/>
        <v>738647.86031222506</v>
      </c>
      <c r="BE216" s="378">
        <f>BE203/BE16*1000000</f>
        <v>583611.64484708849</v>
      </c>
      <c r="BF216" s="1833">
        <f t="shared" ref="BF216:BQ216" si="855">BF203*1000000/BF16</f>
        <v>1343618.1435406699</v>
      </c>
      <c r="BG216" s="1834">
        <f t="shared" si="855"/>
        <v>1173678.7103825137</v>
      </c>
      <c r="BH216" s="1834">
        <f t="shared" si="855"/>
        <v>2689708.772413793</v>
      </c>
      <c r="BI216" s="1834">
        <f t="shared" si="855"/>
        <v>757076.14689655171</v>
      </c>
      <c r="BJ216" s="1834">
        <f t="shared" si="855"/>
        <v>742515.30092592596</v>
      </c>
      <c r="BK216" s="1834">
        <f t="shared" si="855"/>
        <v>1447909.291005291</v>
      </c>
      <c r="BL216" s="1834">
        <f t="shared" si="855"/>
        <v>800401.94864048343</v>
      </c>
      <c r="BM216" s="1834">
        <f t="shared" si="855"/>
        <v>1411185.3913043479</v>
      </c>
      <c r="BN216" s="1834">
        <f t="shared" si="855"/>
        <v>1567986.6120218579</v>
      </c>
      <c r="BO216" s="1834">
        <f t="shared" si="855"/>
        <v>71764.148199767718</v>
      </c>
      <c r="BP216" s="1834">
        <f t="shared" si="855"/>
        <v>404152.43494897959</v>
      </c>
      <c r="BQ216" s="1835">
        <f t="shared" si="855"/>
        <v>1055114.2758620689</v>
      </c>
      <c r="BR216" s="378">
        <f>BR203/BR16*1000000</f>
        <v>451067.58013919182</v>
      </c>
      <c r="BS216" s="1859">
        <f t="shared" si="840"/>
        <v>1831861.5231788079</v>
      </c>
      <c r="BT216" s="1860">
        <f t="shared" si="840"/>
        <v>851999.83564013836</v>
      </c>
      <c r="BU216" s="1860">
        <f t="shared" si="840"/>
        <v>582838.38005050505</v>
      </c>
      <c r="BV216" s="1860">
        <f t="shared" si="840"/>
        <v>970796.55868544604</v>
      </c>
      <c r="BW216" s="1860">
        <f t="shared" si="840"/>
        <v>711529.33976833976</v>
      </c>
      <c r="BX216" s="1860">
        <f t="shared" si="840"/>
        <v>775963.67073170736</v>
      </c>
      <c r="BY216" s="1860">
        <f t="shared" ref="BY216:CC216" si="856">BY203*1000000/(BY16)</f>
        <v>555650.39244663378</v>
      </c>
      <c r="BZ216" s="1860">
        <f t="shared" si="856"/>
        <v>1581118.2171052631</v>
      </c>
      <c r="CA216" s="1860">
        <f t="shared" si="856"/>
        <v>2669115.5569105693</v>
      </c>
      <c r="CB216" s="1860">
        <f t="shared" si="856"/>
        <v>107915.60883482714</v>
      </c>
      <c r="CC216" s="1860">
        <f t="shared" si="856"/>
        <v>123780.89372301562</v>
      </c>
      <c r="CD216" s="1860">
        <f t="shared" ref="CD216" si="857">CD203*1000000/(CD16)</f>
        <v>2376600.2235772358</v>
      </c>
      <c r="CE216" s="378">
        <f>CE203/CE16*1000000</f>
        <v>410098.03848859778</v>
      </c>
      <c r="CF216" s="2483">
        <v>595077.98603156558</v>
      </c>
      <c r="CG216" s="2251">
        <v>595077.98603156558</v>
      </c>
      <c r="CH216" s="2251">
        <v>869891.83218858123</v>
      </c>
      <c r="CI216" s="2251">
        <v>991183.28641784028</v>
      </c>
      <c r="CJ216" s="2251">
        <v>726471.45590347482</v>
      </c>
      <c r="CK216" s="2251">
        <v>792258.90781707317</v>
      </c>
      <c r="CL216" s="2251">
        <v>869891.83218858123</v>
      </c>
      <c r="CM216" s="2251">
        <v>776247.90904248855</v>
      </c>
      <c r="CN216" s="2251">
        <v>869891.83218858123</v>
      </c>
      <c r="CO216" s="2251">
        <v>776247.90904248855</v>
      </c>
      <c r="CP216" s="2251">
        <v>776247.90904248855</v>
      </c>
      <c r="CQ216" s="2252">
        <v>776247.90904248855</v>
      </c>
      <c r="CR216" s="2921"/>
    </row>
    <row r="217" spans="1:96">
      <c r="A217" s="3154">
        <f>A218/CE17</f>
        <v>2506114.9204057907</v>
      </c>
      <c r="B217" s="3313"/>
      <c r="C217" s="3314"/>
      <c r="D217" s="101" t="s">
        <v>244</v>
      </c>
      <c r="E217" s="378">
        <f>E204/E20*1000000</f>
        <v>5156.3060543726024</v>
      </c>
      <c r="F217" s="335">
        <v>1566.9831992850757</v>
      </c>
      <c r="G217" s="335">
        <v>496.7433273128637</v>
      </c>
      <c r="H217" s="335">
        <v>2196.7364677992887</v>
      </c>
      <c r="I217" s="335">
        <v>1436.5868427043024</v>
      </c>
      <c r="J217" s="335">
        <v>1562.8012068387529</v>
      </c>
      <c r="K217" s="335">
        <v>1051.1154248366015</v>
      </c>
      <c r="L217" s="335">
        <v>1274.5178801735256</v>
      </c>
      <c r="M217" s="335">
        <v>1844.5677706225085</v>
      </c>
      <c r="N217" s="335">
        <v>6116.4538521705117</v>
      </c>
      <c r="O217" s="335">
        <v>10242.716158636513</v>
      </c>
      <c r="P217" s="335">
        <v>10188.488738384</v>
      </c>
      <c r="Q217" s="335">
        <v>25264.808375857821</v>
      </c>
      <c r="R217" s="378">
        <f>R204/R20*1000000</f>
        <v>10939.312804705032</v>
      </c>
      <c r="S217" s="335">
        <f t="shared" ref="S217:AD217" si="858">S204*1000000/S20</f>
        <v>8099.0346142563803</v>
      </c>
      <c r="T217" s="335">
        <f t="shared" si="858"/>
        <v>31264.191869219187</v>
      </c>
      <c r="U217" s="335">
        <f t="shared" si="858"/>
        <v>24185.311000000002</v>
      </c>
      <c r="V217" s="335">
        <f t="shared" si="858"/>
        <v>3166.4241588527302</v>
      </c>
      <c r="W217" s="335">
        <f t="shared" si="858"/>
        <v>1801.4718180297709</v>
      </c>
      <c r="X217" s="335">
        <f t="shared" si="858"/>
        <v>3077.4865309479746</v>
      </c>
      <c r="Y217" s="335">
        <f t="shared" si="858"/>
        <v>1388.4515494343334</v>
      </c>
      <c r="Z217" s="335">
        <f t="shared" si="858"/>
        <v>6952.5693889206168</v>
      </c>
      <c r="AA217" s="335">
        <f t="shared" si="858"/>
        <v>2477.3507265521798</v>
      </c>
      <c r="AB217" s="335">
        <f t="shared" si="858"/>
        <v>771.60571652310102</v>
      </c>
      <c r="AC217" s="335">
        <f t="shared" si="858"/>
        <v>873.05412487575677</v>
      </c>
      <c r="AD217" s="335">
        <f t="shared" si="858"/>
        <v>33838.724449913141</v>
      </c>
      <c r="AE217" s="378">
        <f>AE204/AE20*1000000</f>
        <v>1847.7060690409448</v>
      </c>
      <c r="AF217" s="335">
        <f t="shared" ref="AF217:AQ217" si="859">AF204*1000000/AF20</f>
        <v>2235.2282189188577</v>
      </c>
      <c r="AG217" s="335">
        <f t="shared" si="859"/>
        <v>499.80336084905662</v>
      </c>
      <c r="AH217" s="335">
        <f t="shared" si="859"/>
        <v>1294.4680495946591</v>
      </c>
      <c r="AI217" s="335">
        <f t="shared" si="859"/>
        <v>2491.2920431043867</v>
      </c>
      <c r="AJ217" s="335">
        <f t="shared" si="859"/>
        <v>3049.2157779720283</v>
      </c>
      <c r="AK217" s="335">
        <f t="shared" si="859"/>
        <v>291.6999747027574</v>
      </c>
      <c r="AL217" s="335">
        <f t="shared" si="859"/>
        <v>1055.112403510627</v>
      </c>
      <c r="AM217" s="335">
        <f t="shared" si="859"/>
        <v>7166.2639890147611</v>
      </c>
      <c r="AN217" s="335">
        <f t="shared" si="859"/>
        <v>1362.8244347330419</v>
      </c>
      <c r="AO217" s="335">
        <f t="shared" si="859"/>
        <v>2173.442461329254</v>
      </c>
      <c r="AP217" s="335">
        <f t="shared" si="859"/>
        <v>2710.8910891089108</v>
      </c>
      <c r="AQ217" s="335">
        <f t="shared" si="859"/>
        <v>788.44761204996325</v>
      </c>
      <c r="AR217" s="378">
        <f>AR204/AR20*1000000</f>
        <v>1863.2883006663101</v>
      </c>
      <c r="AS217" s="923">
        <f t="shared" ref="AS217:BD217" si="860">AS204*1000000/AS20</f>
        <v>3169.031095611741</v>
      </c>
      <c r="AT217" s="335">
        <f t="shared" si="860"/>
        <v>2198.1678685897436</v>
      </c>
      <c r="AU217" s="335">
        <f t="shared" si="860"/>
        <v>1423.0401158903499</v>
      </c>
      <c r="AV217" s="335">
        <f t="shared" si="860"/>
        <v>4458.7120000000004</v>
      </c>
      <c r="AW217" s="335">
        <f t="shared" si="860"/>
        <v>1519.4346113989636</v>
      </c>
      <c r="AX217" s="335">
        <f t="shared" si="860"/>
        <v>1596.5985458832777</v>
      </c>
      <c r="AY217" s="335">
        <f t="shared" si="860"/>
        <v>1084.3257206517198</v>
      </c>
      <c r="AZ217" s="335">
        <f t="shared" si="860"/>
        <v>385.96001932600558</v>
      </c>
      <c r="BA217" s="335">
        <f t="shared" si="860"/>
        <v>794.39751940751319</v>
      </c>
      <c r="BB217" s="335">
        <f t="shared" si="860"/>
        <v>231.97252124645891</v>
      </c>
      <c r="BC217" s="335">
        <f t="shared" si="860"/>
        <v>1308.4339704135623</v>
      </c>
      <c r="BD217" s="1516">
        <f t="shared" si="860"/>
        <v>5476.019194957742</v>
      </c>
      <c r="BE217" s="378">
        <f>BE204/BE20*1000000</f>
        <v>3267.7475909285404</v>
      </c>
      <c r="BF217" s="1833">
        <f t="shared" ref="BF217:BQ217" si="861">BF204*1000000/BF20</f>
        <v>208.34250046930731</v>
      </c>
      <c r="BG217" s="1834">
        <f t="shared" si="861"/>
        <v>893.98314933178381</v>
      </c>
      <c r="BH217" s="1834">
        <f t="shared" si="861"/>
        <v>2013.8804173354736</v>
      </c>
      <c r="BI217" s="1834">
        <f t="shared" si="861"/>
        <v>1257.108348794063</v>
      </c>
      <c r="BJ217" s="1834">
        <f t="shared" si="861"/>
        <v>2812.7858240491742</v>
      </c>
      <c r="BK217" s="1834">
        <f t="shared" si="861"/>
        <v>1474.5566241885069</v>
      </c>
      <c r="BL217" s="1834">
        <f t="shared" si="861"/>
        <v>17278.789857932123</v>
      </c>
      <c r="BM217" s="1834">
        <f t="shared" si="861"/>
        <v>1776.0568978955573</v>
      </c>
      <c r="BN217" s="1834">
        <f t="shared" si="861"/>
        <v>1468.0575579770887</v>
      </c>
      <c r="BO217" s="1834">
        <f t="shared" si="861"/>
        <v>3519.3683879093201</v>
      </c>
      <c r="BP217" s="1834">
        <f t="shared" si="861"/>
        <v>5082.7075843928105</v>
      </c>
      <c r="BQ217" s="1835">
        <f t="shared" si="861"/>
        <v>3269.2330908528093</v>
      </c>
      <c r="BR217" s="378">
        <f>BR204/BR20*1000000</f>
        <v>2337.2419142599902</v>
      </c>
      <c r="BS217" s="1859">
        <f t="shared" ref="BS217:BX217" si="862">BS204*1000000/(BS20)</f>
        <v>2875.2008300252614</v>
      </c>
      <c r="BT217" s="1860">
        <f t="shared" si="862"/>
        <v>2113.3292882912428</v>
      </c>
      <c r="BU217" s="1860">
        <f t="shared" si="862"/>
        <v>1603.6389954656436</v>
      </c>
      <c r="BV217" s="1860">
        <f t="shared" si="862"/>
        <v>1892.4100561600562</v>
      </c>
      <c r="BW217" s="1860">
        <f t="shared" si="862"/>
        <v>1989.3094152884489</v>
      </c>
      <c r="BX217" s="1860">
        <f t="shared" si="862"/>
        <v>1927.6743005855562</v>
      </c>
      <c r="BY217" s="1860">
        <f t="shared" ref="BY217:CC217" si="863">BY204*1000000/(BY20)</f>
        <v>1847.2220624190998</v>
      </c>
      <c r="BZ217" s="1860">
        <f t="shared" si="863"/>
        <v>2385.8498460423834</v>
      </c>
      <c r="CA217" s="1860">
        <f t="shared" si="863"/>
        <v>2808.6415030467165</v>
      </c>
      <c r="CB217" s="1860">
        <f t="shared" si="863"/>
        <v>2692.3860103626944</v>
      </c>
      <c r="CC217" s="1860">
        <f t="shared" si="863"/>
        <v>4273.7491884873407</v>
      </c>
      <c r="CD217" s="1860">
        <f t="shared" ref="CD217" si="864">CD204*1000000/(CD20)</f>
        <v>2257.984184914842</v>
      </c>
      <c r="CE217" s="378">
        <f>CE204/CE20*1000000</f>
        <v>2053.5371977930249</v>
      </c>
      <c r="CF217" s="2483">
        <v>2935.5800474557918</v>
      </c>
      <c r="CG217" s="2251">
        <v>1637.3154143704219</v>
      </c>
      <c r="CH217" s="2251">
        <v>2157.7092033453587</v>
      </c>
      <c r="CI217" s="2251">
        <v>1932.1506673394172</v>
      </c>
      <c r="CJ217" s="2251">
        <v>2031.0849130095062</v>
      </c>
      <c r="CK217" s="2251">
        <v>1968.1554608978527</v>
      </c>
      <c r="CL217" s="2251">
        <v>2157.7092033453587</v>
      </c>
      <c r="CM217" s="2251">
        <v>1892.1766139042993</v>
      </c>
      <c r="CN217" s="2251">
        <v>2157.7092033453587</v>
      </c>
      <c r="CO217" s="2251">
        <v>1892.1766139042993</v>
      </c>
      <c r="CP217" s="2251">
        <v>1892.1766139042993</v>
      </c>
      <c r="CQ217" s="2252">
        <v>1892.1766139042993</v>
      </c>
      <c r="CR217" s="2921"/>
    </row>
    <row r="218" spans="1:96">
      <c r="A218" s="3156">
        <v>50000000000</v>
      </c>
      <c r="B218" s="3315"/>
      <c r="C218" s="3316"/>
      <c r="D218" s="229" t="s">
        <v>678</v>
      </c>
      <c r="E218" s="381">
        <f>E205/(E17+E21)*1000000</f>
        <v>693311.36763848388</v>
      </c>
      <c r="F218" s="336">
        <v>743071.8190719455</v>
      </c>
      <c r="G218" s="336">
        <v>833471.36668818584</v>
      </c>
      <c r="H218" s="336">
        <v>742283.41480144404</v>
      </c>
      <c r="I218" s="336">
        <v>622221.76127430692</v>
      </c>
      <c r="J218" s="336">
        <v>566501.27379310341</v>
      </c>
      <c r="K218" s="336">
        <v>610045.23774622078</v>
      </c>
      <c r="L218" s="336">
        <v>565789.89124668436</v>
      </c>
      <c r="M218" s="336">
        <v>701021.75511022052</v>
      </c>
      <c r="N218" s="336">
        <v>614338.45372928178</v>
      </c>
      <c r="O218" s="336">
        <v>629482.94139194139</v>
      </c>
      <c r="P218" s="336">
        <v>761981.94870630954</v>
      </c>
      <c r="Q218" s="336">
        <v>901171.22697368416</v>
      </c>
      <c r="R218" s="381">
        <f>R205/(R17+R21)*1000000</f>
        <v>502608.6974970547</v>
      </c>
      <c r="S218" s="335">
        <f t="shared" ref="S218:AD218" si="865">S205*1000000/(S17+S21)</f>
        <v>817834.83099630999</v>
      </c>
      <c r="T218" s="336">
        <f t="shared" si="865"/>
        <v>703233.71603109955</v>
      </c>
      <c r="U218" s="336">
        <f t="shared" si="865"/>
        <v>619273.25387263345</v>
      </c>
      <c r="V218" s="336">
        <f t="shared" si="865"/>
        <v>395840.24044943822</v>
      </c>
      <c r="W218" s="336">
        <f t="shared" si="865"/>
        <v>456921.08026467205</v>
      </c>
      <c r="X218" s="336">
        <f t="shared" si="865"/>
        <v>494714.78631605819</v>
      </c>
      <c r="Y218" s="336">
        <f t="shared" si="865"/>
        <v>418837.31065830722</v>
      </c>
      <c r="Z218" s="336">
        <f t="shared" si="865"/>
        <v>459755.21740239859</v>
      </c>
      <c r="AA218" s="336">
        <f t="shared" si="865"/>
        <v>514133.28644067794</v>
      </c>
      <c r="AB218" s="336">
        <f t="shared" si="865"/>
        <v>329167.81646992691</v>
      </c>
      <c r="AC218" s="336">
        <f t="shared" si="865"/>
        <v>607325.48365724378</v>
      </c>
      <c r="AD218" s="336">
        <f t="shared" si="865"/>
        <v>515644.93272171251</v>
      </c>
      <c r="AE218" s="381">
        <f>AE205/(AE17+AE21)*1000000</f>
        <v>640882.54930861096</v>
      </c>
      <c r="AF218" s="336">
        <f t="shared" ref="AF218:AQ218" si="866">AF205*1000000/(AF17+AF21)</f>
        <v>378636.80072520889</v>
      </c>
      <c r="AG218" s="336">
        <f t="shared" si="866"/>
        <v>572739.46945392492</v>
      </c>
      <c r="AH218" s="336">
        <f t="shared" si="866"/>
        <v>392849.43763075315</v>
      </c>
      <c r="AI218" s="336">
        <f t="shared" si="866"/>
        <v>645203.68665819569</v>
      </c>
      <c r="AJ218" s="336">
        <f t="shared" si="866"/>
        <v>322882.57837987284</v>
      </c>
      <c r="AK218" s="336">
        <f t="shared" si="866"/>
        <v>1878163.9811496828</v>
      </c>
      <c r="AL218" s="336">
        <f t="shared" si="866"/>
        <v>503443.84501669055</v>
      </c>
      <c r="AM218" s="336">
        <f t="shared" si="866"/>
        <v>844196.00357462023</v>
      </c>
      <c r="AN218" s="336">
        <f t="shared" si="866"/>
        <v>1109522.2821869489</v>
      </c>
      <c r="AO218" s="336">
        <f t="shared" si="866"/>
        <v>1263187.5382594417</v>
      </c>
      <c r="AP218" s="336">
        <f t="shared" si="866"/>
        <v>346663.98989310011</v>
      </c>
      <c r="AQ218" s="336">
        <f t="shared" si="866"/>
        <v>211496.04967788118</v>
      </c>
      <c r="AR218" s="381">
        <f>AR205/(AR17+AR21)*1000000</f>
        <v>450251.7716010529</v>
      </c>
      <c r="AS218" s="1519">
        <f t="shared" ref="AS218:BD218" si="867">AS205*1000000/(AS17+AS21)</f>
        <v>244424.26079161733</v>
      </c>
      <c r="AT218" s="336">
        <f t="shared" si="867"/>
        <v>640628.55380766827</v>
      </c>
      <c r="AU218" s="336">
        <f t="shared" si="867"/>
        <v>904101.01502199064</v>
      </c>
      <c r="AV218" s="336">
        <f t="shared" si="867"/>
        <v>253385.02085356205</v>
      </c>
      <c r="AW218" s="336">
        <f t="shared" si="867"/>
        <v>550605.96919259487</v>
      </c>
      <c r="AX218" s="336">
        <f t="shared" si="867"/>
        <v>289667.36633372406</v>
      </c>
      <c r="AY218" s="336">
        <f t="shared" si="867"/>
        <v>344802.41989755369</v>
      </c>
      <c r="AZ218" s="336">
        <f t="shared" si="867"/>
        <v>431471.09334578097</v>
      </c>
      <c r="BA218" s="336">
        <f t="shared" si="867"/>
        <v>577941.48411719967</v>
      </c>
      <c r="BB218" s="336">
        <f t="shared" si="867"/>
        <v>634342.37725495943</v>
      </c>
      <c r="BC218" s="336">
        <f t="shared" si="867"/>
        <v>637193.61103611288</v>
      </c>
      <c r="BD218" s="1518">
        <f t="shared" si="867"/>
        <v>297835.08331724285</v>
      </c>
      <c r="BE218" s="381">
        <f>BE205/(BE17+BE21)*1000000</f>
        <v>2594259.4337798981</v>
      </c>
      <c r="BF218" s="1833">
        <f t="shared" ref="BF218:BQ218" si="868">BF205*1000000/(BF17+BF21)</f>
        <v>704588.55438813346</v>
      </c>
      <c r="BG218" s="1834">
        <f t="shared" si="868"/>
        <v>702850.50794747751</v>
      </c>
      <c r="BH218" s="1834">
        <f t="shared" si="868"/>
        <v>584796.5061818182</v>
      </c>
      <c r="BI218" s="1834">
        <f t="shared" si="868"/>
        <v>786236.1414752116</v>
      </c>
      <c r="BJ218" s="1834">
        <f t="shared" si="868"/>
        <v>556896.2552800735</v>
      </c>
      <c r="BK218" s="1834">
        <f t="shared" si="868"/>
        <v>293677.89976689976</v>
      </c>
      <c r="BL218" s="1834">
        <f t="shared" si="868"/>
        <v>666548.35163616191</v>
      </c>
      <c r="BM218" s="1834">
        <f t="shared" si="868"/>
        <v>4671590.1906028371</v>
      </c>
      <c r="BN218" s="1834">
        <f t="shared" si="868"/>
        <v>2316297.061734444</v>
      </c>
      <c r="BO218" s="1834">
        <f t="shared" si="868"/>
        <v>19208651.828671329</v>
      </c>
      <c r="BP218" s="1834">
        <f t="shared" si="868"/>
        <v>2710611.9946308723</v>
      </c>
      <c r="BQ218" s="1835">
        <f t="shared" si="868"/>
        <v>708780.17189835571</v>
      </c>
      <c r="BR218" s="381">
        <f>BR205/(BR17+BR21)*1000000</f>
        <v>4696141.6619343888</v>
      </c>
      <c r="BS218" s="1859">
        <f t="shared" ref="BS218:BX218" si="869">BS205*1000000/(BS21+BS17)</f>
        <v>16881610.096952908</v>
      </c>
      <c r="BT218" s="1860">
        <f t="shared" si="869"/>
        <v>12812119.618593564</v>
      </c>
      <c r="BU218" s="1860">
        <f t="shared" si="869"/>
        <v>11008778.58318739</v>
      </c>
      <c r="BV218" s="1860">
        <f t="shared" si="869"/>
        <v>954641.00950369588</v>
      </c>
      <c r="BW218" s="1860">
        <f t="shared" si="869"/>
        <v>938301.73876404495</v>
      </c>
      <c r="BX218" s="1860">
        <f t="shared" si="869"/>
        <v>11509878.677871149</v>
      </c>
      <c r="BY218" s="1860">
        <f t="shared" ref="BY218:CC218" si="870">BY205*1000000/(BY21+BY17)</f>
        <v>281993.75439856376</v>
      </c>
      <c r="BZ218" s="1860">
        <f t="shared" si="870"/>
        <v>2084748.6659412405</v>
      </c>
      <c r="CA218" s="1860">
        <f t="shared" si="870"/>
        <v>1540295.1054376657</v>
      </c>
      <c r="CB218" s="1860">
        <f t="shared" si="870"/>
        <v>2123744.8298204527</v>
      </c>
      <c r="CC218" s="1860">
        <f t="shared" si="870"/>
        <v>6644373.3266055044</v>
      </c>
      <c r="CD218" s="1860">
        <f t="shared" ref="CD218" si="871">CD205*1000000/(CD21+CD17)</f>
        <v>407008.17877906974</v>
      </c>
      <c r="CE218" s="381">
        <f>CE205/(CE17+CE21)*1000000</f>
        <v>4527762.9300042121</v>
      </c>
      <c r="CF218" s="2483">
        <v>5511440.0337396692</v>
      </c>
      <c r="CG218" s="2251">
        <f>CF218</f>
        <v>5511440.0337396692</v>
      </c>
      <c r="CH218" s="2251">
        <f t="shared" ref="CH218:CQ218" si="872">CG218</f>
        <v>5511440.0337396692</v>
      </c>
      <c r="CI218" s="2251">
        <f t="shared" si="872"/>
        <v>5511440.0337396692</v>
      </c>
      <c r="CJ218" s="2251">
        <f t="shared" si="872"/>
        <v>5511440.0337396692</v>
      </c>
      <c r="CK218" s="2251">
        <f t="shared" si="872"/>
        <v>5511440.0337396692</v>
      </c>
      <c r="CL218" s="2251">
        <f t="shared" si="872"/>
        <v>5511440.0337396692</v>
      </c>
      <c r="CM218" s="2251">
        <f t="shared" si="872"/>
        <v>5511440.0337396692</v>
      </c>
      <c r="CN218" s="2251">
        <f t="shared" si="872"/>
        <v>5511440.0337396692</v>
      </c>
      <c r="CO218" s="2251">
        <f t="shared" si="872"/>
        <v>5511440.0337396692</v>
      </c>
      <c r="CP218" s="2251">
        <f t="shared" si="872"/>
        <v>5511440.0337396692</v>
      </c>
      <c r="CQ218" s="2252">
        <f t="shared" si="872"/>
        <v>5511440.0337396692</v>
      </c>
    </row>
    <row r="219" spans="1:96" ht="16.5" hidden="1" customHeight="1">
      <c r="B219" s="141"/>
      <c r="C219" s="142"/>
      <c r="D219" s="236" t="s">
        <v>190</v>
      </c>
      <c r="E219" s="383">
        <f>AVERAGE(F219:Q219)</f>
        <v>521182.03752052324</v>
      </c>
      <c r="F219" s="237">
        <v>521182.03752052324</v>
      </c>
      <c r="G219" s="238">
        <v>521182.03752052324</v>
      </c>
      <c r="H219" s="238">
        <v>521182.03752052324</v>
      </c>
      <c r="I219" s="238">
        <v>521182.03752052324</v>
      </c>
      <c r="J219" s="238">
        <v>521182.03752052324</v>
      </c>
      <c r="K219" s="238">
        <v>521182.03752052324</v>
      </c>
      <c r="L219" s="238">
        <v>521182.03752052324</v>
      </c>
      <c r="M219" s="238">
        <v>521182.03752052324</v>
      </c>
      <c r="N219" s="238">
        <v>521182.03752052324</v>
      </c>
      <c r="O219" s="238">
        <v>521182.03752052324</v>
      </c>
      <c r="P219" s="238">
        <v>521182.03752052324</v>
      </c>
      <c r="Q219" s="239">
        <v>521182.03752052324</v>
      </c>
      <c r="R219" s="383">
        <f>AVERAGE(S219:AD219)</f>
        <v>521182.03752052324</v>
      </c>
      <c r="S219" s="237">
        <f t="shared" ref="S219" si="873">E219</f>
        <v>521182.03752052324</v>
      </c>
      <c r="T219" s="238">
        <f>S219</f>
        <v>521182.03752052324</v>
      </c>
      <c r="U219" s="238">
        <f t="shared" ref="U219:AD219" si="874">T219</f>
        <v>521182.03752052324</v>
      </c>
      <c r="V219" s="238">
        <f t="shared" si="874"/>
        <v>521182.03752052324</v>
      </c>
      <c r="W219" s="238">
        <f t="shared" si="874"/>
        <v>521182.03752052324</v>
      </c>
      <c r="X219" s="238">
        <f t="shared" si="874"/>
        <v>521182.03752052324</v>
      </c>
      <c r="Y219" s="238">
        <f t="shared" si="874"/>
        <v>521182.03752052324</v>
      </c>
      <c r="Z219" s="238">
        <f t="shared" si="874"/>
        <v>521182.03752052324</v>
      </c>
      <c r="AA219" s="238">
        <f t="shared" si="874"/>
        <v>521182.03752052324</v>
      </c>
      <c r="AB219" s="238">
        <f t="shared" ref="AB219" si="875">Z219</f>
        <v>521182.03752052324</v>
      </c>
      <c r="AC219" s="238">
        <f t="shared" si="874"/>
        <v>521182.03752052324</v>
      </c>
      <c r="AD219" s="239">
        <f t="shared" si="874"/>
        <v>521182.03752052324</v>
      </c>
      <c r="AE219" s="383">
        <f>AVERAGE(AF219:AQ219)</f>
        <v>521182.03752052324</v>
      </c>
      <c r="AF219" s="237">
        <f t="shared" ref="AF219" si="876">R219</f>
        <v>521182.03752052324</v>
      </c>
      <c r="AG219" s="238">
        <f t="shared" ref="AG219:AH219" si="877">AF219</f>
        <v>521182.03752052324</v>
      </c>
      <c r="AH219" s="238">
        <f t="shared" si="877"/>
        <v>521182.03752052324</v>
      </c>
      <c r="AI219" s="238">
        <f t="shared" ref="AI219" si="878">AH219</f>
        <v>521182.03752052324</v>
      </c>
      <c r="AJ219" s="238">
        <f t="shared" ref="AJ219" si="879">AI219</f>
        <v>521182.03752052324</v>
      </c>
      <c r="AK219" s="238">
        <f t="shared" ref="AK219" si="880">AJ219</f>
        <v>521182.03752052324</v>
      </c>
      <c r="AL219" s="238">
        <f t="shared" ref="AL219:AQ219" si="881">AK219</f>
        <v>521182.03752052324</v>
      </c>
      <c r="AM219" s="238">
        <f t="shared" si="881"/>
        <v>521182.03752052324</v>
      </c>
      <c r="AN219" s="238">
        <f t="shared" si="881"/>
        <v>521182.03752052324</v>
      </c>
      <c r="AO219" s="238">
        <f t="shared" si="881"/>
        <v>521182.03752052324</v>
      </c>
      <c r="AP219" s="238">
        <f t="shared" si="881"/>
        <v>521182.03752052324</v>
      </c>
      <c r="AQ219" s="239">
        <f t="shared" si="881"/>
        <v>521182.03752052324</v>
      </c>
      <c r="AR219" s="383">
        <f>AVERAGE(AS219:BD219)</f>
        <v>521182.03752052324</v>
      </c>
      <c r="AS219" s="1520">
        <f t="shared" ref="AS219" si="882">AE219</f>
        <v>521182.03752052324</v>
      </c>
      <c r="AT219" s="370">
        <f t="shared" ref="AT219" si="883">AS219</f>
        <v>521182.03752052324</v>
      </c>
      <c r="AU219" s="370">
        <f t="shared" ref="AU219" si="884">AT219</f>
        <v>521182.03752052324</v>
      </c>
      <c r="AV219" s="370">
        <f t="shared" ref="AV219" si="885">AU219</f>
        <v>521182.03752052324</v>
      </c>
      <c r="AW219" s="370">
        <f t="shared" ref="AW219" si="886">AV219</f>
        <v>521182.03752052324</v>
      </c>
      <c r="AX219" s="370">
        <f t="shared" ref="AX219" si="887">AW219</f>
        <v>521182.03752052324</v>
      </c>
      <c r="AY219" s="370">
        <f t="shared" ref="AY219" si="888">AX219</f>
        <v>521182.03752052324</v>
      </c>
      <c r="AZ219" s="370">
        <f t="shared" ref="AZ219" si="889">AY219</f>
        <v>521182.03752052324</v>
      </c>
      <c r="BA219" s="370">
        <f t="shared" ref="BA219" si="890">AZ219</f>
        <v>521182.03752052324</v>
      </c>
      <c r="BB219" s="370">
        <f t="shared" ref="BB219" si="891">BA219</f>
        <v>521182.03752052324</v>
      </c>
      <c r="BC219" s="370">
        <f t="shared" ref="BC219" si="892">BB219</f>
        <v>521182.03752052324</v>
      </c>
      <c r="BD219" s="1521">
        <f t="shared" ref="BD219" si="893">BC219</f>
        <v>521182.03752052324</v>
      </c>
      <c r="BE219" s="383">
        <f>AVERAGE(BF219:BQ219)</f>
        <v>521182.03752052324</v>
      </c>
      <c r="BF219" s="237">
        <f t="shared" ref="BF219" si="894">AR219</f>
        <v>521182.03752052324</v>
      </c>
      <c r="BG219" s="238">
        <f t="shared" ref="BG219" si="895">BF219</f>
        <v>521182.03752052324</v>
      </c>
      <c r="BH219" s="238">
        <f t="shared" ref="BH219" si="896">BG219</f>
        <v>521182.03752052324</v>
      </c>
      <c r="BI219" s="238">
        <f t="shared" ref="BI219" si="897">BH219</f>
        <v>521182.03752052324</v>
      </c>
      <c r="BJ219" s="238">
        <f t="shared" ref="BJ219" si="898">BI219</f>
        <v>521182.03752052324</v>
      </c>
      <c r="BK219" s="238">
        <f t="shared" ref="BK219" si="899">BJ219</f>
        <v>521182.03752052324</v>
      </c>
      <c r="BL219" s="238">
        <f t="shared" ref="BL219" si="900">BK219</f>
        <v>521182.03752052324</v>
      </c>
      <c r="BM219" s="238">
        <f t="shared" ref="BM219" si="901">BL219</f>
        <v>521182.03752052324</v>
      </c>
      <c r="BN219" s="238">
        <f t="shared" ref="BN219" si="902">BM219</f>
        <v>521182.03752052324</v>
      </c>
      <c r="BO219" s="238">
        <f t="shared" ref="BO219" si="903">BN219</f>
        <v>521182.03752052324</v>
      </c>
      <c r="BP219" s="238">
        <f t="shared" ref="BP219" si="904">BO219</f>
        <v>521182.03752052324</v>
      </c>
      <c r="BQ219" s="239">
        <f t="shared" ref="BQ219" si="905">BP219</f>
        <v>521182.03752052324</v>
      </c>
      <c r="BR219" s="383">
        <f>AVERAGE(BS219:CD219)</f>
        <v>521182.03752052324</v>
      </c>
      <c r="BS219" s="2253">
        <f t="shared" ref="BS219" si="906">BE219</f>
        <v>521182.03752052324</v>
      </c>
      <c r="BT219" s="2254">
        <f t="shared" ref="BT219" si="907">BS219</f>
        <v>521182.03752052324</v>
      </c>
      <c r="BU219" s="2254">
        <f t="shared" ref="BU219" si="908">BT219</f>
        <v>521182.03752052324</v>
      </c>
      <c r="BV219" s="2254">
        <f t="shared" ref="BV219" si="909">BU219</f>
        <v>521182.03752052324</v>
      </c>
      <c r="BW219" s="2254">
        <f t="shared" ref="BW219" si="910">BV219</f>
        <v>521182.03752052324</v>
      </c>
      <c r="BX219" s="2254">
        <f t="shared" ref="BX219" si="911">BW219</f>
        <v>521182.03752052324</v>
      </c>
      <c r="BY219" s="2254">
        <f t="shared" ref="BY219" si="912">BX219</f>
        <v>521182.03752052324</v>
      </c>
      <c r="BZ219" s="2254">
        <f t="shared" ref="BZ219" si="913">BY219</f>
        <v>521182.03752052324</v>
      </c>
      <c r="CA219" s="2254">
        <f t="shared" ref="CA219" si="914">BZ219</f>
        <v>521182.03752052324</v>
      </c>
      <c r="CB219" s="2254">
        <f t="shared" ref="CB219" si="915">CA219</f>
        <v>521182.03752052324</v>
      </c>
      <c r="CC219" s="2254">
        <f t="shared" ref="CC219" si="916">CB219</f>
        <v>521182.03752052324</v>
      </c>
      <c r="CD219" s="2255">
        <f t="shared" ref="CD219" si="917">CC219</f>
        <v>521182.03752052324</v>
      </c>
      <c r="CE219" s="383">
        <f>AVERAGE(CF219:CQ219)</f>
        <v>521182.03752052324</v>
      </c>
      <c r="CF219" s="2253">
        <f t="shared" ref="CF219" si="918">BR219</f>
        <v>521182.03752052324</v>
      </c>
      <c r="CG219" s="2254">
        <f t="shared" ref="CG219" si="919">CF219</f>
        <v>521182.03752052324</v>
      </c>
      <c r="CH219" s="2254">
        <f t="shared" ref="CH219" si="920">CG219</f>
        <v>521182.03752052324</v>
      </c>
      <c r="CI219" s="2254">
        <f t="shared" ref="CI219" si="921">CH219</f>
        <v>521182.03752052324</v>
      </c>
      <c r="CJ219" s="2254">
        <f t="shared" ref="CJ219" si="922">CI219</f>
        <v>521182.03752052324</v>
      </c>
      <c r="CK219" s="2254">
        <f t="shared" ref="CK219" si="923">CJ219</f>
        <v>521182.03752052324</v>
      </c>
      <c r="CL219" s="2254">
        <f t="shared" ref="CL219" si="924">CK219</f>
        <v>521182.03752052324</v>
      </c>
      <c r="CM219" s="2254">
        <f t="shared" ref="CM219" si="925">CL219</f>
        <v>521182.03752052324</v>
      </c>
      <c r="CN219" s="2254">
        <f t="shared" ref="CN219" si="926">CM219</f>
        <v>521182.03752052324</v>
      </c>
      <c r="CO219" s="2254">
        <f t="shared" ref="CO219" si="927">CN219</f>
        <v>521182.03752052324</v>
      </c>
      <c r="CP219" s="2254">
        <f t="shared" si="850"/>
        <v>521182.03752052324</v>
      </c>
      <c r="CQ219" s="2255">
        <f t="shared" si="851"/>
        <v>521182.03752052324</v>
      </c>
    </row>
    <row r="220" spans="1:96" ht="16.5" customHeight="1">
      <c r="B220" s="3311" t="s">
        <v>254</v>
      </c>
      <c r="C220" s="3312"/>
      <c r="D220" s="228" t="s">
        <v>14</v>
      </c>
      <c r="E220" s="377">
        <f>SUM(F220:Q220)</f>
        <v>483999.98547099996</v>
      </c>
      <c r="F220" s="321">
        <v>43105.112013999998</v>
      </c>
      <c r="G220" s="321">
        <v>43998.350915000003</v>
      </c>
      <c r="H220" s="321">
        <v>41806.971897000003</v>
      </c>
      <c r="I220" s="321">
        <v>35584.579238999999</v>
      </c>
      <c r="J220" s="321">
        <v>37648.167332999998</v>
      </c>
      <c r="K220" s="321">
        <v>30523.117059</v>
      </c>
      <c r="L220" s="321">
        <v>29757.589748999999</v>
      </c>
      <c r="M220" s="321">
        <v>51057.503627999999</v>
      </c>
      <c r="N220" s="321">
        <v>38112.291375000001</v>
      </c>
      <c r="O220" s="321">
        <v>41598.217874000002</v>
      </c>
      <c r="P220" s="321">
        <v>48680.890015999998</v>
      </c>
      <c r="Q220" s="395">
        <v>42127.194371999998</v>
      </c>
      <c r="R220" s="377">
        <f>SUM(S220:AD220)</f>
        <v>524725.16654300003</v>
      </c>
      <c r="S220" s="235">
        <v>43031.800007999998</v>
      </c>
      <c r="T220" s="235">
        <v>36204.685917000003</v>
      </c>
      <c r="U220" s="235">
        <v>36678.753780999999</v>
      </c>
      <c r="V220" s="235">
        <v>39733.485161999997</v>
      </c>
      <c r="W220" s="235">
        <v>36132.010391999997</v>
      </c>
      <c r="X220" s="235">
        <v>37457.078500000003</v>
      </c>
      <c r="Y220" s="235">
        <v>34547.227576999998</v>
      </c>
      <c r="Z220" s="235">
        <v>57208.191301999999</v>
      </c>
      <c r="AA220" s="235">
        <f>50030.266527</f>
        <v>50030.266527</v>
      </c>
      <c r="AB220" s="235">
        <v>64431.455967000002</v>
      </c>
      <c r="AC220" s="235">
        <v>48955.600170999998</v>
      </c>
      <c r="AD220" s="235">
        <v>40314.611238999998</v>
      </c>
      <c r="AE220" s="377">
        <f>SUM(AF220:AQ220)</f>
        <v>511191.35451200005</v>
      </c>
      <c r="AF220" s="235">
        <v>33593.378213000004</v>
      </c>
      <c r="AG220" s="235">
        <v>52812.164926999998</v>
      </c>
      <c r="AH220" s="235">
        <v>33684.164208000002</v>
      </c>
      <c r="AI220" s="235">
        <v>35028.893209000002</v>
      </c>
      <c r="AJ220" s="235">
        <v>38114.122278000003</v>
      </c>
      <c r="AK220" s="235">
        <v>42559.491614999999</v>
      </c>
      <c r="AL220" s="235">
        <v>30976.084384999998</v>
      </c>
      <c r="AM220" s="235">
        <v>58386.100965999998</v>
      </c>
      <c r="AN220" s="235">
        <v>34089.587435000001</v>
      </c>
      <c r="AO220" s="235">
        <v>77774.195485000004</v>
      </c>
      <c r="AP220" s="235">
        <v>41988.815813000001</v>
      </c>
      <c r="AQ220" s="235">
        <v>32184.355978</v>
      </c>
      <c r="AR220" s="377">
        <f>SUM(AS220:BD220)</f>
        <v>469404.65484699997</v>
      </c>
      <c r="AS220" s="927">
        <v>33261.488632000001</v>
      </c>
      <c r="AT220" s="211">
        <v>56394.444568999999</v>
      </c>
      <c r="AU220" s="211">
        <v>34783.519862000001</v>
      </c>
      <c r="AV220" s="211">
        <v>31836.151550999999</v>
      </c>
      <c r="AW220" s="211">
        <v>33816.961080000001</v>
      </c>
      <c r="AX220" s="211">
        <v>26659.198840000001</v>
      </c>
      <c r="AY220" s="211">
        <v>23031.366503000001</v>
      </c>
      <c r="AZ220" s="211">
        <v>63629.756194000001</v>
      </c>
      <c r="BA220" s="211">
        <v>26479.659497000001</v>
      </c>
      <c r="BB220" s="211">
        <v>76834.303264999995</v>
      </c>
      <c r="BC220" s="211">
        <v>34194.121783000002</v>
      </c>
      <c r="BD220" s="925">
        <v>28483.683070999999</v>
      </c>
      <c r="BE220" s="377">
        <f>SUM(BF220:BQ220)</f>
        <v>582553.33803900005</v>
      </c>
      <c r="BF220" s="927">
        <v>99807.680091999995</v>
      </c>
      <c r="BG220" s="211">
        <v>43912.201545999997</v>
      </c>
      <c r="BH220" s="211">
        <v>38210.199898999999</v>
      </c>
      <c r="BI220" s="211">
        <v>31569.318045</v>
      </c>
      <c r="BJ220" s="211">
        <v>26566.272388000001</v>
      </c>
      <c r="BK220" s="211">
        <v>46167.626222999999</v>
      </c>
      <c r="BL220" s="211">
        <v>56407.346847000001</v>
      </c>
      <c r="BM220" s="211">
        <v>38993.011116000001</v>
      </c>
      <c r="BN220" s="211">
        <v>70364.603258999996</v>
      </c>
      <c r="BO220" s="211">
        <v>66313.772891000001</v>
      </c>
      <c r="BP220" s="211">
        <v>31672.314609000001</v>
      </c>
      <c r="BQ220" s="235">
        <v>32568.991124</v>
      </c>
      <c r="BR220" s="377">
        <f>SUM(BS220:CD220)</f>
        <v>501271.152573</v>
      </c>
      <c r="BS220" s="976">
        <v>38874.830182999998</v>
      </c>
      <c r="BT220" s="977">
        <v>79057.613643000004</v>
      </c>
      <c r="BU220" s="977">
        <v>38518.886523000001</v>
      </c>
      <c r="BV220" s="977">
        <v>25663.170775999999</v>
      </c>
      <c r="BW220" s="977">
        <v>30772.261553</v>
      </c>
      <c r="BX220" s="977">
        <v>32479.941639000001</v>
      </c>
      <c r="BY220" s="977">
        <v>56204.739076999998</v>
      </c>
      <c r="BZ220" s="977">
        <v>35789.968887000003</v>
      </c>
      <c r="CA220" s="977">
        <v>62835.758573999999</v>
      </c>
      <c r="CB220" s="977">
        <v>39672.068184000003</v>
      </c>
      <c r="CC220" s="977">
        <v>35962.469528000001</v>
      </c>
      <c r="CD220" s="1767">
        <v>25439.444006000002</v>
      </c>
      <c r="CE220" s="377">
        <f>SUM(CF220:CQ220)</f>
        <v>509651.39942743856</v>
      </c>
      <c r="CF220" s="976">
        <f t="shared" ref="CF220:CK220" si="928">SUM(CF221:CF230)</f>
        <v>35069.631161535595</v>
      </c>
      <c r="CG220" s="977">
        <f t="shared" si="928"/>
        <v>31883.726135465273</v>
      </c>
      <c r="CH220" s="977">
        <f t="shared" si="928"/>
        <v>67645.312715060572</v>
      </c>
      <c r="CI220" s="977">
        <f t="shared" si="928"/>
        <v>38042.903888392924</v>
      </c>
      <c r="CJ220" s="977">
        <f t="shared" si="928"/>
        <v>36865.096241444298</v>
      </c>
      <c r="CK220" s="977">
        <f t="shared" si="928"/>
        <v>32340.245337216176</v>
      </c>
      <c r="CL220" s="977">
        <f>SUM(CL221:CL230)</f>
        <v>52738.557543794348</v>
      </c>
      <c r="CM220" s="977">
        <f t="shared" ref="CM220:CQ220" si="929">SUM(CM221:CM230)</f>
        <v>39326.881790486135</v>
      </c>
      <c r="CN220" s="977">
        <f t="shared" si="929"/>
        <v>63990.83321227516</v>
      </c>
      <c r="CO220" s="977">
        <f t="shared" si="929"/>
        <v>41035.844350675492</v>
      </c>
      <c r="CP220" s="977">
        <f t="shared" si="929"/>
        <v>36290.369411431304</v>
      </c>
      <c r="CQ220" s="1767">
        <f t="shared" si="929"/>
        <v>34421.997639661313</v>
      </c>
    </row>
    <row r="221" spans="1:96">
      <c r="B221" s="3313"/>
      <c r="C221" s="3314"/>
      <c r="D221" s="101" t="s">
        <v>15</v>
      </c>
      <c r="E221" s="378">
        <f>SUM(F221:Q221)</f>
        <v>211729.67935621378</v>
      </c>
      <c r="F221" s="335">
        <v>19436.735498999999</v>
      </c>
      <c r="G221" s="334">
        <v>19565.821263999998</v>
      </c>
      <c r="H221" s="335">
        <v>19069.969454999999</v>
      </c>
      <c r="I221" s="335">
        <v>14193.049086999999</v>
      </c>
      <c r="J221" s="335">
        <v>16290.706727000001</v>
      </c>
      <c r="K221" s="335">
        <v>14962.236546</v>
      </c>
      <c r="L221" s="335">
        <v>13254.628634000001</v>
      </c>
      <c r="M221" s="335">
        <v>24342.057273999999</v>
      </c>
      <c r="N221" s="335">
        <v>16535.329834213775</v>
      </c>
      <c r="O221" s="335">
        <v>16878.843224</v>
      </c>
      <c r="P221" s="335">
        <v>18961.082493999998</v>
      </c>
      <c r="Q221" s="460">
        <v>18239.219317999999</v>
      </c>
      <c r="R221" s="378">
        <f>SUM(S221:AD221)</f>
        <v>206902.48526799999</v>
      </c>
      <c r="S221" s="460">
        <v>19259.403998999998</v>
      </c>
      <c r="T221" s="460">
        <v>17070.997726000001</v>
      </c>
      <c r="U221" s="460">
        <v>16769.805546</v>
      </c>
      <c r="V221" s="460">
        <v>15632.654184000001</v>
      </c>
      <c r="W221" s="460">
        <v>14332.722180999999</v>
      </c>
      <c r="X221" s="460">
        <v>15616.01845</v>
      </c>
      <c r="Y221" s="460">
        <v>14197.874456</v>
      </c>
      <c r="Z221" s="460">
        <v>22482.056638999999</v>
      </c>
      <c r="AA221" s="460">
        <v>18164.282449999999</v>
      </c>
      <c r="AB221" s="460">
        <v>22294.725637</v>
      </c>
      <c r="AC221" s="460">
        <v>17254.563727000001</v>
      </c>
      <c r="AD221" s="460">
        <v>13827.380273000001</v>
      </c>
      <c r="AE221" s="378">
        <f>SUM(AF221:AQ221)</f>
        <v>203121.483225</v>
      </c>
      <c r="AF221" s="460">
        <v>13060.709634000001</v>
      </c>
      <c r="AG221" s="460">
        <v>21713.273087000001</v>
      </c>
      <c r="AH221" s="460">
        <v>15675.475640000001</v>
      </c>
      <c r="AI221" s="460">
        <v>15571.709728</v>
      </c>
      <c r="AJ221" s="460">
        <v>16444.169635999999</v>
      </c>
      <c r="AK221" s="460">
        <v>15460.048269000001</v>
      </c>
      <c r="AL221" s="460">
        <v>14090.400909</v>
      </c>
      <c r="AM221" s="460">
        <v>22273.776813</v>
      </c>
      <c r="AN221" s="460">
        <v>14058.978634999999</v>
      </c>
      <c r="AO221" s="460">
        <v>27045.314330000001</v>
      </c>
      <c r="AP221" s="460">
        <v>15004.254648</v>
      </c>
      <c r="AQ221" s="460">
        <v>12723.371896000001</v>
      </c>
      <c r="AR221" s="378">
        <f>SUM(AS221:BD221)</f>
        <v>147184.69480499998</v>
      </c>
      <c r="AS221" s="923">
        <v>12941.787708</v>
      </c>
      <c r="AT221" s="335">
        <v>18996.438366999999</v>
      </c>
      <c r="AU221" s="335">
        <v>11708.094875000001</v>
      </c>
      <c r="AV221" s="335">
        <v>10177.879032999999</v>
      </c>
      <c r="AW221" s="335">
        <v>8439.7148649999999</v>
      </c>
      <c r="AX221" s="335">
        <v>7665.3353120000002</v>
      </c>
      <c r="AY221" s="335">
        <v>7892.8893280000002</v>
      </c>
      <c r="AZ221" s="337">
        <v>18540.431525</v>
      </c>
      <c r="BA221" s="337">
        <v>10174.171977</v>
      </c>
      <c r="BB221" s="337">
        <v>19617.995245999999</v>
      </c>
      <c r="BC221" s="337">
        <v>11959.510577999999</v>
      </c>
      <c r="BD221" s="1515">
        <v>9070.4459910000005</v>
      </c>
      <c r="BE221" s="378">
        <f>SUM(BF221:BQ221)</f>
        <v>79732.478926999989</v>
      </c>
      <c r="BF221" s="1833">
        <v>18117.800772999999</v>
      </c>
      <c r="BG221" s="1834">
        <v>10247.92959</v>
      </c>
      <c r="BH221" s="1834">
        <v>8421.4647449999993</v>
      </c>
      <c r="BI221" s="1834">
        <v>5717.6084730000002</v>
      </c>
      <c r="BJ221" s="1834">
        <v>5561.056998</v>
      </c>
      <c r="BK221" s="1834">
        <v>5701.7198820000003</v>
      </c>
      <c r="BL221" s="1834">
        <v>10390.713056000001</v>
      </c>
      <c r="BM221" s="1834">
        <v>6727.9305649999997</v>
      </c>
      <c r="BN221" s="1834">
        <v>4034.7948729999998</v>
      </c>
      <c r="BO221" s="1834">
        <v>2430.4028990000002</v>
      </c>
      <c r="BP221" s="1834">
        <v>920.65088100000003</v>
      </c>
      <c r="BQ221" s="1835">
        <v>1460.4061919999999</v>
      </c>
      <c r="BR221" s="378">
        <f>SUM(BS221:CD221)</f>
        <v>1993.6072730000003</v>
      </c>
      <c r="BS221" s="1859">
        <v>657.37609099999997</v>
      </c>
      <c r="BT221" s="1860">
        <v>593.74800000000005</v>
      </c>
      <c r="BU221" s="1860">
        <v>232.05799999999999</v>
      </c>
      <c r="BV221" s="1860">
        <v>75.180999999999997</v>
      </c>
      <c r="BW221" s="1860">
        <v>43.518000000000001</v>
      </c>
      <c r="BX221" s="1860">
        <v>66.323999999999998</v>
      </c>
      <c r="BY221" s="1860">
        <v>14.848000000000001</v>
      </c>
      <c r="BZ221" s="1860">
        <v>27.789000000000001</v>
      </c>
      <c r="CA221" s="1860">
        <v>48.953181999999998</v>
      </c>
      <c r="CB221" s="1860">
        <v>125.776</v>
      </c>
      <c r="CC221" s="1860">
        <v>48.261000000000003</v>
      </c>
      <c r="CD221" s="1861">
        <v>59.774999999999999</v>
      </c>
      <c r="CE221" s="378">
        <f>SUM(CF221:CQ221)</f>
        <v>795.88799999999981</v>
      </c>
      <c r="CF221" s="2252">
        <v>66.323999999999998</v>
      </c>
      <c r="CG221" s="2251">
        <v>66.323999999999998</v>
      </c>
      <c r="CH221" s="2251">
        <v>66.323999999999998</v>
      </c>
      <c r="CI221" s="2251">
        <v>66.323999999999998</v>
      </c>
      <c r="CJ221" s="2251">
        <v>66.323999999999998</v>
      </c>
      <c r="CK221" s="2251">
        <v>66.323999999999998</v>
      </c>
      <c r="CL221" s="2251">
        <v>66.323999999999998</v>
      </c>
      <c r="CM221" s="2251">
        <v>66.323999999999998</v>
      </c>
      <c r="CN221" s="2251">
        <v>66.323999999999998</v>
      </c>
      <c r="CO221" s="2251">
        <v>66.323999999999998</v>
      </c>
      <c r="CP221" s="2251">
        <v>66.323999999999998</v>
      </c>
      <c r="CQ221" s="2252">
        <v>66.323999999999998</v>
      </c>
    </row>
    <row r="222" spans="1:96">
      <c r="B222" s="3313"/>
      <c r="C222" s="3314"/>
      <c r="D222" s="101" t="s">
        <v>16</v>
      </c>
      <c r="E222" s="378">
        <f t="shared" ref="E222:E230" si="930">SUM(F222:Q222)</f>
        <v>190910.91131678617</v>
      </c>
      <c r="F222" s="335">
        <v>15677.855374999999</v>
      </c>
      <c r="G222" s="334">
        <v>16674.978180999999</v>
      </c>
      <c r="H222" s="335">
        <v>15968.522269999999</v>
      </c>
      <c r="I222" s="460">
        <v>16087.525815999999</v>
      </c>
      <c r="J222" s="335">
        <v>15475.966286999999</v>
      </c>
      <c r="K222" s="335">
        <v>12441.155006999999</v>
      </c>
      <c r="L222" s="335">
        <v>12262.255272</v>
      </c>
      <c r="M222" s="335">
        <v>18920.51309</v>
      </c>
      <c r="N222" s="335">
        <v>14859.857544786224</v>
      </c>
      <c r="O222" s="335">
        <v>17385.580110999999</v>
      </c>
      <c r="P222" s="335">
        <v>18891.294531</v>
      </c>
      <c r="Q222" s="460">
        <v>16265.407832000001</v>
      </c>
      <c r="R222" s="378">
        <f t="shared" ref="R222:R229" si="931">SUM(S222:AD222)</f>
        <v>206966.854918</v>
      </c>
      <c r="S222" s="460">
        <v>16105.571733999999</v>
      </c>
      <c r="T222" s="460">
        <v>13194.81136</v>
      </c>
      <c r="U222" s="460">
        <v>13834.325178999999</v>
      </c>
      <c r="V222" s="460">
        <v>16168.542186000001</v>
      </c>
      <c r="W222" s="460">
        <v>15297.473185999999</v>
      </c>
      <c r="X222" s="460">
        <v>14857.402904</v>
      </c>
      <c r="Y222" s="460">
        <v>15432.176366</v>
      </c>
      <c r="Z222" s="460">
        <v>24831.111723000002</v>
      </c>
      <c r="AA222" s="460">
        <v>17771.701367000001</v>
      </c>
      <c r="AB222" s="460">
        <v>24506.532910999998</v>
      </c>
      <c r="AC222" s="460">
        <v>20255.610546</v>
      </c>
      <c r="AD222" s="460">
        <v>14711.595455999999</v>
      </c>
      <c r="AE222" s="378">
        <f t="shared" ref="AE222:AE229" si="932">SUM(AF222:AQ222)</f>
        <v>184086.66201599999</v>
      </c>
      <c r="AF222" s="460">
        <v>13521.155826</v>
      </c>
      <c r="AG222" s="460">
        <v>17640.143269</v>
      </c>
      <c r="AH222" s="460">
        <v>13583.89177</v>
      </c>
      <c r="AI222" s="460">
        <v>12021.263724</v>
      </c>
      <c r="AJ222" s="460">
        <v>11635.661295</v>
      </c>
      <c r="AK222" s="460">
        <v>12040.660002000001</v>
      </c>
      <c r="AL222" s="460">
        <v>9867.0619889999998</v>
      </c>
      <c r="AM222" s="460">
        <v>23423.960524999999</v>
      </c>
      <c r="AN222" s="460">
        <v>12486.568208000001</v>
      </c>
      <c r="AO222" s="460">
        <v>29449.879416</v>
      </c>
      <c r="AP222" s="460">
        <v>15932.624886</v>
      </c>
      <c r="AQ222" s="460">
        <v>12483.791106000001</v>
      </c>
      <c r="AR222" s="378">
        <f t="shared" ref="AR222:AR229" si="933">SUM(AS222:BD222)</f>
        <v>194742.92340600002</v>
      </c>
      <c r="AS222" s="923">
        <v>13105.916198000001</v>
      </c>
      <c r="AT222" s="335">
        <v>24832.292759</v>
      </c>
      <c r="AU222" s="335">
        <v>14939.171565000001</v>
      </c>
      <c r="AV222" s="335">
        <v>13846.427361</v>
      </c>
      <c r="AW222" s="335">
        <v>13762.049591999999</v>
      </c>
      <c r="AX222" s="335">
        <v>12240.011143</v>
      </c>
      <c r="AY222" s="335">
        <v>9698.1816849999996</v>
      </c>
      <c r="AZ222" s="335">
        <v>30284.042074000001</v>
      </c>
      <c r="BA222" s="335">
        <v>10008.283158</v>
      </c>
      <c r="BB222" s="335">
        <v>28623.843730000001</v>
      </c>
      <c r="BC222" s="335">
        <v>13222.128923</v>
      </c>
      <c r="BD222" s="335">
        <v>10180.575218</v>
      </c>
      <c r="BE222" s="378">
        <f t="shared" ref="BE222:BE229" si="934">SUM(BF222:BQ222)</f>
        <v>201676.785321</v>
      </c>
      <c r="BF222" s="1833">
        <v>29174.222591999998</v>
      </c>
      <c r="BG222" s="1834">
        <v>13627.640061</v>
      </c>
      <c r="BH222" s="1834">
        <v>12982.144333</v>
      </c>
      <c r="BI222" s="1834">
        <v>12305.039593</v>
      </c>
      <c r="BJ222" s="1834">
        <v>12066.172490999999</v>
      </c>
      <c r="BK222" s="1834">
        <v>10707.497298</v>
      </c>
      <c r="BL222" s="1834">
        <v>29594.569297999999</v>
      </c>
      <c r="BM222" s="1834">
        <v>13687.173317999999</v>
      </c>
      <c r="BN222" s="1834">
        <v>26320.468044000001</v>
      </c>
      <c r="BO222" s="1834">
        <v>16299.699879</v>
      </c>
      <c r="BP222" s="1834">
        <v>13609.602097999999</v>
      </c>
      <c r="BQ222" s="1835">
        <v>11302.556316</v>
      </c>
      <c r="BR222" s="378">
        <f t="shared" ref="BR222:BR229" si="935">SUM(BS222:CD222)</f>
        <v>202129.59268500001</v>
      </c>
      <c r="BS222" s="1859">
        <v>9816.2334410000003</v>
      </c>
      <c r="BT222" s="1860">
        <v>28907.519407</v>
      </c>
      <c r="BU222" s="1860">
        <v>12760.674273000001</v>
      </c>
      <c r="BV222" s="1860">
        <v>13043.840955</v>
      </c>
      <c r="BW222" s="1860">
        <v>15205.200709000001</v>
      </c>
      <c r="BX222" s="1860">
        <v>10346.676482000001</v>
      </c>
      <c r="BY222" s="1860">
        <v>30955.735332</v>
      </c>
      <c r="BZ222" s="1860">
        <v>14850.136586000001</v>
      </c>
      <c r="CA222" s="1860">
        <v>27753.813577000001</v>
      </c>
      <c r="CB222" s="1860">
        <v>16189.536341000001</v>
      </c>
      <c r="CC222" s="1860">
        <v>12303.031403999999</v>
      </c>
      <c r="CD222" s="1861">
        <v>9997.1941779999997</v>
      </c>
      <c r="CE222" s="378">
        <f t="shared" ref="CE222:CE229" si="936">SUM(CF222:CQ222)</f>
        <v>198211.74845746314</v>
      </c>
      <c r="CF222" s="2483">
        <f t="shared" ref="CF222:CQ222" si="937">(CF234*(CF10+CF18))/1000000</f>
        <v>17041.508999259506</v>
      </c>
      <c r="CG222" s="2251">
        <f t="shared" si="937"/>
        <v>12332.86246966545</v>
      </c>
      <c r="CH222" s="2251">
        <f t="shared" si="937"/>
        <v>27974.140340642996</v>
      </c>
      <c r="CI222" s="2251">
        <f t="shared" si="937"/>
        <v>13289.819226106405</v>
      </c>
      <c r="CJ222" s="2251">
        <f t="shared" si="937"/>
        <v>13296.611076196956</v>
      </c>
      <c r="CK222" s="2251">
        <f t="shared" si="937"/>
        <v>10310.938350836439</v>
      </c>
      <c r="CL222" s="2251">
        <f t="shared" si="937"/>
        <v>28652.782027411333</v>
      </c>
      <c r="CM222" s="2251">
        <f t="shared" si="937"/>
        <v>13051.620518321151</v>
      </c>
      <c r="CN222" s="2251">
        <f t="shared" si="937"/>
        <v>26964.43721455941</v>
      </c>
      <c r="CO222" s="2251">
        <f t="shared" si="937"/>
        <v>12258.52253458642</v>
      </c>
      <c r="CP222" s="2251">
        <f t="shared" si="937"/>
        <v>11902.944732907685</v>
      </c>
      <c r="CQ222" s="2252">
        <f t="shared" si="937"/>
        <v>11135.560966969359</v>
      </c>
    </row>
    <row r="223" spans="1:96">
      <c r="B223" s="3313"/>
      <c r="C223" s="3314"/>
      <c r="D223" s="101" t="s">
        <v>574</v>
      </c>
      <c r="E223" s="378"/>
      <c r="F223" s="335"/>
      <c r="G223" s="334"/>
      <c r="H223" s="335"/>
      <c r="I223" s="460"/>
      <c r="J223" s="335"/>
      <c r="K223" s="335"/>
      <c r="L223" s="335"/>
      <c r="M223" s="335"/>
      <c r="N223" s="335"/>
      <c r="O223" s="335"/>
      <c r="P223" s="335"/>
      <c r="Q223" s="460"/>
      <c r="R223" s="378"/>
      <c r="S223" s="460"/>
      <c r="T223" s="460"/>
      <c r="U223" s="460"/>
      <c r="V223" s="460"/>
      <c r="W223" s="460"/>
      <c r="X223" s="460"/>
      <c r="Y223" s="460"/>
      <c r="Z223" s="460"/>
      <c r="AA223" s="460"/>
      <c r="AB223" s="460"/>
      <c r="AC223" s="460"/>
      <c r="AD223" s="460"/>
      <c r="AE223" s="378"/>
      <c r="AF223" s="460"/>
      <c r="AG223" s="460"/>
      <c r="AH223" s="460"/>
      <c r="AI223" s="460"/>
      <c r="AJ223" s="460"/>
      <c r="AK223" s="460"/>
      <c r="AL223" s="460"/>
      <c r="AM223" s="460"/>
      <c r="AN223" s="460"/>
      <c r="AO223" s="460"/>
      <c r="AP223" s="460"/>
      <c r="AQ223" s="460"/>
      <c r="AR223" s="378"/>
      <c r="AS223" s="923"/>
      <c r="AT223" s="335"/>
      <c r="AU223" s="335"/>
      <c r="AV223" s="335"/>
      <c r="AW223" s="335"/>
      <c r="AX223" s="335"/>
      <c r="AY223" s="335"/>
      <c r="AZ223" s="335"/>
      <c r="BA223" s="335"/>
      <c r="BB223" s="335"/>
      <c r="BC223" s="335"/>
      <c r="BD223" s="460"/>
      <c r="BE223" s="378"/>
      <c r="BF223" s="1833"/>
      <c r="BG223" s="1834"/>
      <c r="BH223" s="1834"/>
      <c r="BI223" s="1834"/>
      <c r="BJ223" s="1834"/>
      <c r="BK223" s="1834"/>
      <c r="BL223" s="1834"/>
      <c r="BM223" s="1834"/>
      <c r="BN223" s="1834"/>
      <c r="BO223" s="1834"/>
      <c r="BP223" s="1834"/>
      <c r="BQ223" s="1835"/>
      <c r="BR223" s="378">
        <f t="shared" si="935"/>
        <v>1734.6283410000001</v>
      </c>
      <c r="BS223" s="1859">
        <v>71.640910000000005</v>
      </c>
      <c r="BT223" s="1860">
        <v>386.54254500000002</v>
      </c>
      <c r="BU223" s="1860">
        <v>82.601364000000004</v>
      </c>
      <c r="BV223" s="1860">
        <v>90.711725000000001</v>
      </c>
      <c r="BW223" s="1860">
        <v>120.534182</v>
      </c>
      <c r="BX223" s="1860">
        <v>59.914451</v>
      </c>
      <c r="BY223" s="1860">
        <v>290.47527100000002</v>
      </c>
      <c r="BZ223" s="1860">
        <v>81.159183999999996</v>
      </c>
      <c r="CA223" s="1860">
        <v>231.04917399999999</v>
      </c>
      <c r="CB223" s="1860">
        <v>175.64671799999999</v>
      </c>
      <c r="CC223" s="1860">
        <v>89.533362999999994</v>
      </c>
      <c r="CD223" s="1861">
        <v>54.819454</v>
      </c>
      <c r="CE223" s="378">
        <f t="shared" si="936"/>
        <v>1784.2114053080888</v>
      </c>
      <c r="CF223" s="2483">
        <f t="shared" ref="CF223:CQ223" si="938">(CF235*CF11)/1000000</f>
        <v>131.66437513513512</v>
      </c>
      <c r="CG223" s="2251">
        <f t="shared" si="938"/>
        <v>101.96256363787481</v>
      </c>
      <c r="CH223" s="2251">
        <f t="shared" si="938"/>
        <v>393.85795939468665</v>
      </c>
      <c r="CI223" s="2251">
        <f t="shared" si="938"/>
        <v>105.91621629408367</v>
      </c>
      <c r="CJ223" s="2251">
        <f t="shared" si="938"/>
        <v>112.69725655750852</v>
      </c>
      <c r="CK223" s="2251">
        <f t="shared" si="938"/>
        <v>73.9317220226568</v>
      </c>
      <c r="CL223" s="2251">
        <f t="shared" si="938"/>
        <v>352.64441316506912</v>
      </c>
      <c r="CM223" s="2251">
        <f t="shared" si="938"/>
        <v>95.374758334998731</v>
      </c>
      <c r="CN223" s="2251">
        <f t="shared" si="938"/>
        <v>198.92654813353602</v>
      </c>
      <c r="CO223" s="2251">
        <f t="shared" si="938"/>
        <v>95.374758334998731</v>
      </c>
      <c r="CP223" s="2251">
        <f t="shared" si="938"/>
        <v>70.276137720525355</v>
      </c>
      <c r="CQ223" s="2252">
        <f t="shared" si="938"/>
        <v>51.584696577015485</v>
      </c>
    </row>
    <row r="224" spans="1:96">
      <c r="B224" s="3313"/>
      <c r="C224" s="3314"/>
      <c r="D224" s="101" t="s">
        <v>47</v>
      </c>
      <c r="E224" s="378">
        <f t="shared" si="930"/>
        <v>1591.3533619999998</v>
      </c>
      <c r="F224" s="335">
        <v>551.46327199999996</v>
      </c>
      <c r="G224" s="334">
        <v>527.29999999999995</v>
      </c>
      <c r="H224" s="335">
        <v>427.02981799999998</v>
      </c>
      <c r="I224" s="335">
        <v>85.560271999999998</v>
      </c>
      <c r="J224" s="335">
        <v>0</v>
      </c>
      <c r="K224" s="335">
        <v>0</v>
      </c>
      <c r="L224" s="335">
        <v>0</v>
      </c>
      <c r="M224" s="335">
        <v>0</v>
      </c>
      <c r="N224" s="335">
        <v>0</v>
      </c>
      <c r="O224" s="335">
        <v>0</v>
      </c>
      <c r="P224" s="335">
        <v>0</v>
      </c>
      <c r="Q224" s="460"/>
      <c r="R224" s="378">
        <f t="shared" si="931"/>
        <v>0</v>
      </c>
      <c r="S224" s="460"/>
      <c r="T224" s="460"/>
      <c r="U224" s="460"/>
      <c r="V224" s="460"/>
      <c r="W224" s="460"/>
      <c r="X224" s="460"/>
      <c r="Y224" s="460"/>
      <c r="Z224" s="460"/>
      <c r="AA224" s="460"/>
      <c r="AB224" s="460"/>
      <c r="AC224" s="460"/>
      <c r="AD224" s="460"/>
      <c r="AE224" s="378">
        <f t="shared" si="932"/>
        <v>0</v>
      </c>
      <c r="AF224" s="460"/>
      <c r="AG224" s="460"/>
      <c r="AH224" s="460"/>
      <c r="AI224" s="460"/>
      <c r="AJ224" s="460"/>
      <c r="AK224" s="460">
        <v>0</v>
      </c>
      <c r="AL224" s="460">
        <v>0</v>
      </c>
      <c r="AM224" s="460">
        <v>0</v>
      </c>
      <c r="AN224" s="460">
        <v>0</v>
      </c>
      <c r="AO224" s="460">
        <v>0</v>
      </c>
      <c r="AP224" s="460">
        <v>0</v>
      </c>
      <c r="AQ224" s="460"/>
      <c r="AR224" s="378">
        <f t="shared" si="933"/>
        <v>0</v>
      </c>
      <c r="AS224" s="923">
        <v>0</v>
      </c>
      <c r="AT224" s="335">
        <v>0</v>
      </c>
      <c r="AU224" s="335">
        <v>0</v>
      </c>
      <c r="AV224" s="335">
        <v>0</v>
      </c>
      <c r="AW224" s="335">
        <v>0</v>
      </c>
      <c r="AX224" s="335">
        <v>0</v>
      </c>
      <c r="AY224" s="335">
        <v>0</v>
      </c>
      <c r="AZ224" s="335">
        <v>0</v>
      </c>
      <c r="BA224" s="335">
        <v>0</v>
      </c>
      <c r="BB224" s="335">
        <v>0</v>
      </c>
      <c r="BC224" s="335">
        <v>0</v>
      </c>
      <c r="BD224" s="1516">
        <v>0</v>
      </c>
      <c r="BE224" s="378">
        <f t="shared" si="934"/>
        <v>0</v>
      </c>
      <c r="BF224" s="1833">
        <v>0</v>
      </c>
      <c r="BG224" s="1834">
        <v>0</v>
      </c>
      <c r="BH224" s="1834">
        <v>0</v>
      </c>
      <c r="BI224" s="1834">
        <v>0</v>
      </c>
      <c r="BJ224" s="1834">
        <v>0</v>
      </c>
      <c r="BK224" s="1834">
        <v>0</v>
      </c>
      <c r="BL224" s="1834">
        <v>0</v>
      </c>
      <c r="BM224" s="1834">
        <v>0</v>
      </c>
      <c r="BN224" s="1834">
        <v>0</v>
      </c>
      <c r="BO224" s="1834">
        <v>0</v>
      </c>
      <c r="BP224" s="1834">
        <v>0</v>
      </c>
      <c r="BQ224" s="1835">
        <v>0</v>
      </c>
      <c r="BR224" s="378">
        <f t="shared" si="935"/>
        <v>0</v>
      </c>
      <c r="BS224" s="1859">
        <v>0</v>
      </c>
      <c r="BT224" s="1860">
        <v>0</v>
      </c>
      <c r="BU224" s="1860">
        <v>0</v>
      </c>
      <c r="BV224" s="1860">
        <v>0</v>
      </c>
      <c r="BW224" s="1860">
        <v>0</v>
      </c>
      <c r="BX224" s="1860">
        <v>0</v>
      </c>
      <c r="BY224" s="1860">
        <v>0</v>
      </c>
      <c r="BZ224" s="1860">
        <v>0</v>
      </c>
      <c r="CA224" s="1860">
        <v>0</v>
      </c>
      <c r="CB224" s="1860">
        <v>0</v>
      </c>
      <c r="CC224" s="1860">
        <v>0</v>
      </c>
      <c r="CD224" s="1861">
        <v>0</v>
      </c>
      <c r="CE224" s="378">
        <f t="shared" si="936"/>
        <v>0</v>
      </c>
      <c r="CF224" s="2483">
        <v>0</v>
      </c>
      <c r="CG224" s="2251">
        <v>0</v>
      </c>
      <c r="CH224" s="2251">
        <v>0</v>
      </c>
      <c r="CI224" s="2251">
        <v>0</v>
      </c>
      <c r="CJ224" s="2251">
        <v>0</v>
      </c>
      <c r="CK224" s="2251">
        <v>0</v>
      </c>
      <c r="CL224" s="2251">
        <v>0</v>
      </c>
      <c r="CM224" s="2251">
        <v>0</v>
      </c>
      <c r="CN224" s="2251">
        <v>0</v>
      </c>
      <c r="CO224" s="2251">
        <v>0</v>
      </c>
      <c r="CP224" s="2251">
        <v>0</v>
      </c>
      <c r="CQ224" s="2252">
        <v>0</v>
      </c>
    </row>
    <row r="225" spans="1:95">
      <c r="B225" s="3313"/>
      <c r="C225" s="3314"/>
      <c r="D225" s="201" t="s">
        <v>680</v>
      </c>
      <c r="E225" s="378">
        <f t="shared" si="930"/>
        <v>44386.482957426495</v>
      </c>
      <c r="F225" s="335">
        <v>2141.7075579139855</v>
      </c>
      <c r="G225" s="334">
        <v>3395.917546928933</v>
      </c>
      <c r="H225" s="335">
        <v>2914.3824296677076</v>
      </c>
      <c r="I225" s="335">
        <v>2171.5744088420092</v>
      </c>
      <c r="J225" s="335">
        <v>4045.9330908000002</v>
      </c>
      <c r="K225" s="335">
        <v>1830.9477423661972</v>
      </c>
      <c r="L225" s="335">
        <v>2540.8158709499999</v>
      </c>
      <c r="M225" s="335">
        <v>4955.5288214714383</v>
      </c>
      <c r="N225" s="335">
        <v>3219.9290644120879</v>
      </c>
      <c r="O225" s="335">
        <v>5294.9945500380509</v>
      </c>
      <c r="P225" s="335">
        <v>7427.8135540627072</v>
      </c>
      <c r="Q225" s="460">
        <v>4446.9383199733875</v>
      </c>
      <c r="R225" s="378">
        <f t="shared" si="931"/>
        <v>44351.71891727273</v>
      </c>
      <c r="S225" s="460">
        <v>3812.4069089999998</v>
      </c>
      <c r="T225" s="460">
        <v>2604.7963679999998</v>
      </c>
      <c r="U225" s="460">
        <v>2981.2022400000001</v>
      </c>
      <c r="V225" s="460">
        <v>2552.7512000000002</v>
      </c>
      <c r="W225" s="460">
        <v>2143.9910089999998</v>
      </c>
      <c r="X225" s="460">
        <v>2260.3400550000001</v>
      </c>
      <c r="Y225" s="460">
        <v>2095.8949090909091</v>
      </c>
      <c r="Z225" s="460">
        <v>5187.3050909090898</v>
      </c>
      <c r="AA225" s="460">
        <v>2581.127</v>
      </c>
      <c r="AB225" s="460">
        <v>11209.223409</v>
      </c>
      <c r="AC225" s="460">
        <v>4097.6212272727271</v>
      </c>
      <c r="AD225" s="460">
        <v>2825.0594999999998</v>
      </c>
      <c r="AE225" s="378">
        <f t="shared" si="932"/>
        <v>25963.066131000003</v>
      </c>
      <c r="AF225" s="460">
        <v>1523.217682</v>
      </c>
      <c r="AG225" s="460">
        <v>3658.2618259999999</v>
      </c>
      <c r="AH225" s="460">
        <v>2470.3573609999999</v>
      </c>
      <c r="AI225" s="460">
        <v>1999.299804</v>
      </c>
      <c r="AJ225" s="460">
        <v>2762.3641459999999</v>
      </c>
      <c r="AK225" s="460">
        <v>2196.3762270000002</v>
      </c>
      <c r="AL225" s="460">
        <v>1466.390116</v>
      </c>
      <c r="AM225" s="460">
        <v>3460.8263750000001</v>
      </c>
      <c r="AN225" s="460">
        <v>1677.598945</v>
      </c>
      <c r="AO225" s="460">
        <v>2031.842535</v>
      </c>
      <c r="AP225" s="460">
        <v>1393.3525520000001</v>
      </c>
      <c r="AQ225" s="460">
        <v>1323.1785620000001</v>
      </c>
      <c r="AR225" s="378">
        <f t="shared" si="933"/>
        <v>56235.828263999996</v>
      </c>
      <c r="AS225" s="923">
        <v>2361.9118389999999</v>
      </c>
      <c r="AT225" s="335">
        <v>3397.0918550000001</v>
      </c>
      <c r="AU225" s="335">
        <v>1858.323629</v>
      </c>
      <c r="AV225" s="335">
        <v>1989.3257819999999</v>
      </c>
      <c r="AW225" s="335">
        <v>2709.4825190000001</v>
      </c>
      <c r="AX225" s="335">
        <v>1939.9377689999999</v>
      </c>
      <c r="AY225" s="335">
        <v>1717.4934760000001</v>
      </c>
      <c r="AZ225" s="335">
        <v>5588.8099259999999</v>
      </c>
      <c r="BA225" s="335">
        <v>1969.8653999999999</v>
      </c>
      <c r="BB225" s="335">
        <v>23817.08209</v>
      </c>
      <c r="BC225" s="335">
        <v>5793.8417520000003</v>
      </c>
      <c r="BD225" s="1516">
        <v>3092.6622269999998</v>
      </c>
      <c r="BE225" s="378">
        <f t="shared" si="934"/>
        <v>120387.72359391194</v>
      </c>
      <c r="BF225" s="1833">
        <v>10280.508295</v>
      </c>
      <c r="BG225" s="1834">
        <v>8248.5493910000005</v>
      </c>
      <c r="BH225" s="1834">
        <v>4619.338428</v>
      </c>
      <c r="BI225" s="1834">
        <v>5289.380905</v>
      </c>
      <c r="BJ225" s="1834">
        <v>4953.9088579999998</v>
      </c>
      <c r="BK225" s="1834">
        <v>3843.8423170000001</v>
      </c>
      <c r="BL225" s="1834">
        <v>11806.897464</v>
      </c>
      <c r="BM225" s="1834">
        <v>6844.4241810000003</v>
      </c>
      <c r="BN225" s="1834">
        <v>27861.446111000001</v>
      </c>
      <c r="BO225" s="1834">
        <v>20954.075630911917</v>
      </c>
      <c r="BP225" s="1834">
        <v>8773.4594990000005</v>
      </c>
      <c r="BQ225" s="1835">
        <v>6911.8925140000001</v>
      </c>
      <c r="BR225" s="378">
        <f t="shared" si="935"/>
        <v>153618.46253874997</v>
      </c>
      <c r="BS225" s="1859">
        <v>5608.5950579999999</v>
      </c>
      <c r="BT225" s="1860">
        <v>20555.407454</v>
      </c>
      <c r="BU225" s="1860">
        <v>7498.3108389999998</v>
      </c>
      <c r="BV225" s="1860">
        <v>8001.323367</v>
      </c>
      <c r="BW225" s="1860">
        <v>9202.97487</v>
      </c>
      <c r="BX225" s="1860">
        <v>6557.9476830000003</v>
      </c>
      <c r="BY225" s="1860">
        <v>17055.275138000001</v>
      </c>
      <c r="BZ225" s="1860">
        <v>11415.408321000001</v>
      </c>
      <c r="CA225" s="1860">
        <v>28985.398154999999</v>
      </c>
      <c r="CB225" s="1860">
        <v>16118.438458000001</v>
      </c>
      <c r="CC225" s="1860">
        <v>11263.289772</v>
      </c>
      <c r="CD225" s="1861">
        <v>11356.093423750001</v>
      </c>
      <c r="CE225" s="378">
        <f t="shared" si="936"/>
        <v>168118.4763169419</v>
      </c>
      <c r="CF225" s="2483">
        <f t="shared" ref="CF225:CQ225" si="939">(CF237*CF14)/1000000</f>
        <v>11783.831763343705</v>
      </c>
      <c r="CG225" s="2251">
        <f t="shared" si="939"/>
        <v>11944.181268856342</v>
      </c>
      <c r="CH225" s="2251">
        <f t="shared" si="939"/>
        <v>16772.379380036688</v>
      </c>
      <c r="CI225" s="2251">
        <f t="shared" si="939"/>
        <v>11509.924879880011</v>
      </c>
      <c r="CJ225" s="2251">
        <f t="shared" si="939"/>
        <v>11218.701328810866</v>
      </c>
      <c r="CK225" s="2251">
        <f t="shared" si="939"/>
        <v>11839.890767456942</v>
      </c>
      <c r="CL225" s="2251">
        <f t="shared" si="939"/>
        <v>15797.49238790078</v>
      </c>
      <c r="CM225" s="2251">
        <f t="shared" si="939"/>
        <v>13938.750194219132</v>
      </c>
      <c r="CN225" s="2251">
        <f t="shared" si="939"/>
        <v>23208.101375818991</v>
      </c>
      <c r="CO225" s="2251">
        <f t="shared" si="939"/>
        <v>15492.232143671898</v>
      </c>
      <c r="CP225" s="2251">
        <f t="shared" si="939"/>
        <v>12615.527503919611</v>
      </c>
      <c r="CQ225" s="2252">
        <f t="shared" si="939"/>
        <v>11997.463323026936</v>
      </c>
    </row>
    <row r="226" spans="1:95">
      <c r="B226" s="3313"/>
      <c r="C226" s="3314"/>
      <c r="D226" s="201" t="s">
        <v>331</v>
      </c>
      <c r="E226" s="378">
        <f t="shared" si="930"/>
        <v>7839.1352875734956</v>
      </c>
      <c r="F226" s="335">
        <v>683.39191508601425</v>
      </c>
      <c r="G226" s="334">
        <v>638.42234407106673</v>
      </c>
      <c r="H226" s="335">
        <v>673.99982733229228</v>
      </c>
      <c r="I226" s="335">
        <v>565.55026515799113</v>
      </c>
      <c r="J226" s="335">
        <v>384.5712312</v>
      </c>
      <c r="K226" s="335">
        <v>341.59902763380285</v>
      </c>
      <c r="L226" s="335">
        <v>487.68497604999999</v>
      </c>
      <c r="M226" s="335">
        <v>961.18896552856177</v>
      </c>
      <c r="N226" s="335">
        <v>613.80856958791207</v>
      </c>
      <c r="O226" s="335">
        <v>1214.6653459619488</v>
      </c>
      <c r="P226" s="335">
        <v>757.44166793729312</v>
      </c>
      <c r="Q226" s="460">
        <v>516.81115202661226</v>
      </c>
      <c r="R226" s="378">
        <f t="shared" si="931"/>
        <v>15052.330396727273</v>
      </c>
      <c r="S226" s="460">
        <v>838.97401100000002</v>
      </c>
      <c r="T226" s="460">
        <v>812.933986</v>
      </c>
      <c r="U226" s="460">
        <v>1174.5202959999999</v>
      </c>
      <c r="V226" s="460">
        <v>892.08978500000001</v>
      </c>
      <c r="W226" s="460">
        <v>912.93673100000001</v>
      </c>
      <c r="X226" s="460">
        <v>985.94453699999997</v>
      </c>
      <c r="Y226" s="460">
        <v>1216.235699909091</v>
      </c>
      <c r="Z226" s="460">
        <v>1646.9033510909101</v>
      </c>
      <c r="AA226" s="460">
        <v>1775.7056279999999</v>
      </c>
      <c r="AB226" s="460">
        <v>1881.1808820000001</v>
      </c>
      <c r="AC226" s="460">
        <v>1392.7138147272731</v>
      </c>
      <c r="AD226" s="460">
        <v>1522.191675</v>
      </c>
      <c r="AE226" s="378">
        <f t="shared" si="932"/>
        <v>39301.098459000001</v>
      </c>
      <c r="AF226" s="460">
        <v>1328.8536509999999</v>
      </c>
      <c r="AG226" s="460">
        <v>2138.0298349999998</v>
      </c>
      <c r="AH226" s="460">
        <v>2042.5601079999999</v>
      </c>
      <c r="AI226" s="460">
        <v>2592.9552779999999</v>
      </c>
      <c r="AJ226" s="460">
        <v>2074.170243</v>
      </c>
      <c r="AK226" s="460">
        <v>1822.3144259999999</v>
      </c>
      <c r="AL226" s="460">
        <v>1843.9115690000001</v>
      </c>
      <c r="AM226" s="460">
        <v>2594.4972290000001</v>
      </c>
      <c r="AN226" s="460">
        <v>1686.249953</v>
      </c>
      <c r="AO226" s="460">
        <v>14804.361075000001</v>
      </c>
      <c r="AP226" s="460">
        <v>3591.1752150000002</v>
      </c>
      <c r="AQ226" s="460">
        <v>2782.0198770000002</v>
      </c>
      <c r="AR226" s="378">
        <f t="shared" si="933"/>
        <v>16236.067663000002</v>
      </c>
      <c r="AS226" s="923">
        <v>1279.560303</v>
      </c>
      <c r="AT226" s="335">
        <v>2234.9961560000002</v>
      </c>
      <c r="AU226" s="335">
        <v>1870.8278620000001</v>
      </c>
      <c r="AV226" s="335">
        <v>753.07439599999998</v>
      </c>
      <c r="AW226" s="335">
        <v>1176.7516250000001</v>
      </c>
      <c r="AX226" s="335">
        <v>1319.2219170000001</v>
      </c>
      <c r="AY226" s="335">
        <v>1289.682967</v>
      </c>
      <c r="AZ226" s="335">
        <v>2509.645207</v>
      </c>
      <c r="BA226" s="335">
        <v>599.142248</v>
      </c>
      <c r="BB226" s="335">
        <v>1315.479863</v>
      </c>
      <c r="BC226" s="335">
        <v>730.42200700000001</v>
      </c>
      <c r="BD226" s="1516">
        <v>1157.2631120000001</v>
      </c>
      <c r="BE226" s="378">
        <f t="shared" si="934"/>
        <v>12798.46701208808</v>
      </c>
      <c r="BF226" s="1833">
        <v>1925.7101339999999</v>
      </c>
      <c r="BG226" s="1834">
        <v>1160.4513099999999</v>
      </c>
      <c r="BH226" s="1834">
        <v>1329.915469</v>
      </c>
      <c r="BI226" s="1834">
        <v>1556.349729</v>
      </c>
      <c r="BJ226" s="1834">
        <v>1296.5733949999999</v>
      </c>
      <c r="BK226" s="1834">
        <v>631.03195900000003</v>
      </c>
      <c r="BL226" s="1834">
        <v>1083.54043</v>
      </c>
      <c r="BM226" s="1834">
        <v>1302.3019750000001</v>
      </c>
      <c r="BN226" s="1834">
        <v>761.25392299999999</v>
      </c>
      <c r="BO226" s="1834">
        <v>698.03056808808174</v>
      </c>
      <c r="BP226" s="1834">
        <v>554.25039300000003</v>
      </c>
      <c r="BQ226" s="1835">
        <v>499.057727</v>
      </c>
      <c r="BR226" s="378">
        <f t="shared" si="935"/>
        <v>2844.1915152499996</v>
      </c>
      <c r="BS226" s="1859">
        <v>102.73781700000001</v>
      </c>
      <c r="BT226" s="1860">
        <v>126.39785999999999</v>
      </c>
      <c r="BU226" s="1860">
        <v>320.36124699999999</v>
      </c>
      <c r="BV226" s="1860">
        <v>305.29157099999998</v>
      </c>
      <c r="BW226" s="1860">
        <v>217.28791100000001</v>
      </c>
      <c r="BX226" s="1860">
        <v>182.96374599999999</v>
      </c>
      <c r="BY226" s="1860">
        <v>790.37681699999996</v>
      </c>
      <c r="BZ226" s="1860">
        <v>278.51749699999999</v>
      </c>
      <c r="CA226" s="1860">
        <v>290.62907300000001</v>
      </c>
      <c r="CB226" s="1860">
        <v>77.302149</v>
      </c>
      <c r="CC226" s="1860">
        <v>113.32953500000001</v>
      </c>
      <c r="CD226" s="1861">
        <v>38.996292250000003</v>
      </c>
      <c r="CE226" s="378">
        <f t="shared" si="936"/>
        <v>0</v>
      </c>
      <c r="CF226" s="2483">
        <f t="shared" ref="CF226:CQ226" si="940">(CF238*CF15)/1000000</f>
        <v>0</v>
      </c>
      <c r="CG226" s="2251">
        <f t="shared" si="940"/>
        <v>0</v>
      </c>
      <c r="CH226" s="2251">
        <f t="shared" si="940"/>
        <v>0</v>
      </c>
      <c r="CI226" s="2251">
        <f t="shared" si="940"/>
        <v>0</v>
      </c>
      <c r="CJ226" s="2251">
        <f t="shared" si="940"/>
        <v>0</v>
      </c>
      <c r="CK226" s="2251">
        <f t="shared" si="940"/>
        <v>0</v>
      </c>
      <c r="CL226" s="2251">
        <f t="shared" si="940"/>
        <v>0</v>
      </c>
      <c r="CM226" s="2251">
        <f t="shared" si="940"/>
        <v>0</v>
      </c>
      <c r="CN226" s="2251">
        <f t="shared" si="940"/>
        <v>0</v>
      </c>
      <c r="CO226" s="2251">
        <f t="shared" si="940"/>
        <v>0</v>
      </c>
      <c r="CP226" s="2251">
        <f t="shared" si="940"/>
        <v>0</v>
      </c>
      <c r="CQ226" s="2252">
        <f t="shared" si="940"/>
        <v>0</v>
      </c>
    </row>
    <row r="227" spans="1:95">
      <c r="B227" s="3313"/>
      <c r="C227" s="3314"/>
      <c r="D227" s="101" t="s">
        <v>18</v>
      </c>
      <c r="E227" s="378">
        <f t="shared" si="930"/>
        <v>4648.250685</v>
      </c>
      <c r="F227" s="335">
        <v>223.151726</v>
      </c>
      <c r="G227" s="334">
        <v>168.57189</v>
      </c>
      <c r="H227" s="335">
        <v>337.40405399999997</v>
      </c>
      <c r="I227" s="335">
        <v>164.11945600000001</v>
      </c>
      <c r="J227" s="335">
        <v>295.415639</v>
      </c>
      <c r="K227" s="335">
        <v>248.739273</v>
      </c>
      <c r="L227" s="335">
        <v>324.70800000000003</v>
      </c>
      <c r="M227" s="335">
        <v>513.448847</v>
      </c>
      <c r="N227" s="335">
        <v>1394.9243059999999</v>
      </c>
      <c r="O227" s="335">
        <v>245.04839699999999</v>
      </c>
      <c r="P227" s="335">
        <v>344.93173000000002</v>
      </c>
      <c r="Q227" s="460">
        <v>387.78736700000002</v>
      </c>
      <c r="R227" s="378">
        <f t="shared" si="931"/>
        <v>5394.7620548000004</v>
      </c>
      <c r="S227" s="460">
        <v>337.17127299999999</v>
      </c>
      <c r="T227" s="460">
        <v>46.216464800000004</v>
      </c>
      <c r="U227" s="460">
        <v>32.473660000000002</v>
      </c>
      <c r="V227" s="460">
        <v>393.61900000000003</v>
      </c>
      <c r="W227" s="460">
        <v>646.95127300000001</v>
      </c>
      <c r="X227" s="460">
        <v>373.73509100000001</v>
      </c>
      <c r="Y227" s="460">
        <v>436.25136400000002</v>
      </c>
      <c r="Z227" s="460">
        <v>832.99449100000004</v>
      </c>
      <c r="AA227" s="460">
        <v>758.00881800000002</v>
      </c>
      <c r="AB227" s="460">
        <v>514.82617200000004</v>
      </c>
      <c r="AC227" s="460">
        <v>627.54549999999995</v>
      </c>
      <c r="AD227" s="460">
        <v>394.96894800000001</v>
      </c>
      <c r="AE227" s="378">
        <f t="shared" si="932"/>
        <v>4601.7038497272724</v>
      </c>
      <c r="AF227" s="460">
        <v>486.49849972727276</v>
      </c>
      <c r="AG227" s="460">
        <v>555.72479999999996</v>
      </c>
      <c r="AH227" s="460">
        <v>526.68287299999997</v>
      </c>
      <c r="AI227" s="460">
        <v>171.75045</v>
      </c>
      <c r="AJ227" s="460">
        <v>279.43214599999999</v>
      </c>
      <c r="AK227" s="460">
        <v>271.85469999999998</v>
      </c>
      <c r="AL227" s="460">
        <v>412.02875499999999</v>
      </c>
      <c r="AM227" s="460">
        <v>782.90696800000001</v>
      </c>
      <c r="AN227" s="460">
        <v>155.979545</v>
      </c>
      <c r="AO227" s="460">
        <v>536.19217300000003</v>
      </c>
      <c r="AP227" s="460">
        <v>278.03339499999998</v>
      </c>
      <c r="AQ227" s="460">
        <v>144.61954499999999</v>
      </c>
      <c r="AR227" s="378">
        <f t="shared" si="933"/>
        <v>5227.3318370000006</v>
      </c>
      <c r="AS227" s="923">
        <v>389.33700199999998</v>
      </c>
      <c r="AT227" s="335">
        <v>332.492795</v>
      </c>
      <c r="AU227" s="335">
        <v>243.239508</v>
      </c>
      <c r="AV227" s="335">
        <v>1445.990818</v>
      </c>
      <c r="AW227" s="335">
        <v>665.28763600000002</v>
      </c>
      <c r="AX227" s="335">
        <v>226.82995099999999</v>
      </c>
      <c r="AY227" s="335">
        <v>171.73201399999999</v>
      </c>
      <c r="AZ227" s="335">
        <v>577.29972699999996</v>
      </c>
      <c r="BA227" s="335">
        <v>230.527545</v>
      </c>
      <c r="BB227" s="335">
        <v>397.043364</v>
      </c>
      <c r="BC227" s="335">
        <v>298.605909</v>
      </c>
      <c r="BD227" s="1516">
        <v>248.94556800000001</v>
      </c>
      <c r="BE227" s="378">
        <f t="shared" si="934"/>
        <v>7729.8290550000011</v>
      </c>
      <c r="BF227" s="1833">
        <v>1045.64068</v>
      </c>
      <c r="BG227" s="1834">
        <v>293.94487700000002</v>
      </c>
      <c r="BH227" s="1834">
        <v>502.14027800000002</v>
      </c>
      <c r="BI227" s="1834">
        <v>1719.7582359999999</v>
      </c>
      <c r="BJ227" s="1834">
        <v>231.31580299999999</v>
      </c>
      <c r="BK227" s="1834">
        <v>324.56204300000002</v>
      </c>
      <c r="BL227" s="1834">
        <v>820.76591099999996</v>
      </c>
      <c r="BM227" s="1834">
        <v>564.53190600000005</v>
      </c>
      <c r="BN227" s="1834">
        <v>1215.712182</v>
      </c>
      <c r="BO227" s="1834">
        <v>429.383714</v>
      </c>
      <c r="BP227" s="1834">
        <v>422.01842499999998</v>
      </c>
      <c r="BQ227" s="1835">
        <v>160.05500000000001</v>
      </c>
      <c r="BR227" s="378">
        <f t="shared" si="935"/>
        <v>7909.6864459999997</v>
      </c>
      <c r="BS227" s="1859">
        <v>333.21076099999999</v>
      </c>
      <c r="BT227" s="1860">
        <v>747.85355700000002</v>
      </c>
      <c r="BU227" s="1860">
        <v>511.69481400000001</v>
      </c>
      <c r="BV227" s="1860">
        <v>286.64293199999997</v>
      </c>
      <c r="BW227" s="1860">
        <v>265.34918199999998</v>
      </c>
      <c r="BX227" s="1860">
        <v>1740.342386</v>
      </c>
      <c r="BY227" s="1860">
        <v>620.33152600000005</v>
      </c>
      <c r="BZ227" s="1860">
        <v>877.09466999999995</v>
      </c>
      <c r="CA227" s="1860">
        <v>747.60547199999996</v>
      </c>
      <c r="CB227" s="1860">
        <v>589.76888599999995</v>
      </c>
      <c r="CC227" s="1860">
        <v>564.40554199999997</v>
      </c>
      <c r="CD227" s="1861">
        <v>625.38671799999997</v>
      </c>
      <c r="CE227" s="378">
        <f t="shared" si="936"/>
        <v>25804.955397206228</v>
      </c>
      <c r="CF227" s="2483">
        <f t="shared" ref="CF227:CQ227" si="941">(CF239*CF16)/1000000</f>
        <v>2185.6474395163159</v>
      </c>
      <c r="CG227" s="2251">
        <f t="shared" si="941"/>
        <v>639.91732918115486</v>
      </c>
      <c r="CH227" s="2251">
        <f t="shared" si="941"/>
        <v>951.58866205036713</v>
      </c>
      <c r="CI227" s="2251">
        <f t="shared" si="941"/>
        <v>989.74238204718245</v>
      </c>
      <c r="CJ227" s="2251">
        <f t="shared" si="941"/>
        <v>753.4917867439184</v>
      </c>
      <c r="CK227" s="2251">
        <f t="shared" si="941"/>
        <v>5203.0754555427811</v>
      </c>
      <c r="CL227" s="2251">
        <f t="shared" si="941"/>
        <v>1281.5240548444849</v>
      </c>
      <c r="CM227" s="2251">
        <f t="shared" si="941"/>
        <v>1855.3691823276229</v>
      </c>
      <c r="CN227" s="2251">
        <f t="shared" si="941"/>
        <v>2311.5823511477201</v>
      </c>
      <c r="CO227" s="2251">
        <f t="shared" si="941"/>
        <v>5922.2783891494337</v>
      </c>
      <c r="CP227" s="2251">
        <f t="shared" si="941"/>
        <v>1855.3691823276229</v>
      </c>
      <c r="CQ227" s="2252">
        <f t="shared" si="941"/>
        <v>1855.3691823276229</v>
      </c>
    </row>
    <row r="228" spans="1:95">
      <c r="B228" s="3313"/>
      <c r="C228" s="3314"/>
      <c r="D228" s="101" t="s">
        <v>244</v>
      </c>
      <c r="E228" s="378">
        <f t="shared" si="930"/>
        <v>2136.0304079999996</v>
      </c>
      <c r="F228" s="335">
        <v>62.244500000000002</v>
      </c>
      <c r="G228" s="334">
        <v>339.92986999999999</v>
      </c>
      <c r="H228" s="335">
        <v>183.65581800000001</v>
      </c>
      <c r="I228" s="335">
        <v>28.148724000000001</v>
      </c>
      <c r="J228" s="335">
        <v>84.671628999999996</v>
      </c>
      <c r="K228" s="335">
        <v>146.72126499999999</v>
      </c>
      <c r="L228" s="335">
        <v>307.52039300000001</v>
      </c>
      <c r="M228" s="335">
        <v>121.68651800000001</v>
      </c>
      <c r="N228" s="335">
        <v>157.866409</v>
      </c>
      <c r="O228" s="335">
        <v>123.44110000000001</v>
      </c>
      <c r="P228" s="335">
        <v>190.67818199999999</v>
      </c>
      <c r="Q228" s="335">
        <v>389.46600000000001</v>
      </c>
      <c r="R228" s="378">
        <f t="shared" si="931"/>
        <v>-782.38089280000008</v>
      </c>
      <c r="S228" s="460">
        <v>-42.500526999999998</v>
      </c>
      <c r="T228" s="460">
        <v>69.324697200000003</v>
      </c>
      <c r="U228" s="460">
        <v>48.710490999999998</v>
      </c>
      <c r="V228" s="460">
        <v>-33.994627999999999</v>
      </c>
      <c r="W228" s="460">
        <v>-108.595564</v>
      </c>
      <c r="X228" s="460">
        <v>-46.763862000000003</v>
      </c>
      <c r="Y228" s="460">
        <v>-161.55085500000001</v>
      </c>
      <c r="Z228" s="460">
        <v>-15.598663</v>
      </c>
      <c r="AA228" s="460">
        <v>-74.574681999999996</v>
      </c>
      <c r="AB228" s="460">
        <v>-121.158091</v>
      </c>
      <c r="AC228" s="460">
        <v>-123.767482</v>
      </c>
      <c r="AD228" s="460">
        <v>-171.91172700000001</v>
      </c>
      <c r="AE228" s="378">
        <f t="shared" si="932"/>
        <v>-1262.4998357272725</v>
      </c>
      <c r="AF228" s="460">
        <v>-39.964444727272749</v>
      </c>
      <c r="AG228" s="460">
        <v>-252.443127</v>
      </c>
      <c r="AH228" s="460">
        <v>-300.10399999999998</v>
      </c>
      <c r="AI228" s="460">
        <v>143.582673</v>
      </c>
      <c r="AJ228" s="460">
        <v>-27.547008999999999</v>
      </c>
      <c r="AK228" s="460">
        <v>79.268927000000005</v>
      </c>
      <c r="AL228" s="460">
        <v>-9.9738179999999996</v>
      </c>
      <c r="AM228" s="460">
        <v>0.53224499999999997</v>
      </c>
      <c r="AN228" s="460">
        <v>-269.97540900000001</v>
      </c>
      <c r="AO228" s="460">
        <v>-209.014791</v>
      </c>
      <c r="AP228" s="460">
        <v>-274.57396399999999</v>
      </c>
      <c r="AQ228" s="460">
        <v>-102.28711800000001</v>
      </c>
      <c r="AR228" s="378">
        <f t="shared" si="933"/>
        <v>-2539.6372710000001</v>
      </c>
      <c r="AS228" s="923">
        <v>-159.02221499999999</v>
      </c>
      <c r="AT228" s="335">
        <v>-241.56468699999999</v>
      </c>
      <c r="AU228" s="335">
        <v>-173.37355099999999</v>
      </c>
      <c r="AV228" s="335">
        <v>-246.19527400000001</v>
      </c>
      <c r="AW228" s="335">
        <v>-135.87881300000001</v>
      </c>
      <c r="AX228" s="335">
        <v>-73.655786000000006</v>
      </c>
      <c r="AY228" s="335">
        <v>-240.894766</v>
      </c>
      <c r="AZ228" s="335">
        <v>-278.43575199999998</v>
      </c>
      <c r="BA228" s="335">
        <v>-419.20328599999999</v>
      </c>
      <c r="BB228" s="335">
        <v>-162.186162</v>
      </c>
      <c r="BC228" s="335">
        <v>-304.62356499999999</v>
      </c>
      <c r="BD228" s="1516">
        <v>-104.603414</v>
      </c>
      <c r="BE228" s="378">
        <f t="shared" si="934"/>
        <v>-1828.0936180000003</v>
      </c>
      <c r="BF228" s="1833">
        <v>-168.45641699999999</v>
      </c>
      <c r="BG228" s="1834">
        <v>-120.487359</v>
      </c>
      <c r="BH228" s="1834">
        <v>-121.458232</v>
      </c>
      <c r="BI228" s="1834">
        <v>-76.449083999999999</v>
      </c>
      <c r="BJ228" s="1834">
        <v>-191.58499699999999</v>
      </c>
      <c r="BK228" s="1834">
        <v>-132.276015</v>
      </c>
      <c r="BL228" s="1834">
        <v>-159.066543</v>
      </c>
      <c r="BM228" s="1834">
        <v>-161.53986</v>
      </c>
      <c r="BN228" s="1834">
        <v>-155.65479199999999</v>
      </c>
      <c r="BO228" s="1834">
        <v>-232.76416900000001</v>
      </c>
      <c r="BP228" s="1834">
        <v>-165.63116500000001</v>
      </c>
      <c r="BQ228" s="1835">
        <v>-142.724985</v>
      </c>
      <c r="BR228" s="378">
        <f t="shared" si="935"/>
        <v>-2042.1125390000002</v>
      </c>
      <c r="BS228" s="1859">
        <v>-85.987853000000001</v>
      </c>
      <c r="BT228" s="1860">
        <v>-125.56044799999999</v>
      </c>
      <c r="BU228" s="1860">
        <v>-128.739318</v>
      </c>
      <c r="BV228" s="1860">
        <v>-138.949783</v>
      </c>
      <c r="BW228" s="1860">
        <v>-339.714178</v>
      </c>
      <c r="BX228" s="1860">
        <v>-90.899323999999993</v>
      </c>
      <c r="BY228" s="1860">
        <v>-131.69193000000001</v>
      </c>
      <c r="BZ228" s="1860">
        <v>-200.85974899999999</v>
      </c>
      <c r="CA228" s="1860">
        <v>-365.58397600000001</v>
      </c>
      <c r="CB228" s="1860">
        <v>-98.363178000000005</v>
      </c>
      <c r="CC228" s="1860">
        <v>-169.400317</v>
      </c>
      <c r="CD228" s="1861">
        <v>-166.36248499999999</v>
      </c>
      <c r="CE228" s="378">
        <f t="shared" si="936"/>
        <v>-2474.6064713656888</v>
      </c>
      <c r="CF228" s="2483">
        <f t="shared" ref="CF228:CQ228" si="942">(CF240*CF20)/1000000</f>
        <v>-88.567488589999982</v>
      </c>
      <c r="CG228" s="2251">
        <f t="shared" si="942"/>
        <v>-129.32726144</v>
      </c>
      <c r="CH228" s="2251">
        <f t="shared" si="942"/>
        <v>-312.2168697060273</v>
      </c>
      <c r="CI228" s="2251">
        <f t="shared" si="942"/>
        <v>-94.346853885577374</v>
      </c>
      <c r="CJ228" s="2251">
        <f t="shared" si="942"/>
        <v>-349.90560333999997</v>
      </c>
      <c r="CK228" s="2251">
        <f t="shared" si="942"/>
        <v>-93.626303719999981</v>
      </c>
      <c r="CL228" s="2251">
        <f t="shared" si="942"/>
        <v>-325.7146738595473</v>
      </c>
      <c r="CM228" s="2251">
        <f t="shared" si="942"/>
        <v>-223.93926993694797</v>
      </c>
      <c r="CN228" s="2251">
        <f t="shared" si="942"/>
        <v>-325.7146738595473</v>
      </c>
      <c r="CO228" s="2251">
        <f t="shared" si="942"/>
        <v>-223.93926993694797</v>
      </c>
      <c r="CP228" s="2251">
        <f t="shared" si="942"/>
        <v>-223.76443120960616</v>
      </c>
      <c r="CQ228" s="2252">
        <f t="shared" si="942"/>
        <v>-83.543771881487288</v>
      </c>
    </row>
    <row r="229" spans="1:95">
      <c r="B229" s="3313"/>
      <c r="C229" s="3314"/>
      <c r="D229" s="101" t="s">
        <v>678</v>
      </c>
      <c r="E229" s="378">
        <f t="shared" si="930"/>
        <v>22577.595439000001</v>
      </c>
      <c r="F229" s="335">
        <v>1719.0188840000001</v>
      </c>
      <c r="G229" s="334">
        <v>2675.903354</v>
      </c>
      <c r="H229" s="335">
        <v>2106.6749620000001</v>
      </c>
      <c r="I229" s="335">
        <v>1562.11292</v>
      </c>
      <c r="J229" s="335">
        <v>1844.39356</v>
      </c>
      <c r="K229" s="335">
        <v>1415.2930859999999</v>
      </c>
      <c r="L229" s="335">
        <v>1700.0074689999999</v>
      </c>
      <c r="M229" s="335">
        <v>1842.9408109999999</v>
      </c>
      <c r="N229" s="335">
        <v>2055.7986959999998</v>
      </c>
      <c r="O229" s="335">
        <v>1466.8580770000001</v>
      </c>
      <c r="P229" s="335">
        <v>1621.412364</v>
      </c>
      <c r="Q229" s="335">
        <v>2567.1812559999998</v>
      </c>
      <c r="R229" s="378">
        <f t="shared" si="931"/>
        <v>28347.149326000002</v>
      </c>
      <c r="S229" s="460">
        <v>2311.8007090000001</v>
      </c>
      <c r="T229" s="460">
        <v>2328.617718</v>
      </c>
      <c r="U229" s="460">
        <v>2575.8199100000002</v>
      </c>
      <c r="V229" s="460">
        <v>2358.9582099999998</v>
      </c>
      <c r="W229" s="460">
        <v>1954.7589820000001</v>
      </c>
      <c r="X229" s="460">
        <v>2306.7908339999999</v>
      </c>
      <c r="Y229" s="460">
        <v>1603.4215369999999</v>
      </c>
      <c r="Z229" s="460">
        <v>2220.8008799999998</v>
      </c>
      <c r="AA229" s="460">
        <v>2170.0551</v>
      </c>
      <c r="AB229" s="460">
        <v>2570.898463</v>
      </c>
      <c r="AC229" s="460">
        <v>3057.368864</v>
      </c>
      <c r="AD229" s="460">
        <v>2887.858119</v>
      </c>
      <c r="AE229" s="378">
        <f t="shared" si="932"/>
        <v>46335.650814000008</v>
      </c>
      <c r="AF229" s="460">
        <v>3128.2700589999999</v>
      </c>
      <c r="AG229" s="460">
        <v>4074.4282290000001</v>
      </c>
      <c r="AH229" s="460">
        <v>3478.436228</v>
      </c>
      <c r="AI229" s="460">
        <v>3012.2857180000001</v>
      </c>
      <c r="AJ229" s="460">
        <v>2862.1394460000001</v>
      </c>
      <c r="AK229" s="460">
        <v>10318.646419000001</v>
      </c>
      <c r="AL229" s="460">
        <v>2635.662871</v>
      </c>
      <c r="AM229" s="460">
        <v>3322.541502</v>
      </c>
      <c r="AN229" s="460">
        <v>5565.0569450000003</v>
      </c>
      <c r="AO229" s="460">
        <v>4245.4492829999999</v>
      </c>
      <c r="AP229" s="460">
        <v>2078.5168990000002</v>
      </c>
      <c r="AQ229" s="460">
        <v>1614.2172149999999</v>
      </c>
      <c r="AR229" s="378">
        <f t="shared" si="933"/>
        <v>32616.324425000003</v>
      </c>
      <c r="AS229" s="923">
        <v>2003.0679729999999</v>
      </c>
      <c r="AT229" s="335">
        <v>4114.8820420000002</v>
      </c>
      <c r="AU229" s="335">
        <v>4911.9422249999998</v>
      </c>
      <c r="AV229" s="335">
        <v>2321.6339459999999</v>
      </c>
      <c r="AW229" s="335">
        <v>2954.5503050000002</v>
      </c>
      <c r="AX229" s="335">
        <v>2996.1759609999999</v>
      </c>
      <c r="AY229" s="335">
        <v>2019.1282630000001</v>
      </c>
      <c r="AZ229" s="335">
        <v>2526.351169</v>
      </c>
      <c r="BA229" s="335">
        <v>1988.855695</v>
      </c>
      <c r="BB229" s="335">
        <v>3283.6762819999999</v>
      </c>
      <c r="BC229" s="335">
        <v>2288.0604090000002</v>
      </c>
      <c r="BD229" s="1516">
        <v>1208.0001549999999</v>
      </c>
      <c r="BE229" s="378">
        <f t="shared" si="934"/>
        <v>47319.908147000002</v>
      </c>
      <c r="BF229" s="1833">
        <v>1532.075055</v>
      </c>
      <c r="BG229" s="1834">
        <v>1519.9906209999999</v>
      </c>
      <c r="BH229" s="1834">
        <v>1084.4348150000001</v>
      </c>
      <c r="BI229" s="1834">
        <v>1134.4035140000001</v>
      </c>
      <c r="BJ229" s="1834">
        <v>950.17163300000004</v>
      </c>
      <c r="BK229" s="1834">
        <v>1143.5079599999999</v>
      </c>
      <c r="BL229" s="1834">
        <v>1577.096869</v>
      </c>
      <c r="BM229" s="1834">
        <v>5595.5941890000004</v>
      </c>
      <c r="BN229" s="1834">
        <v>6380.8696220000002</v>
      </c>
      <c r="BO229" s="1834">
        <v>21342.738331</v>
      </c>
      <c r="BP229" s="1834">
        <v>4235.8692689999998</v>
      </c>
      <c r="BQ229" s="1835">
        <v>823.15626899999995</v>
      </c>
      <c r="BR229" s="378">
        <f t="shared" si="935"/>
        <v>89200.802536000003</v>
      </c>
      <c r="BS229" s="1859">
        <v>18756.049448000002</v>
      </c>
      <c r="BT229" s="1860">
        <v>21968.348419999998</v>
      </c>
      <c r="BU229" s="1860">
        <v>12801.213502000001</v>
      </c>
      <c r="BV229" s="1860">
        <v>1370.673626</v>
      </c>
      <c r="BW229" s="1860">
        <v>1701.2898259999999</v>
      </c>
      <c r="BX229" s="1860">
        <v>12263.984560999999</v>
      </c>
      <c r="BY229" s="1860">
        <v>2034.26009</v>
      </c>
      <c r="BZ229" s="1860">
        <v>2253.4802359999999</v>
      </c>
      <c r="CA229" s="1860">
        <v>2930.1547099999998</v>
      </c>
      <c r="CB229" s="1860">
        <v>3268.0275569999999</v>
      </c>
      <c r="CC229" s="1860">
        <v>7503.5244050000001</v>
      </c>
      <c r="CD229" s="1861">
        <v>2349.796155</v>
      </c>
      <c r="CE229" s="378">
        <f t="shared" si="936"/>
        <v>117294.34730185947</v>
      </c>
      <c r="CF229" s="2483">
        <f t="shared" ref="CF229:CQ229" si="943">CF241*(CF17+CF21)/1000000</f>
        <v>9650.5124885622317</v>
      </c>
      <c r="CG229" s="2251">
        <f t="shared" si="943"/>
        <v>9829.0961812557525</v>
      </c>
      <c r="CH229" s="2251">
        <f t="shared" si="943"/>
        <v>9900.5296583331638</v>
      </c>
      <c r="CI229" s="2251">
        <f t="shared" si="943"/>
        <v>9823.1433914993013</v>
      </c>
      <c r="CJ229" s="2251">
        <f t="shared" si="943"/>
        <v>9614.7957500235261</v>
      </c>
      <c r="CK229" s="2251">
        <f t="shared" si="943"/>
        <v>9841.001760768655</v>
      </c>
      <c r="CL229" s="2251">
        <f t="shared" si="943"/>
        <v>9614.7957500235261</v>
      </c>
      <c r="CM229" s="2251">
        <f t="shared" si="943"/>
        <v>9841.001760768655</v>
      </c>
      <c r="CN229" s="2251">
        <f t="shared" si="943"/>
        <v>9614.7957500235261</v>
      </c>
      <c r="CO229" s="2251">
        <f t="shared" si="943"/>
        <v>9841.001760768655</v>
      </c>
      <c r="CP229" s="2251">
        <f t="shared" si="943"/>
        <v>9823.1433914993013</v>
      </c>
      <c r="CQ229" s="2252">
        <f t="shared" si="943"/>
        <v>9900.5296583331638</v>
      </c>
    </row>
    <row r="230" spans="1:95">
      <c r="A230" s="3154">
        <f>BR230/BR206</f>
        <v>0.82187252390804744</v>
      </c>
      <c r="B230" s="3315"/>
      <c r="C230" s="3316"/>
      <c r="D230" s="2772" t="s">
        <v>722</v>
      </c>
      <c r="E230" s="381">
        <f t="shared" si="930"/>
        <v>-1819.4533409999822</v>
      </c>
      <c r="F230" s="336">
        <v>2609.5432849999997</v>
      </c>
      <c r="G230" s="336">
        <v>11.50646499999857</v>
      </c>
      <c r="H230" s="336">
        <v>125.33326300000772</v>
      </c>
      <c r="I230" s="336">
        <v>726.93828999999823</v>
      </c>
      <c r="J230" s="336">
        <v>-773.49083099999552</v>
      </c>
      <c r="K230" s="336">
        <v>-863.57488799999919</v>
      </c>
      <c r="L230" s="336">
        <v>-1120.030866000001</v>
      </c>
      <c r="M230" s="336">
        <v>-599.86069900000439</v>
      </c>
      <c r="N230" s="336">
        <v>-725.22304900000017</v>
      </c>
      <c r="O230" s="336">
        <v>-1011.2129309999946</v>
      </c>
      <c r="P230" s="336">
        <v>486.23549300000013</v>
      </c>
      <c r="Q230" s="336">
        <v>-685.61687299999176</v>
      </c>
      <c r="R230" s="381">
        <f>SUM(S230:AD230)</f>
        <v>18492.246554999991</v>
      </c>
      <c r="S230" s="336">
        <f t="shared" ref="S230:AL230" si="944">S220-SUM(S221:S229)</f>
        <v>408.97189999999682</v>
      </c>
      <c r="T230" s="336">
        <f t="shared" si="944"/>
        <v>76.987596999992093</v>
      </c>
      <c r="U230" s="336">
        <f t="shared" si="944"/>
        <v>-738.10354100000404</v>
      </c>
      <c r="V230" s="336">
        <f t="shared" si="944"/>
        <v>1768.8652250000014</v>
      </c>
      <c r="W230" s="336">
        <f t="shared" si="944"/>
        <v>951.77259399999457</v>
      </c>
      <c r="X230" s="336">
        <f t="shared" si="944"/>
        <v>1103.6104909999995</v>
      </c>
      <c r="Y230" s="336">
        <f t="shared" si="944"/>
        <v>-273.07590000000346</v>
      </c>
      <c r="Z230" s="336">
        <f t="shared" si="944"/>
        <v>22.617790000003879</v>
      </c>
      <c r="AA230" s="336">
        <f t="shared" si="944"/>
        <v>6883.9608459999945</v>
      </c>
      <c r="AB230" s="336">
        <f t="shared" si="944"/>
        <v>1575.2265840000036</v>
      </c>
      <c r="AC230" s="336">
        <f t="shared" si="944"/>
        <v>2393.9439740000089</v>
      </c>
      <c r="AD230" s="336">
        <f t="shared" si="944"/>
        <v>4317.4689950000029</v>
      </c>
      <c r="AE230" s="381">
        <f>SUM(AF230:AQ230)</f>
        <v>9044.1898530000035</v>
      </c>
      <c r="AF230" s="336">
        <f t="shared" si="944"/>
        <v>584.63730600000417</v>
      </c>
      <c r="AG230" s="336">
        <f t="shared" si="944"/>
        <v>3284.7470079999912</v>
      </c>
      <c r="AH230" s="336">
        <f t="shared" si="944"/>
        <v>-3793.1357719999942</v>
      </c>
      <c r="AI230" s="336">
        <f t="shared" si="944"/>
        <v>-483.95416599999589</v>
      </c>
      <c r="AJ230" s="336">
        <f t="shared" si="944"/>
        <v>2083.7323750000069</v>
      </c>
      <c r="AK230" s="336">
        <f t="shared" si="944"/>
        <v>370.32264499999292</v>
      </c>
      <c r="AL230" s="336">
        <f t="shared" si="944"/>
        <v>670.60199400000056</v>
      </c>
      <c r="AM230" s="336">
        <f>AM220-SUM(AM221:AM229)</f>
        <v>2527.0593089999966</v>
      </c>
      <c r="AN230" s="336">
        <f t="shared" ref="AN230:AQ230" si="945">AN220-SUM(AN221:AN229)</f>
        <v>-1270.8693869999988</v>
      </c>
      <c r="AO230" s="336">
        <f t="shared" si="945"/>
        <v>-129.8285360000009</v>
      </c>
      <c r="AP230" s="336">
        <f t="shared" si="945"/>
        <v>3985.4321820000041</v>
      </c>
      <c r="AQ230" s="336">
        <f t="shared" si="945"/>
        <v>1215.4448949999969</v>
      </c>
      <c r="AR230" s="381">
        <f>SUM(AS230:BD230)</f>
        <v>19701.121718000006</v>
      </c>
      <c r="AS230" s="1519">
        <f t="shared" ref="AS230:BD230" si="946">AS220-SUM(AS221:AS229)</f>
        <v>1338.9298239999989</v>
      </c>
      <c r="AT230" s="336">
        <f t="shared" si="946"/>
        <v>2727.8152820000032</v>
      </c>
      <c r="AU230" s="336">
        <f t="shared" si="946"/>
        <v>-574.70625099999597</v>
      </c>
      <c r="AV230" s="336">
        <f t="shared" si="946"/>
        <v>1548.0154890000013</v>
      </c>
      <c r="AW230" s="336">
        <f t="shared" si="946"/>
        <v>4245.0033509999994</v>
      </c>
      <c r="AX230" s="336">
        <f t="shared" si="946"/>
        <v>345.34257300000172</v>
      </c>
      <c r="AY230" s="336">
        <f t="shared" si="946"/>
        <v>483.15353600000162</v>
      </c>
      <c r="AZ230" s="336">
        <f t="shared" si="946"/>
        <v>3881.6123179999922</v>
      </c>
      <c r="BA230" s="336">
        <f t="shared" si="946"/>
        <v>1928.0167600000023</v>
      </c>
      <c r="BB230" s="336">
        <f t="shared" si="946"/>
        <v>-58.631148000000394</v>
      </c>
      <c r="BC230" s="336">
        <f t="shared" si="946"/>
        <v>206.17577000000165</v>
      </c>
      <c r="BD230" s="336">
        <f t="shared" si="946"/>
        <v>3630.3942139999999</v>
      </c>
      <c r="BE230" s="381">
        <f>SUM(BF230:BQ230)</f>
        <v>114736.23960099999</v>
      </c>
      <c r="BF230" s="2773">
        <f t="shared" ref="BF230:BQ230" si="947">BF220-SUM(BF221:BF229)</f>
        <v>37900.178979999997</v>
      </c>
      <c r="BG230" s="1848">
        <f t="shared" si="947"/>
        <v>8934.1830550000013</v>
      </c>
      <c r="BH230" s="1848">
        <f t="shared" si="947"/>
        <v>9392.2200630000007</v>
      </c>
      <c r="BI230" s="1848">
        <f t="shared" si="947"/>
        <v>3923.2266789999958</v>
      </c>
      <c r="BJ230" s="1848">
        <f t="shared" si="947"/>
        <v>1698.658207000004</v>
      </c>
      <c r="BK230" s="1848">
        <f t="shared" si="947"/>
        <v>23947.740779</v>
      </c>
      <c r="BL230" s="1848">
        <f t="shared" si="947"/>
        <v>1292.8303620000006</v>
      </c>
      <c r="BM230" s="1848">
        <f t="shared" si="947"/>
        <v>4432.5948420000059</v>
      </c>
      <c r="BN230" s="1848">
        <f t="shared" si="947"/>
        <v>3945.7132960000017</v>
      </c>
      <c r="BO230" s="1848">
        <f t="shared" si="947"/>
        <v>4392.2060379999966</v>
      </c>
      <c r="BP230" s="1848">
        <f t="shared" si="947"/>
        <v>3322.0952090000028</v>
      </c>
      <c r="BQ230" s="1849">
        <f t="shared" si="947"/>
        <v>11554.592091000002</v>
      </c>
      <c r="BR230" s="381">
        <f>SUM(BS230:CD230)</f>
        <v>43882.293776999999</v>
      </c>
      <c r="BS230" s="3141">
        <f t="shared" ref="BS230:CD230" si="948">BS220-SUM(BS221:BS229)</f>
        <v>3614.97451</v>
      </c>
      <c r="BT230" s="3140">
        <f t="shared" si="948"/>
        <v>5897.3568480000104</v>
      </c>
      <c r="BU230" s="3140">
        <f t="shared" si="948"/>
        <v>4440.711801999998</v>
      </c>
      <c r="BV230" s="3140">
        <f t="shared" si="948"/>
        <v>2628.4553830000004</v>
      </c>
      <c r="BW230" s="3140">
        <f t="shared" si="948"/>
        <v>4355.8210509999954</v>
      </c>
      <c r="BX230" s="3140">
        <f t="shared" si="948"/>
        <v>1352.6876539999976</v>
      </c>
      <c r="BY230" s="3140">
        <f t="shared" si="948"/>
        <v>4575.1288329999952</v>
      </c>
      <c r="BZ230" s="3140">
        <f t="shared" si="948"/>
        <v>6207.2431419999994</v>
      </c>
      <c r="CA230" s="3140">
        <f t="shared" si="948"/>
        <v>2213.7392069999987</v>
      </c>
      <c r="CB230" s="3140">
        <f t="shared" si="948"/>
        <v>3225.9352530000033</v>
      </c>
      <c r="CC230" s="3140">
        <f t="shared" si="948"/>
        <v>4246.4948240000012</v>
      </c>
      <c r="CD230" s="3142">
        <f t="shared" si="948"/>
        <v>1123.7452699999994</v>
      </c>
      <c r="CE230" s="381">
        <f>SUM(CF230:CQ230)</f>
        <v>116.37902002548026</v>
      </c>
      <c r="CF230" s="3174">
        <f>-6201.2904156913+500</f>
        <v>-5701.2904156913</v>
      </c>
      <c r="CG230" s="2775">
        <f>-2401.2904156913-500</f>
        <v>-2901.2904156913</v>
      </c>
      <c r="CH230" s="2775">
        <v>11898.709584308701</v>
      </c>
      <c r="CI230" s="2775">
        <f>(2503.67106214282+50)-201.290415691299</f>
        <v>2352.380646451521</v>
      </c>
      <c r="CJ230" s="2775">
        <f>(2503.67106214282+50-200)-201.290415691299</f>
        <v>2152.380646451521</v>
      </c>
      <c r="CK230" s="2775">
        <v>-4901.2904156912991</v>
      </c>
      <c r="CL230" s="2775">
        <v>-2701.2904156912991</v>
      </c>
      <c r="CM230" s="2775">
        <f>(1503.67106214282-700)-101.290415691299</f>
        <v>702.38064645152076</v>
      </c>
      <c r="CN230" s="2775">
        <f>(1503.67106214282-700+1250)-101.290415691299</f>
        <v>1952.380646451521</v>
      </c>
      <c r="CO230" s="2775">
        <f>(1503.67106214282-3100-18.330612350488-500)-301.290415691299</f>
        <v>-2415.9499658989671</v>
      </c>
      <c r="CP230" s="2775">
        <f>(1503.67106214282-900)-101.290415691299-321.831752185361</f>
        <v>180.54889426615989</v>
      </c>
      <c r="CQ230" s="2809">
        <f>-101.290415691299-400</f>
        <v>-501.29041569129902</v>
      </c>
    </row>
    <row r="231" spans="1:95">
      <c r="A231" s="3154">
        <v>1.02</v>
      </c>
      <c r="B231" s="3311" t="s">
        <v>207</v>
      </c>
      <c r="C231" s="3312"/>
      <c r="D231" s="228" t="s">
        <v>14</v>
      </c>
      <c r="E231" s="382">
        <f>E220/E8*1000000</f>
        <v>747184.52752309863</v>
      </c>
      <c r="F231" s="321">
        <v>827766.48642316693</v>
      </c>
      <c r="G231" s="395">
        <v>815978.02182823024</v>
      </c>
      <c r="H231" s="395">
        <v>776576.05455558654</v>
      </c>
      <c r="I231" s="395">
        <v>719098.29724158836</v>
      </c>
      <c r="J231" s="395">
        <v>601975.78121552255</v>
      </c>
      <c r="K231" s="395">
        <v>584711.64053101407</v>
      </c>
      <c r="L231" s="395">
        <v>614293.17016225588</v>
      </c>
      <c r="M231" s="395">
        <v>839651.09242204973</v>
      </c>
      <c r="N231" s="395">
        <v>788813.0510596903</v>
      </c>
      <c r="O231" s="395">
        <v>768771.35231934942</v>
      </c>
      <c r="P231" s="395">
        <v>817520.44630292035</v>
      </c>
      <c r="Q231" s="395">
        <v>802667.37238015397</v>
      </c>
      <c r="R231" s="382">
        <f t="shared" ref="R231:BD231" si="949">R220/R8*1000000</f>
        <v>799867.63495194481</v>
      </c>
      <c r="S231" s="235">
        <f t="shared" si="949"/>
        <v>757468.75564161234</v>
      </c>
      <c r="T231" s="235">
        <f t="shared" si="949"/>
        <v>693217.7976334081</v>
      </c>
      <c r="U231" s="235">
        <f t="shared" si="949"/>
        <v>652763.01443317323</v>
      </c>
      <c r="V231" s="235">
        <f t="shared" si="949"/>
        <v>766301.23164451984</v>
      </c>
      <c r="W231" s="235">
        <f t="shared" si="949"/>
        <v>702410.77744945558</v>
      </c>
      <c r="X231" s="235">
        <f t="shared" si="949"/>
        <v>701771.96252927405</v>
      </c>
      <c r="Y231" s="235">
        <f t="shared" si="949"/>
        <v>686755.34394195408</v>
      </c>
      <c r="Z231" s="235">
        <f t="shared" si="949"/>
        <v>865806.90581914491</v>
      </c>
      <c r="AA231" s="235">
        <f t="shared" si="949"/>
        <v>962028.00744159217</v>
      </c>
      <c r="AB231" s="235">
        <f t="shared" si="949"/>
        <v>972374.15059913683</v>
      </c>
      <c r="AC231" s="235">
        <f t="shared" si="949"/>
        <v>903840.19221253961</v>
      </c>
      <c r="AD231" s="235">
        <f t="shared" si="949"/>
        <v>889731.21844585205</v>
      </c>
      <c r="AE231" s="382">
        <f t="shared" si="949"/>
        <v>840460.08160097862</v>
      </c>
      <c r="AF231" s="235">
        <f t="shared" si="949"/>
        <v>705550.54739251884</v>
      </c>
      <c r="AG231" s="235">
        <f t="shared" si="949"/>
        <v>932467.55525539839</v>
      </c>
      <c r="AH231" s="235">
        <f t="shared" si="949"/>
        <v>663452.84134643804</v>
      </c>
      <c r="AI231" s="235">
        <f t="shared" si="949"/>
        <v>680119.85882649897</v>
      </c>
      <c r="AJ231" s="235">
        <f t="shared" si="949"/>
        <v>716377.00695436436</v>
      </c>
      <c r="AK231" s="235">
        <f t="shared" si="949"/>
        <v>819744.43574482831</v>
      </c>
      <c r="AL231" s="235">
        <f t="shared" si="949"/>
        <v>677220.90916047222</v>
      </c>
      <c r="AM231" s="235">
        <f t="shared" si="949"/>
        <v>974563.52805875475</v>
      </c>
      <c r="AN231" s="235">
        <f t="shared" si="949"/>
        <v>745388.27644640743</v>
      </c>
      <c r="AO231" s="235">
        <f t="shared" si="949"/>
        <v>1146435.6645784199</v>
      </c>
      <c r="AP231" s="235">
        <f t="shared" si="949"/>
        <v>984428.19527348597</v>
      </c>
      <c r="AQ231" s="235">
        <f t="shared" si="949"/>
        <v>927396.14966574463</v>
      </c>
      <c r="AR231" s="382">
        <f t="shared" si="949"/>
        <v>885241.5717068736</v>
      </c>
      <c r="AS231" s="927">
        <f t="shared" si="949"/>
        <v>834270.85144847108</v>
      </c>
      <c r="AT231" s="211">
        <f t="shared" si="949"/>
        <v>1063391.2217839439</v>
      </c>
      <c r="AU231" s="211">
        <f t="shared" si="949"/>
        <v>837054.05138225353</v>
      </c>
      <c r="AV231" s="211">
        <f t="shared" si="949"/>
        <v>811648.19904958981</v>
      </c>
      <c r="AW231" s="211">
        <f t="shared" si="949"/>
        <v>785792.71223065187</v>
      </c>
      <c r="AX231" s="211">
        <f t="shared" si="949"/>
        <v>654315.74494296114</v>
      </c>
      <c r="AY231" s="211">
        <f t="shared" si="949"/>
        <v>572615.09242302354</v>
      </c>
      <c r="AZ231" s="211">
        <f t="shared" si="949"/>
        <v>1093374.9913900648</v>
      </c>
      <c r="BA231" s="211">
        <f t="shared" si="949"/>
        <v>714260.53019462235</v>
      </c>
      <c r="BB231" s="211">
        <f t="shared" si="949"/>
        <v>1130400.1043978392</v>
      </c>
      <c r="BC231" s="211">
        <f t="shared" si="949"/>
        <v>900192.59397933795</v>
      </c>
      <c r="BD231" s="925">
        <f t="shared" si="949"/>
        <v>908559.1286987788</v>
      </c>
      <c r="BE231" s="382">
        <f t="shared" ref="BE231:CQ231" si="950">BE220/BE8*1000000</f>
        <v>1060632.2756608545</v>
      </c>
      <c r="BF231" s="927">
        <f t="shared" si="950"/>
        <v>1837943.4312757808</v>
      </c>
      <c r="BG231" s="211">
        <f t="shared" si="950"/>
        <v>1147011.8468812036</v>
      </c>
      <c r="BH231" s="211">
        <f t="shared" si="950"/>
        <v>971503.39170120261</v>
      </c>
      <c r="BI231" s="211">
        <f t="shared" si="950"/>
        <v>744383.82563074748</v>
      </c>
      <c r="BJ231" s="211">
        <f t="shared" si="950"/>
        <v>615772.48656792531</v>
      </c>
      <c r="BK231" s="211">
        <f t="shared" si="950"/>
        <v>1204697.6025624298</v>
      </c>
      <c r="BL231" s="211">
        <f t="shared" si="950"/>
        <v>1022224.0779797394</v>
      </c>
      <c r="BM231" s="211">
        <f t="shared" si="950"/>
        <v>947421.12194766384</v>
      </c>
      <c r="BN231" s="211">
        <f t="shared" si="950"/>
        <v>1124430.3630509125</v>
      </c>
      <c r="BO231" s="211">
        <f t="shared" si="950"/>
        <v>1193659.8486364863</v>
      </c>
      <c r="BP231" s="211">
        <f t="shared" si="950"/>
        <v>733274.24835042725</v>
      </c>
      <c r="BQ231" s="235">
        <f t="shared" si="950"/>
        <v>909951.69658024143</v>
      </c>
      <c r="BR231" s="382">
        <f t="shared" si="950"/>
        <v>779661.91331147519</v>
      </c>
      <c r="BS231" s="976">
        <f t="shared" si="950"/>
        <v>1152700.6725871013</v>
      </c>
      <c r="BT231" s="977">
        <f t="shared" si="950"/>
        <v>1169958.6172435735</v>
      </c>
      <c r="BU231" s="977">
        <f t="shared" si="950"/>
        <v>894913.95667022909</v>
      </c>
      <c r="BV231" s="977">
        <f t="shared" si="950"/>
        <v>548557.61229506438</v>
      </c>
      <c r="BW231" s="977">
        <f t="shared" si="950"/>
        <v>486556.43217645667</v>
      </c>
      <c r="BX231" s="977">
        <f t="shared" si="950"/>
        <v>634163.2981041451</v>
      </c>
      <c r="BY231" s="977">
        <f t="shared" si="950"/>
        <v>816834.36630915012</v>
      </c>
      <c r="BZ231" s="977">
        <f t="shared" si="950"/>
        <v>719165.07026885834</v>
      </c>
      <c r="CA231" s="977">
        <f t="shared" si="950"/>
        <v>905010.13342743157</v>
      </c>
      <c r="CB231" s="977">
        <f t="shared" si="950"/>
        <v>704729.95672718226</v>
      </c>
      <c r="CC231" s="977">
        <f t="shared" si="950"/>
        <v>770156.75185780064</v>
      </c>
      <c r="CD231" s="1767">
        <f t="shared" ref="CD231" si="951">CD220/CD8*1000000</f>
        <v>548796.11705317663</v>
      </c>
      <c r="CE231" s="382">
        <f t="shared" si="950"/>
        <v>760673.44557408837</v>
      </c>
      <c r="CF231" s="976">
        <f t="shared" si="950"/>
        <v>594729.97868632327</v>
      </c>
      <c r="CG231" s="977">
        <f t="shared" si="950"/>
        <v>664241.9228446167</v>
      </c>
      <c r="CH231" s="977">
        <f t="shared" si="950"/>
        <v>1061816.1286228485</v>
      </c>
      <c r="CI231" s="977">
        <f t="shared" si="950"/>
        <v>744012.87487605785</v>
      </c>
      <c r="CJ231" s="977">
        <f t="shared" si="950"/>
        <v>721792.06627836917</v>
      </c>
      <c r="CK231" s="977">
        <f t="shared" si="950"/>
        <v>640861.77477277815</v>
      </c>
      <c r="CL231" s="977">
        <f t="shared" si="950"/>
        <v>792941.91492346954</v>
      </c>
      <c r="CM231" s="977">
        <f t="shared" si="950"/>
        <v>747040.11621739017</v>
      </c>
      <c r="CN231" s="977">
        <f t="shared" si="950"/>
        <v>908759.39518224529</v>
      </c>
      <c r="CO231" s="977">
        <f t="shared" si="950"/>
        <v>716502.72858908179</v>
      </c>
      <c r="CP231" s="977">
        <f t="shared" si="950"/>
        <v>680922.14142323006</v>
      </c>
      <c r="CQ231" s="1767">
        <f t="shared" si="950"/>
        <v>739972.69485575357</v>
      </c>
    </row>
    <row r="232" spans="1:95">
      <c r="B232" s="3313"/>
      <c r="C232" s="3314"/>
      <c r="D232" s="236" t="s">
        <v>765</v>
      </c>
      <c r="E232" s="747"/>
      <c r="F232" s="335"/>
      <c r="G232" s="460"/>
      <c r="H232" s="460"/>
      <c r="I232" s="460"/>
      <c r="J232" s="460"/>
      <c r="K232" s="460"/>
      <c r="L232" s="460"/>
      <c r="M232" s="460"/>
      <c r="N232" s="460"/>
      <c r="O232" s="460"/>
      <c r="P232" s="460"/>
      <c r="Q232" s="460"/>
      <c r="R232" s="747"/>
      <c r="S232" s="1886"/>
      <c r="T232" s="1886"/>
      <c r="U232" s="1886"/>
      <c r="V232" s="1886"/>
      <c r="W232" s="1886"/>
      <c r="X232" s="1886"/>
      <c r="Y232" s="1886"/>
      <c r="Z232" s="1886"/>
      <c r="AA232" s="1886"/>
      <c r="AB232" s="1886"/>
      <c r="AC232" s="1886"/>
      <c r="AD232" s="1886"/>
      <c r="AE232" s="747">
        <f t="shared" ref="AE232:BJ232" si="952">(AE220-AE221)/(AE8-AE9)*1000000</f>
        <v>953936.1728802959</v>
      </c>
      <c r="AF232" s="976">
        <f t="shared" si="952"/>
        <v>823778.07739217672</v>
      </c>
      <c r="AG232" s="977">
        <f t="shared" si="952"/>
        <v>1077615.0192314356</v>
      </c>
      <c r="AH232" s="977">
        <f t="shared" si="952"/>
        <v>683389.82119004254</v>
      </c>
      <c r="AI232" s="977">
        <f t="shared" si="952"/>
        <v>766785.55590147781</v>
      </c>
      <c r="AJ232" s="977">
        <f t="shared" si="952"/>
        <v>836290.23780487815</v>
      </c>
      <c r="AK232" s="977">
        <f t="shared" si="952"/>
        <v>1017475.5330029286</v>
      </c>
      <c r="AL232" s="977">
        <f t="shared" si="952"/>
        <v>753219.88919618155</v>
      </c>
      <c r="AM232" s="211">
        <f t="shared" si="952"/>
        <v>1077111.7055805768</v>
      </c>
      <c r="AN232" s="211">
        <f t="shared" si="952"/>
        <v>769904.63158703933</v>
      </c>
      <c r="AO232" s="211">
        <f t="shared" si="952"/>
        <v>1253679.3484331751</v>
      </c>
      <c r="AP232" s="211">
        <f t="shared" si="952"/>
        <v>1121180.0384327737</v>
      </c>
      <c r="AQ232" s="1883">
        <f t="shared" si="952"/>
        <v>1057949.664691492</v>
      </c>
      <c r="AR232" s="747">
        <f t="shared" si="952"/>
        <v>1034586.7048174978</v>
      </c>
      <c r="AS232" s="976">
        <f t="shared" si="952"/>
        <v>942562.58141795662</v>
      </c>
      <c r="AT232" s="977">
        <f t="shared" si="952"/>
        <v>1194990.9120666443</v>
      </c>
      <c r="AU232" s="977">
        <f t="shared" si="952"/>
        <v>953818.15699063428</v>
      </c>
      <c r="AV232" s="977">
        <f t="shared" si="952"/>
        <v>979034.31056359597</v>
      </c>
      <c r="AW232" s="977">
        <f t="shared" si="952"/>
        <v>992132.9618906934</v>
      </c>
      <c r="AX232" s="977">
        <f t="shared" si="952"/>
        <v>772433.87812409375</v>
      </c>
      <c r="AY232" s="977">
        <f t="shared" si="952"/>
        <v>694286.21573696681</v>
      </c>
      <c r="AZ232" s="211">
        <f t="shared" si="952"/>
        <v>1308198.4912075358</v>
      </c>
      <c r="BA232" s="211">
        <f t="shared" si="952"/>
        <v>790997.46160488529</v>
      </c>
      <c r="BB232" s="211">
        <f t="shared" si="952"/>
        <v>1247442.4511283441</v>
      </c>
      <c r="BC232" s="211">
        <f t="shared" si="952"/>
        <v>1031512.8949323109</v>
      </c>
      <c r="BD232" s="1883">
        <f t="shared" si="952"/>
        <v>1090362.378161534</v>
      </c>
      <c r="BE232" s="747">
        <f t="shared" si="952"/>
        <v>1580233.6282645182</v>
      </c>
      <c r="BF232" s="976">
        <f t="shared" si="952"/>
        <v>2452486.6948572458</v>
      </c>
      <c r="BG232" s="977">
        <f t="shared" si="952"/>
        <v>1559108.5566876619</v>
      </c>
      <c r="BH232" s="977">
        <f t="shared" si="952"/>
        <v>1421964.5402644519</v>
      </c>
      <c r="BI232" s="977">
        <f t="shared" si="952"/>
        <v>1078142.863124531</v>
      </c>
      <c r="BJ232" s="977">
        <f t="shared" si="952"/>
        <v>913389.37209201208</v>
      </c>
      <c r="BK232" s="977">
        <f t="shared" ref="BK232:BQ232" si="953">(BK220-BK221)/(BK8-BK9)*1000000</f>
        <v>2054628.4001523231</v>
      </c>
      <c r="BL232" s="977">
        <f t="shared" si="953"/>
        <v>1395119.8699672569</v>
      </c>
      <c r="BM232" s="211">
        <f t="shared" si="953"/>
        <v>1383164.5968620055</v>
      </c>
      <c r="BN232" s="211">
        <f t="shared" si="953"/>
        <v>1573959.6693559866</v>
      </c>
      <c r="BO232" s="211">
        <f t="shared" si="953"/>
        <v>1796040.6531530265</v>
      </c>
      <c r="BP232" s="211">
        <f t="shared" si="953"/>
        <v>1345040.6214407557</v>
      </c>
      <c r="BQ232" s="1883">
        <f t="shared" si="953"/>
        <v>1655680.7138219171</v>
      </c>
      <c r="BR232" s="747">
        <f>(BR220-BR221-BR230)/(BR8-BR9)*1000000</f>
        <v>1293446.2195217551</v>
      </c>
      <c r="BS232" s="976">
        <f t="shared" ref="BS232:CQ232" si="954">(BS220-BS221-BS230)/(BS8-BS9)*1000000</f>
        <v>1995644.4767287618</v>
      </c>
      <c r="BT232" s="977">
        <f t="shared" si="954"/>
        <v>1702240.4127375085</v>
      </c>
      <c r="BU232" s="977">
        <f t="shared" si="954"/>
        <v>1363443.3097405739</v>
      </c>
      <c r="BV232" s="977">
        <f t="shared" si="954"/>
        <v>911635.27468731371</v>
      </c>
      <c r="BW232" s="977">
        <f t="shared" si="954"/>
        <v>859136.80496465473</v>
      </c>
      <c r="BX232" s="977">
        <f t="shared" si="954"/>
        <v>1291246.3099147789</v>
      </c>
      <c r="BY232" s="977">
        <f t="shared" si="954"/>
        <v>1309089.0292178148</v>
      </c>
      <c r="BZ232" s="977">
        <f t="shared" si="954"/>
        <v>1126674.9292848432</v>
      </c>
      <c r="CA232" s="977">
        <f t="shared" si="954"/>
        <v>1399400.8590735823</v>
      </c>
      <c r="CB232" s="977">
        <f t="shared" si="954"/>
        <v>1197584.9687087841</v>
      </c>
      <c r="CC232" s="977">
        <f t="shared" si="954"/>
        <v>1267266.1452639163</v>
      </c>
      <c r="CD232" s="1767">
        <f t="shared" ref="CD232" si="955">(CD220-CD221-CD230)/(CD8-CD9)*1000000</f>
        <v>1050631.2529128948</v>
      </c>
      <c r="CE232" s="747">
        <f t="shared" si="954"/>
        <v>1344914.1105699399</v>
      </c>
      <c r="CF232" s="976">
        <f t="shared" si="954"/>
        <v>1332466.1265109961</v>
      </c>
      <c r="CG232" s="977">
        <f t="shared" si="954"/>
        <v>1278490.6871814234</v>
      </c>
      <c r="CH232" s="977">
        <f t="shared" si="954"/>
        <v>1449266.5948665065</v>
      </c>
      <c r="CI232" s="977">
        <f t="shared" si="954"/>
        <v>1270049.2605927614</v>
      </c>
      <c r="CJ232" s="977">
        <f t="shared" si="954"/>
        <v>1234895.4382144273</v>
      </c>
      <c r="CK232" s="977">
        <f t="shared" si="954"/>
        <v>1370315.0943377751</v>
      </c>
      <c r="CL232" s="977">
        <f t="shared" si="954"/>
        <v>1435144.6891340457</v>
      </c>
      <c r="CM232" s="977">
        <f t="shared" si="954"/>
        <v>1271059.8518175299</v>
      </c>
      <c r="CN232" s="977">
        <f t="shared" si="954"/>
        <v>1416344.9334356298</v>
      </c>
      <c r="CO232" s="977">
        <f t="shared" si="954"/>
        <v>1347764.3752044379</v>
      </c>
      <c r="CP232" s="977">
        <f t="shared" si="954"/>
        <v>1297852.0036041432</v>
      </c>
      <c r="CQ232" s="1767">
        <f t="shared" si="954"/>
        <v>1326687.9019605473</v>
      </c>
    </row>
    <row r="233" spans="1:95">
      <c r="B233" s="3313"/>
      <c r="C233" s="3314"/>
      <c r="D233" s="103" t="s">
        <v>15</v>
      </c>
      <c r="E233" s="379">
        <f>E221/E9*1000000</f>
        <v>654389.47979531565</v>
      </c>
      <c r="F233" s="337">
        <v>659968.60884180502</v>
      </c>
      <c r="G233" s="337">
        <v>681095.18097956618</v>
      </c>
      <c r="H233" s="337">
        <v>670038.63023084216</v>
      </c>
      <c r="I233" s="337">
        <v>577117.4353271256</v>
      </c>
      <c r="J233" s="337">
        <v>533421.96224623453</v>
      </c>
      <c r="K233" s="337">
        <v>552295.46882728592</v>
      </c>
      <c r="L233" s="337">
        <v>583827.18733207078</v>
      </c>
      <c r="M233" s="337">
        <v>788483.327092511</v>
      </c>
      <c r="N233" s="337">
        <v>730714.1205627193</v>
      </c>
      <c r="O233" s="337">
        <v>662408.98018131161</v>
      </c>
      <c r="P233" s="337">
        <v>690548.56486269936</v>
      </c>
      <c r="Q233" s="337">
        <v>713947.59924844396</v>
      </c>
      <c r="R233" s="379">
        <f t="shared" ref="R233:AR233" si="956">R221/R9*1000000</f>
        <v>655516.01153238094</v>
      </c>
      <c r="S233" s="337">
        <f t="shared" si="956"/>
        <v>657339.97743950295</v>
      </c>
      <c r="T233" s="337">
        <f t="shared" si="956"/>
        <v>635625.63674274867</v>
      </c>
      <c r="U233" s="337">
        <f t="shared" si="956"/>
        <v>607205.64653486852</v>
      </c>
      <c r="V233" s="337">
        <f t="shared" si="956"/>
        <v>646645.46779731137</v>
      </c>
      <c r="W233" s="337">
        <f t="shared" si="956"/>
        <v>583318.63501688978</v>
      </c>
      <c r="X233" s="337">
        <f t="shared" si="956"/>
        <v>577900.17208200728</v>
      </c>
      <c r="Y233" s="337">
        <f t="shared" si="956"/>
        <v>580191.8375219648</v>
      </c>
      <c r="Z233" s="337">
        <f t="shared" si="956"/>
        <v>733916.25498645252</v>
      </c>
      <c r="AA233" s="337">
        <f t="shared" si="956"/>
        <v>708159.15984405449</v>
      </c>
      <c r="AB233" s="337">
        <f t="shared" si="956"/>
        <v>780354.4150157508</v>
      </c>
      <c r="AC233" s="337">
        <f t="shared" si="956"/>
        <v>688749.94918569375</v>
      </c>
      <c r="AD233" s="337">
        <f t="shared" si="956"/>
        <v>636766.3031545016</v>
      </c>
      <c r="AE233" s="379">
        <f t="shared" si="956"/>
        <v>712002.45099585678</v>
      </c>
      <c r="AF233" s="337">
        <f t="shared" si="956"/>
        <v>575665.9747002821</v>
      </c>
      <c r="AG233" s="337">
        <f t="shared" si="956"/>
        <v>781671.57775937801</v>
      </c>
      <c r="AH233" s="337">
        <f t="shared" si="956"/>
        <v>641937.65674270038</v>
      </c>
      <c r="AI233" s="337">
        <f t="shared" si="956"/>
        <v>595955.0586704429</v>
      </c>
      <c r="AJ233" s="337">
        <f t="shared" si="956"/>
        <v>602527.1008354096</v>
      </c>
      <c r="AK233" s="337">
        <f t="shared" si="956"/>
        <v>611455.79295206454</v>
      </c>
      <c r="AL233" s="337">
        <f t="shared" si="956"/>
        <v>604167.77759197331</v>
      </c>
      <c r="AM233" s="337">
        <f t="shared" si="956"/>
        <v>844247.31126103934</v>
      </c>
      <c r="AN233" s="337">
        <f t="shared" si="956"/>
        <v>713038.42547040619</v>
      </c>
      <c r="AO233" s="337">
        <f t="shared" si="956"/>
        <v>987920.59943015792</v>
      </c>
      <c r="AP233" s="337">
        <f t="shared" si="956"/>
        <v>807331.43115415657</v>
      </c>
      <c r="AQ233" s="337">
        <f t="shared" si="956"/>
        <v>780144.20847384876</v>
      </c>
      <c r="AR233" s="379">
        <f t="shared" si="956"/>
        <v>672665.96653230221</v>
      </c>
      <c r="AS233" s="1517">
        <f>AS210*AS243</f>
        <v>706776.67565943964</v>
      </c>
      <c r="AT233" s="337">
        <f t="shared" ref="AT233:BD233" si="957">AT210*AT243</f>
        <v>873921.80921930342</v>
      </c>
      <c r="AU233" s="337">
        <f t="shared" si="957"/>
        <v>674351.73799101496</v>
      </c>
      <c r="AV233" s="337">
        <f t="shared" si="957"/>
        <v>595127.99865512794</v>
      </c>
      <c r="AW233" s="337">
        <f t="shared" si="957"/>
        <v>483457.34461820475</v>
      </c>
      <c r="AX233" s="337">
        <f t="shared" si="957"/>
        <v>474516.2382072552</v>
      </c>
      <c r="AY233" s="337">
        <f t="shared" si="957"/>
        <v>428565.4193408264</v>
      </c>
      <c r="AZ233" s="337">
        <f t="shared" si="957"/>
        <v>781340.61802014417</v>
      </c>
      <c r="BA233" s="337">
        <f t="shared" si="957"/>
        <v>618152.49875448074</v>
      </c>
      <c r="BB233" s="337">
        <f t="shared" si="957"/>
        <v>887531.45340209908</v>
      </c>
      <c r="BC233" s="337">
        <f t="shared" si="957"/>
        <v>727906.91284236161</v>
      </c>
      <c r="BD233" s="1515">
        <f t="shared" si="957"/>
        <v>669603.27705595759</v>
      </c>
      <c r="BE233" s="379">
        <f>BE221/BE9*1000000</f>
        <v>345077.09754303045</v>
      </c>
      <c r="BF233" s="1833">
        <f>BF210*BF243</f>
        <v>862957.88392474398</v>
      </c>
      <c r="BG233" s="1834">
        <f t="shared" ref="BG233:BQ233" si="958">BG210*BG243</f>
        <v>613942.58267433499</v>
      </c>
      <c r="BH233" s="1834">
        <f t="shared" si="958"/>
        <v>458136.4783483842</v>
      </c>
      <c r="BI233" s="1834">
        <f t="shared" si="958"/>
        <v>310200.11246744788</v>
      </c>
      <c r="BJ233" s="1834">
        <f t="shared" si="958"/>
        <v>276037.77414871438</v>
      </c>
      <c r="BK233" s="1834">
        <f t="shared" si="958"/>
        <v>306083.30910457374</v>
      </c>
      <c r="BL233" s="1834">
        <f t="shared" si="958"/>
        <v>468113.39622471505</v>
      </c>
      <c r="BM233" s="1834">
        <f t="shared" si="958"/>
        <v>377337.66489063372</v>
      </c>
      <c r="BN233" s="1834">
        <f t="shared" si="958"/>
        <v>197435.64655509882</v>
      </c>
      <c r="BO233" s="1834">
        <f t="shared" si="958"/>
        <v>121605.26863804665</v>
      </c>
      <c r="BP233" s="1834">
        <f t="shared" si="958"/>
        <v>45285.336005902609</v>
      </c>
      <c r="BQ233" s="1835">
        <f t="shared" si="958"/>
        <v>85891.089337175785</v>
      </c>
      <c r="BR233" s="379">
        <f>BR221/BR9*1000000</f>
        <v>6854.2994722456215</v>
      </c>
      <c r="BS233" s="1859">
        <f t="shared" ref="BS233:BS241" si="959">BS210*BS243</f>
        <v>40118.155193457831</v>
      </c>
      <c r="BT233" s="1860">
        <f t="shared" ref="BT233:BX233" si="960">BT210*BT243</f>
        <v>23804.193561319815</v>
      </c>
      <c r="BU233" s="1860">
        <f t="shared" si="960"/>
        <v>12737.841695026898</v>
      </c>
      <c r="BV233" s="1860">
        <f t="shared" si="960"/>
        <v>3480.9241596444112</v>
      </c>
      <c r="BW233" s="1860">
        <f t="shared" si="960"/>
        <v>1337.0406783826963</v>
      </c>
      <c r="BX233" s="1860">
        <f t="shared" si="960"/>
        <v>2441.7936823503424</v>
      </c>
      <c r="BY233" s="1860">
        <f t="shared" ref="BY233:CC233" si="961">BY210*BY243</f>
        <v>505.37780803267538</v>
      </c>
      <c r="BZ233" s="1860">
        <f t="shared" si="961"/>
        <v>1180.8022435625053</v>
      </c>
      <c r="CA233" s="1860">
        <f t="shared" si="961"/>
        <v>1872.3010020653253</v>
      </c>
      <c r="CB233" s="1860">
        <f t="shared" si="961"/>
        <v>4843.8727566818143</v>
      </c>
      <c r="CC233" s="1860">
        <f t="shared" si="961"/>
        <v>2223.3944531465954</v>
      </c>
      <c r="CD233" s="1861">
        <f t="shared" ref="CD233" si="962">CD210*CD243</f>
        <v>2568.9788550799381</v>
      </c>
      <c r="CE233" s="379">
        <f>CE221/CE9*1000000</f>
        <v>2728.1534823963325</v>
      </c>
      <c r="CF233" s="2483">
        <f t="shared" ref="CF233:CQ233" si="963">CF221*1000000/CF9</f>
        <v>2333.7907737781061</v>
      </c>
      <c r="CG233" s="2251">
        <f t="shared" si="963"/>
        <v>3181.8966279212054</v>
      </c>
      <c r="CH233" s="2251">
        <f t="shared" si="963"/>
        <v>2622.7919779265121</v>
      </c>
      <c r="CI233" s="2251">
        <f t="shared" si="963"/>
        <v>2873.3346673273263</v>
      </c>
      <c r="CJ233" s="2251">
        <f t="shared" si="963"/>
        <v>2881.363921182774</v>
      </c>
      <c r="CK233" s="2251">
        <f t="shared" si="963"/>
        <v>2842.2868518867203</v>
      </c>
      <c r="CL233" s="2251">
        <f t="shared" si="963"/>
        <v>2374.9861859662474</v>
      </c>
      <c r="CM233" s="2251">
        <f t="shared" si="963"/>
        <v>2973.0841765209916</v>
      </c>
      <c r="CN233" s="2251">
        <f t="shared" si="963"/>
        <v>2487.7135553468729</v>
      </c>
      <c r="CO233" s="2251">
        <f t="shared" si="963"/>
        <v>2644.3157307432616</v>
      </c>
      <c r="CP233" s="2251">
        <f t="shared" si="963"/>
        <v>2598.4688156745801</v>
      </c>
      <c r="CQ233" s="2252">
        <f t="shared" si="963"/>
        <v>3276.1884793498989</v>
      </c>
    </row>
    <row r="234" spans="1:95">
      <c r="B234" s="3313"/>
      <c r="C234" s="3314"/>
      <c r="D234" s="101" t="s">
        <v>16</v>
      </c>
      <c r="E234" s="378">
        <f>E222/E10*1000000</f>
        <v>843342.92505670339</v>
      </c>
      <c r="F234" s="335">
        <v>946959.1311307078</v>
      </c>
      <c r="G234" s="335">
        <v>966665.40179710137</v>
      </c>
      <c r="H234" s="335">
        <v>898926.04537266376</v>
      </c>
      <c r="I234" s="335">
        <v>846578.21480818815</v>
      </c>
      <c r="J234" s="335">
        <v>713869.01088611095</v>
      </c>
      <c r="K234" s="335">
        <v>674829.41022998479</v>
      </c>
      <c r="L234" s="335">
        <v>691610.56243654829</v>
      </c>
      <c r="M234" s="335">
        <v>895857.6273674242</v>
      </c>
      <c r="N234" s="335">
        <v>857217.04902141471</v>
      </c>
      <c r="O234" s="335">
        <v>882113.76076919166</v>
      </c>
      <c r="P234" s="335">
        <v>898216.74263027764</v>
      </c>
      <c r="Q234" s="335">
        <v>867026.00383795309</v>
      </c>
      <c r="R234" s="378">
        <f>R222/R10*1000000</f>
        <v>905648.10119503434</v>
      </c>
      <c r="S234" s="335">
        <f t="shared" ref="S234:AD234" si="964">S222/(S10+S18)*1000000</f>
        <v>840363.77427602396</v>
      </c>
      <c r="T234" s="335">
        <f t="shared" si="964"/>
        <v>741448.15464149253</v>
      </c>
      <c r="U234" s="335">
        <f t="shared" si="964"/>
        <v>720875.68021468399</v>
      </c>
      <c r="V234" s="335">
        <f t="shared" si="964"/>
        <v>821280.1435465028</v>
      </c>
      <c r="W234" s="335">
        <f t="shared" si="964"/>
        <v>792492.00569859601</v>
      </c>
      <c r="X234" s="335">
        <f t="shared" si="964"/>
        <v>761332.45728926465</v>
      </c>
      <c r="Y234" s="335">
        <f t="shared" si="964"/>
        <v>762045.15164683224</v>
      </c>
      <c r="Z234" s="335">
        <f t="shared" si="964"/>
        <v>964952.07410717767</v>
      </c>
      <c r="AA234" s="335">
        <f t="shared" si="964"/>
        <v>937227.15784199978</v>
      </c>
      <c r="AB234" s="335">
        <f t="shared" si="964"/>
        <v>1001492.9673477728</v>
      </c>
      <c r="AC234" s="335">
        <f t="shared" si="964"/>
        <v>944846.09319899254</v>
      </c>
      <c r="AD234" s="335">
        <f t="shared" si="964"/>
        <v>835648.70525418909</v>
      </c>
      <c r="AE234" s="378">
        <f>AE222/AE10*1000000</f>
        <v>905648.59673824802</v>
      </c>
      <c r="AF234" s="335">
        <f t="shared" ref="AF234:AQ234" si="965">AF222/(AF10+AF18)*1000000</f>
        <v>750549.86544546206</v>
      </c>
      <c r="AG234" s="335">
        <f t="shared" si="965"/>
        <v>934923.85356158577</v>
      </c>
      <c r="AH234" s="335">
        <f t="shared" si="965"/>
        <v>795356.38913285325</v>
      </c>
      <c r="AI234" s="335">
        <f t="shared" si="965"/>
        <v>692389.34016818344</v>
      </c>
      <c r="AJ234" s="335">
        <f t="shared" si="965"/>
        <v>684853.51942319004</v>
      </c>
      <c r="AK234" s="335">
        <f t="shared" si="965"/>
        <v>623900.7203482046</v>
      </c>
      <c r="AL234" s="335">
        <f t="shared" si="965"/>
        <v>621782.21620770055</v>
      </c>
      <c r="AM234" s="335">
        <f t="shared" si="965"/>
        <v>912325.62901655305</v>
      </c>
      <c r="AN234" s="335">
        <f t="shared" si="965"/>
        <v>785318.75522012589</v>
      </c>
      <c r="AO234" s="335">
        <f t="shared" si="965"/>
        <v>1209142.6923961241</v>
      </c>
      <c r="AP234" s="335">
        <f t="shared" si="965"/>
        <v>959507.67154471541</v>
      </c>
      <c r="AQ234" s="335">
        <f t="shared" si="965"/>
        <v>899214.22646402079</v>
      </c>
      <c r="AR234" s="378">
        <f>AR222/AR10*1000000</f>
        <v>1018423.4044869784</v>
      </c>
      <c r="AS234" s="923">
        <f t="shared" ref="AS234:BD234" si="966">AS211*AS244</f>
        <v>863196.74622933555</v>
      </c>
      <c r="AT234" s="335">
        <f t="shared" si="966"/>
        <v>1135242.4229221905</v>
      </c>
      <c r="AU234" s="335">
        <f t="shared" si="966"/>
        <v>894936.29455460375</v>
      </c>
      <c r="AV234" s="335">
        <f t="shared" si="966"/>
        <v>881264.47053207748</v>
      </c>
      <c r="AW234" s="335">
        <f t="shared" si="966"/>
        <v>802498.66417866934</v>
      </c>
      <c r="AX234" s="335">
        <f t="shared" si="966"/>
        <v>766677.80413404328</v>
      </c>
      <c r="AY234" s="335">
        <f t="shared" si="966"/>
        <v>681674.39973290206</v>
      </c>
      <c r="AZ234" s="335">
        <f t="shared" si="966"/>
        <v>1247951.6245930688</v>
      </c>
      <c r="BA234" s="335">
        <f t="shared" si="966"/>
        <v>869076.34230635641</v>
      </c>
      <c r="BB234" s="335">
        <f t="shared" si="966"/>
        <v>1326529.0448605064</v>
      </c>
      <c r="BC234" s="335">
        <f t="shared" si="966"/>
        <v>935020.78516370838</v>
      </c>
      <c r="BD234" s="1516">
        <f t="shared" si="966"/>
        <v>831678.39375867974</v>
      </c>
      <c r="BE234" s="378">
        <f>BE222/BE10*1000000</f>
        <v>1062446.5176559216</v>
      </c>
      <c r="BF234" s="1833">
        <f>BF211*BF244</f>
        <v>1292038.2015943311</v>
      </c>
      <c r="BG234" s="1834">
        <f t="shared" ref="BG234:BQ234" si="967">BG211*BG244</f>
        <v>986795.08044894994</v>
      </c>
      <c r="BH234" s="1834">
        <f t="shared" si="967"/>
        <v>860371.41845052701</v>
      </c>
      <c r="BI234" s="1834">
        <f t="shared" si="967"/>
        <v>808531.41421906825</v>
      </c>
      <c r="BJ234" s="1834">
        <f t="shared" si="967"/>
        <v>787198.10092640901</v>
      </c>
      <c r="BK234" s="1834">
        <f t="shared" si="967"/>
        <v>767452.50129013765</v>
      </c>
      <c r="BL234" s="1834">
        <f t="shared" si="967"/>
        <v>1403384.3559370257</v>
      </c>
      <c r="BM234" s="1834">
        <f t="shared" si="967"/>
        <v>908420.60914581537</v>
      </c>
      <c r="BN234" s="1834">
        <f t="shared" si="967"/>
        <v>1354072.8492643277</v>
      </c>
      <c r="BO234" s="1834">
        <f t="shared" si="967"/>
        <v>1081599.1956867951</v>
      </c>
      <c r="BP234" s="1834">
        <f t="shared" si="967"/>
        <v>992604.63117205154</v>
      </c>
      <c r="BQ234" s="1835">
        <f t="shared" si="967"/>
        <v>950353.67997982004</v>
      </c>
      <c r="BR234" s="378">
        <f>BR222/BR10*1000000</f>
        <v>1026570.0651352479</v>
      </c>
      <c r="BS234" s="1859">
        <f t="shared" si="959"/>
        <v>924576.94650089485</v>
      </c>
      <c r="BT234" s="1860">
        <f t="shared" ref="BT234:BX234" si="968">BT211*BT244</f>
        <v>1248543.1437394721</v>
      </c>
      <c r="BU234" s="1860">
        <f t="shared" si="968"/>
        <v>827862.61015959515</v>
      </c>
      <c r="BV234" s="1860">
        <f t="shared" si="968"/>
        <v>808870.20680888009</v>
      </c>
      <c r="BW234" s="1860">
        <f t="shared" si="968"/>
        <v>798089.47664287221</v>
      </c>
      <c r="BX234" s="1860">
        <f t="shared" si="968"/>
        <v>685573.58083752997</v>
      </c>
      <c r="BY234" s="1860">
        <f t="shared" ref="BY234:CC234" si="969">BY211*BY244</f>
        <v>1342050.4349258651</v>
      </c>
      <c r="BZ234" s="1860">
        <f t="shared" si="969"/>
        <v>951322.0106342088</v>
      </c>
      <c r="CA234" s="1860">
        <f t="shared" si="969"/>
        <v>1293522.2584358687</v>
      </c>
      <c r="CB234" s="1860">
        <f t="shared" si="969"/>
        <v>1169172.8418429985</v>
      </c>
      <c r="CC234" s="1860">
        <f t="shared" si="969"/>
        <v>1008032.0691519867</v>
      </c>
      <c r="CD234" s="1861">
        <f t="shared" ref="CD234" si="970">CD211*CD244</f>
        <v>887692.61037115974</v>
      </c>
      <c r="CE234" s="378">
        <f>CE222/CE10*1000000</f>
        <v>960985.03977849707</v>
      </c>
      <c r="CF234" s="2483">
        <v>943068.48543091281</v>
      </c>
      <c r="CG234" s="2251">
        <v>844419.86236278701</v>
      </c>
      <c r="CH234" s="2251">
        <v>1273514.0066142615</v>
      </c>
      <c r="CI234" s="2251">
        <v>825149.94877821882</v>
      </c>
      <c r="CJ234" s="2251">
        <v>814051.26617572969</v>
      </c>
      <c r="CK234" s="2251">
        <v>699285.05245428055</v>
      </c>
      <c r="CL234" s="2251">
        <v>1273514.0066142615</v>
      </c>
      <c r="CM234" s="2251">
        <v>795726.53244275402</v>
      </c>
      <c r="CN234" s="2251">
        <v>1273514.0066142615</v>
      </c>
      <c r="CO234" s="2251">
        <v>795726.53244275402</v>
      </c>
      <c r="CP234" s="2251">
        <v>795726.53244275402</v>
      </c>
      <c r="CQ234" s="2252">
        <v>795726.53244275402</v>
      </c>
    </row>
    <row r="235" spans="1:95">
      <c r="B235" s="3313"/>
      <c r="C235" s="3314"/>
      <c r="D235" s="144" t="s">
        <v>574</v>
      </c>
      <c r="E235" s="378"/>
      <c r="F235" s="335"/>
      <c r="G235" s="335"/>
      <c r="H235" s="335"/>
      <c r="I235" s="335"/>
      <c r="J235" s="335"/>
      <c r="K235" s="335"/>
      <c r="L235" s="335"/>
      <c r="M235" s="335"/>
      <c r="N235" s="335"/>
      <c r="O235" s="335"/>
      <c r="P235" s="335"/>
      <c r="Q235" s="335"/>
      <c r="R235" s="378"/>
      <c r="S235" s="396"/>
      <c r="T235" s="396"/>
      <c r="U235" s="396"/>
      <c r="V235" s="396"/>
      <c r="W235" s="396"/>
      <c r="X235" s="396"/>
      <c r="Y235" s="396"/>
      <c r="Z235" s="396"/>
      <c r="AA235" s="396"/>
      <c r="AB235" s="396"/>
      <c r="AC235" s="396"/>
      <c r="AD235" s="396"/>
      <c r="AE235" s="378"/>
      <c r="AF235" s="396"/>
      <c r="AG235" s="396"/>
      <c r="AH235" s="396"/>
      <c r="AI235" s="396"/>
      <c r="AJ235" s="396"/>
      <c r="AK235" s="396"/>
      <c r="AL235" s="396"/>
      <c r="AM235" s="396"/>
      <c r="AN235" s="396"/>
      <c r="AO235" s="396"/>
      <c r="AP235" s="396"/>
      <c r="AQ235" s="396"/>
      <c r="AR235" s="378"/>
      <c r="AS235" s="923"/>
      <c r="AT235" s="335"/>
      <c r="AU235" s="335"/>
      <c r="AV235" s="335"/>
      <c r="AW235" s="335"/>
      <c r="AX235" s="335"/>
      <c r="AY235" s="335"/>
      <c r="AZ235" s="335"/>
      <c r="BA235" s="335"/>
      <c r="BB235" s="335"/>
      <c r="BC235" s="335"/>
      <c r="BD235" s="1516"/>
      <c r="BE235" s="378"/>
      <c r="BF235" s="1833"/>
      <c r="BG235" s="1834"/>
      <c r="BH235" s="1834"/>
      <c r="BI235" s="1834"/>
      <c r="BJ235" s="1834"/>
      <c r="BK235" s="1834"/>
      <c r="BL235" s="1834"/>
      <c r="BM235" s="1834"/>
      <c r="BN235" s="1834"/>
      <c r="BO235" s="1834"/>
      <c r="BP235" s="1834"/>
      <c r="BQ235" s="1835"/>
      <c r="BR235" s="378">
        <f>BR223/BR11*1000000</f>
        <v>895061.06346749223</v>
      </c>
      <c r="BS235" s="1859">
        <f t="shared" si="959"/>
        <v>645413.60360360355</v>
      </c>
      <c r="BT235" s="1860">
        <f t="shared" ref="BT235:BX235" si="971">BT212*BT245</f>
        <v>1126946.1953352769</v>
      </c>
      <c r="BU235" s="1860">
        <f>BU212*BU245</f>
        <v>705994.56410256412</v>
      </c>
      <c r="BV235" s="1860">
        <f t="shared" si="971"/>
        <v>743538.7295081967</v>
      </c>
      <c r="BW235" s="1860">
        <f t="shared" si="971"/>
        <v>704878.25730994169</v>
      </c>
      <c r="BX235" s="1860">
        <f t="shared" si="971"/>
        <v>487109.35772357724</v>
      </c>
      <c r="BY235" s="1860">
        <f t="shared" ref="BY235:CC235" si="972">BY212*BY245</f>
        <v>1083862.9514925375</v>
      </c>
      <c r="BZ235" s="1860">
        <f t="shared" si="972"/>
        <v>854307.2</v>
      </c>
      <c r="CA235" s="1860">
        <f t="shared" si="972"/>
        <v>1166915.0202020202</v>
      </c>
      <c r="CB235" s="1860">
        <f t="shared" si="972"/>
        <v>944337.19354838715</v>
      </c>
      <c r="CC235" s="1860">
        <f t="shared" si="972"/>
        <v>688718.17692307697</v>
      </c>
      <c r="CD235" s="1861">
        <f t="shared" ref="CD235" si="973">CD212*CD245</f>
        <v>740803.43243243231</v>
      </c>
      <c r="CE235" s="378">
        <f>CE223/CE11*1000000</f>
        <v>860535.67527558038</v>
      </c>
      <c r="CF235" s="2483">
        <v>658321.87567567558</v>
      </c>
      <c r="CG235" s="2251">
        <v>720114.45538461546</v>
      </c>
      <c r="CH235" s="2251">
        <v>1149485.1192419825</v>
      </c>
      <c r="CI235" s="2251">
        <v>758409.50409836066</v>
      </c>
      <c r="CJ235" s="2251">
        <v>718975.82245614054</v>
      </c>
      <c r="CK235" s="2251">
        <v>496851.54487804876</v>
      </c>
      <c r="CL235" s="2251">
        <v>1149485.1192419825</v>
      </c>
      <c r="CM235" s="2251">
        <v>673587.8317042914</v>
      </c>
      <c r="CN235" s="2251">
        <v>1149485.1192419825</v>
      </c>
      <c r="CO235" s="2251">
        <v>673587.8317042914</v>
      </c>
      <c r="CP235" s="2251">
        <v>673587.8317042914</v>
      </c>
      <c r="CQ235" s="2252">
        <v>673587.8317042914</v>
      </c>
    </row>
    <row r="236" spans="1:95" hidden="1">
      <c r="B236" s="3313"/>
      <c r="C236" s="3314"/>
      <c r="D236" s="203" t="s">
        <v>47</v>
      </c>
      <c r="E236" s="380">
        <f>E224/E13*1000000</f>
        <v>519880.22280300548</v>
      </c>
      <c r="F236" s="338">
        <v>492377.9214285714</v>
      </c>
      <c r="G236" s="338">
        <v>532088.79919273453</v>
      </c>
      <c r="H236" s="338">
        <v>578631.18970189698</v>
      </c>
      <c r="I236" s="338">
        <v>403586.1886792453</v>
      </c>
      <c r="J236" s="338"/>
      <c r="K236" s="338"/>
      <c r="L236" s="338"/>
      <c r="M236" s="338"/>
      <c r="N236" s="338"/>
      <c r="O236" s="338"/>
      <c r="P236" s="338"/>
      <c r="Q236" s="338"/>
      <c r="R236" s="380" t="e">
        <f>R224/R13*1000000</f>
        <v>#DIV/0!</v>
      </c>
      <c r="S236" s="683"/>
      <c r="T236" s="462"/>
      <c r="U236" s="462"/>
      <c r="V236" s="462"/>
      <c r="W236" s="462"/>
      <c r="X236" s="462"/>
      <c r="Y236" s="462"/>
      <c r="Z236" s="462"/>
      <c r="AA236" s="462"/>
      <c r="AB236" s="462"/>
      <c r="AC236" s="462"/>
      <c r="AD236" s="462"/>
      <c r="AE236" s="380" t="e">
        <f>AE224/AE13*1000000</f>
        <v>#DIV/0!</v>
      </c>
      <c r="AF236" s="462"/>
      <c r="AG236" s="462"/>
      <c r="AH236" s="462"/>
      <c r="AI236" s="462"/>
      <c r="AJ236" s="462"/>
      <c r="AK236" s="462"/>
      <c r="AL236" s="462"/>
      <c r="AM236" s="462"/>
      <c r="AN236" s="462"/>
      <c r="AO236" s="462"/>
      <c r="AP236" s="462"/>
      <c r="AQ236" s="462"/>
      <c r="AR236" s="380" t="e">
        <f>AR224/AR13*1000000</f>
        <v>#DIV/0!</v>
      </c>
      <c r="AS236" s="686">
        <f t="shared" ref="AS236:BD236" si="974">AS213*AS246</f>
        <v>0</v>
      </c>
      <c r="AT236" s="338">
        <f t="shared" si="974"/>
        <v>0</v>
      </c>
      <c r="AU236" s="338">
        <f t="shared" si="974"/>
        <v>0</v>
      </c>
      <c r="AV236" s="338">
        <f t="shared" si="974"/>
        <v>0</v>
      </c>
      <c r="AW236" s="338">
        <f t="shared" si="974"/>
        <v>0</v>
      </c>
      <c r="AX236" s="338">
        <f t="shared" si="974"/>
        <v>0</v>
      </c>
      <c r="AY236" s="338">
        <f t="shared" si="974"/>
        <v>0</v>
      </c>
      <c r="AZ236" s="338">
        <f t="shared" si="974"/>
        <v>0</v>
      </c>
      <c r="BA236" s="338">
        <f t="shared" si="974"/>
        <v>0</v>
      </c>
      <c r="BB236" s="338">
        <f t="shared" si="974"/>
        <v>0</v>
      </c>
      <c r="BC236" s="338">
        <f t="shared" si="974"/>
        <v>0</v>
      </c>
      <c r="BD236" s="1522">
        <f t="shared" si="974"/>
        <v>0</v>
      </c>
      <c r="BE236" s="380" t="e">
        <f>BE224/BE13*1000000</f>
        <v>#DIV/0!</v>
      </c>
      <c r="BF236" s="1836">
        <f>IFERROR(BF213*BF246,0)</f>
        <v>0</v>
      </c>
      <c r="BG236" s="1834">
        <f t="shared" ref="BG236:BQ236" si="975">IFERROR(BG213*BG246,0)</f>
        <v>0</v>
      </c>
      <c r="BH236" s="1834">
        <f t="shared" si="975"/>
        <v>0</v>
      </c>
      <c r="BI236" s="1834">
        <f t="shared" si="975"/>
        <v>0</v>
      </c>
      <c r="BJ236" s="1834">
        <f t="shared" si="975"/>
        <v>0</v>
      </c>
      <c r="BK236" s="1834">
        <f t="shared" si="975"/>
        <v>0</v>
      </c>
      <c r="BL236" s="1834">
        <f t="shared" si="975"/>
        <v>0</v>
      </c>
      <c r="BM236" s="1834">
        <f t="shared" si="975"/>
        <v>0</v>
      </c>
      <c r="BN236" s="1834">
        <f t="shared" si="975"/>
        <v>0</v>
      </c>
      <c r="BO236" s="1834">
        <f t="shared" si="975"/>
        <v>0</v>
      </c>
      <c r="BP236" s="1834">
        <f t="shared" si="975"/>
        <v>0</v>
      </c>
      <c r="BQ236" s="1835">
        <f t="shared" si="975"/>
        <v>0</v>
      </c>
      <c r="BR236" s="380" t="e">
        <f>BR224/BR13*1000000</f>
        <v>#DIV/0!</v>
      </c>
      <c r="BS236" s="1859">
        <f t="shared" si="959"/>
        <v>0</v>
      </c>
      <c r="BT236" s="1860">
        <f t="shared" ref="BT236:BX236" si="976">BT213*BT246</f>
        <v>0</v>
      </c>
      <c r="BU236" s="1860">
        <f t="shared" si="976"/>
        <v>0</v>
      </c>
      <c r="BV236" s="1860">
        <f t="shared" si="976"/>
        <v>0</v>
      </c>
      <c r="BW236" s="1860">
        <f t="shared" si="976"/>
        <v>0</v>
      </c>
      <c r="BX236" s="1860">
        <f t="shared" si="976"/>
        <v>0</v>
      </c>
      <c r="BY236" s="1860">
        <f t="shared" ref="BY236:CC236" si="977">BY213*BY246</f>
        <v>0</v>
      </c>
      <c r="BZ236" s="1860">
        <f t="shared" si="977"/>
        <v>0</v>
      </c>
      <c r="CA236" s="1860">
        <f t="shared" si="977"/>
        <v>0</v>
      </c>
      <c r="CB236" s="1860">
        <f t="shared" si="977"/>
        <v>0</v>
      </c>
      <c r="CC236" s="1860">
        <f t="shared" si="977"/>
        <v>0</v>
      </c>
      <c r="CD236" s="1861">
        <f t="shared" ref="CD236" si="978">CD213*CD246</f>
        <v>0</v>
      </c>
      <c r="CE236" s="378" t="e">
        <f>CE224/CE13*1000000</f>
        <v>#DIV/0!</v>
      </c>
      <c r="CF236" s="2483">
        <v>0</v>
      </c>
      <c r="CG236" s="2251">
        <v>0</v>
      </c>
      <c r="CH236" s="2251">
        <v>0</v>
      </c>
      <c r="CI236" s="2251">
        <v>0</v>
      </c>
      <c r="CJ236" s="2251">
        <v>0</v>
      </c>
      <c r="CK236" s="2251">
        <v>0</v>
      </c>
      <c r="CL236" s="2251">
        <v>0</v>
      </c>
      <c r="CM236" s="2251">
        <v>0</v>
      </c>
      <c r="CN236" s="2251">
        <v>0</v>
      </c>
      <c r="CO236" s="2251">
        <v>0</v>
      </c>
      <c r="CP236" s="2251">
        <v>0</v>
      </c>
      <c r="CQ236" s="2252">
        <v>0</v>
      </c>
    </row>
    <row r="237" spans="1:95">
      <c r="B237" s="3313"/>
      <c r="C237" s="3314"/>
      <c r="D237" s="201" t="s">
        <v>680</v>
      </c>
      <c r="E237" s="378">
        <f>E225/E14*1000000</f>
        <v>956110.69613619021</v>
      </c>
      <c r="F237" s="335">
        <v>1176762.3944582336</v>
      </c>
      <c r="G237" s="335">
        <v>1205080.7476681806</v>
      </c>
      <c r="H237" s="335">
        <v>993652.37970259378</v>
      </c>
      <c r="I237" s="335">
        <v>936831.06507420586</v>
      </c>
      <c r="J237" s="335">
        <v>636553.34971680294</v>
      </c>
      <c r="K237" s="335">
        <v>660038.84007433208</v>
      </c>
      <c r="L237" s="335">
        <v>659438.32622631721</v>
      </c>
      <c r="M237" s="335">
        <v>1033478.3777834073</v>
      </c>
      <c r="N237" s="335">
        <v>1087446.4925403877</v>
      </c>
      <c r="O237" s="335">
        <v>1083485.6865230307</v>
      </c>
      <c r="P237" s="335">
        <v>1084669.035347942</v>
      </c>
      <c r="Q237" s="335">
        <v>1095035.2917934961</v>
      </c>
      <c r="R237" s="378">
        <f>R225/R14*1000000</f>
        <v>1037879.8333202146</v>
      </c>
      <c r="S237" s="923">
        <f t="shared" ref="S237:AD237" si="979">S225/S14*1000000</f>
        <v>965410.71385160787</v>
      </c>
      <c r="T237" s="335">
        <f t="shared" si="979"/>
        <v>754357.47697654215</v>
      </c>
      <c r="U237" s="335">
        <f t="shared" si="979"/>
        <v>722890.94083414157</v>
      </c>
      <c r="V237" s="335">
        <f t="shared" si="979"/>
        <v>670717.6037834998</v>
      </c>
      <c r="W237" s="335">
        <f t="shared" si="979"/>
        <v>763529.56160968659</v>
      </c>
      <c r="X237" s="335">
        <f t="shared" si="979"/>
        <v>966783.59923011123</v>
      </c>
      <c r="Y237" s="335">
        <f t="shared" si="979"/>
        <v>1125010.686575904</v>
      </c>
      <c r="Z237" s="335">
        <f t="shared" si="979"/>
        <v>1083623.373910401</v>
      </c>
      <c r="AA237" s="335">
        <f t="shared" si="979"/>
        <v>979554.83870967745</v>
      </c>
      <c r="AB237" s="335">
        <f t="shared" si="979"/>
        <v>1307198.0651895043</v>
      </c>
      <c r="AC237" s="335">
        <f t="shared" si="979"/>
        <v>1535840.040207169</v>
      </c>
      <c r="AD237" s="335">
        <f t="shared" si="979"/>
        <v>1635819.0503763752</v>
      </c>
      <c r="AE237" s="378">
        <f>AE225/AE14*1000000</f>
        <v>727134.54688287689</v>
      </c>
      <c r="AF237" s="335">
        <f t="shared" ref="AF237:AQ237" si="980">AF225/AF14*1000000</f>
        <v>926531.43673965929</v>
      </c>
      <c r="AG237" s="335">
        <f t="shared" si="980"/>
        <v>1050319.2150445017</v>
      </c>
      <c r="AH237" s="335">
        <f t="shared" si="980"/>
        <v>760578.00523399014</v>
      </c>
      <c r="AI237" s="335">
        <f t="shared" si="980"/>
        <v>997157.00947630929</v>
      </c>
      <c r="AJ237" s="335">
        <f t="shared" si="980"/>
        <v>858410.2380360472</v>
      </c>
      <c r="AK237" s="335">
        <f t="shared" si="980"/>
        <v>1320731.3451593507</v>
      </c>
      <c r="AL237" s="335">
        <f t="shared" si="980"/>
        <v>994162.79050847457</v>
      </c>
      <c r="AM237" s="335">
        <f t="shared" si="980"/>
        <v>1139179.1886109284</v>
      </c>
      <c r="AN237" s="335">
        <f t="shared" si="980"/>
        <v>1137355.2169491525</v>
      </c>
      <c r="AO237" s="335">
        <f t="shared" si="980"/>
        <v>222936.4203423305</v>
      </c>
      <c r="AP237" s="335">
        <f t="shared" si="980"/>
        <v>414195.17003567185</v>
      </c>
      <c r="AQ237" s="335">
        <f t="shared" si="980"/>
        <v>668609.68266801408</v>
      </c>
      <c r="AR237" s="378">
        <f>AR225/AR14*1000000</f>
        <v>1257087.9236392085</v>
      </c>
      <c r="AS237" s="923">
        <f t="shared" ref="AS237:BD237" si="981">AS214*AS247</f>
        <v>1046946.73714539</v>
      </c>
      <c r="AT237" s="335">
        <f t="shared" si="981"/>
        <v>1252614.9907817109</v>
      </c>
      <c r="AU237" s="335">
        <f t="shared" si="981"/>
        <v>1071697.5945790082</v>
      </c>
      <c r="AV237" s="335">
        <f t="shared" si="981"/>
        <v>906711.84229717415</v>
      </c>
      <c r="AW237" s="335">
        <f t="shared" si="981"/>
        <v>821055.30878787872</v>
      </c>
      <c r="AX237" s="335">
        <f t="shared" si="981"/>
        <v>758380.67591868655</v>
      </c>
      <c r="AY237" s="335">
        <f t="shared" si="981"/>
        <v>805578.55347091926</v>
      </c>
      <c r="AZ237" s="335">
        <f t="shared" si="981"/>
        <v>1226961.5644346871</v>
      </c>
      <c r="BA237" s="335">
        <f t="shared" si="981"/>
        <v>1076429.1803278688</v>
      </c>
      <c r="BB237" s="335">
        <f t="shared" si="981"/>
        <v>1593755.493174518</v>
      </c>
      <c r="BC237" s="335">
        <f t="shared" si="981"/>
        <v>1448460.4380000001</v>
      </c>
      <c r="BD237" s="1516">
        <f t="shared" si="981"/>
        <v>1227246.9154761902</v>
      </c>
      <c r="BE237" s="378">
        <f>BE225/BE14*1000000</f>
        <v>1341203.0123763322</v>
      </c>
      <c r="BF237" s="1833">
        <f t="shared" ref="BF237:BQ237" si="982">BF214*BF247</f>
        <v>1387383.035762483</v>
      </c>
      <c r="BG237" s="1837">
        <f t="shared" si="982"/>
        <v>1470067.6155765459</v>
      </c>
      <c r="BH237" s="1837">
        <f t="shared" si="982"/>
        <v>1308965.267214508</v>
      </c>
      <c r="BI237" s="1837">
        <f t="shared" si="982"/>
        <v>1010002.0822990261</v>
      </c>
      <c r="BJ237" s="1837">
        <f t="shared" si="982"/>
        <v>982723.43939694518</v>
      </c>
      <c r="BK237" s="1837">
        <f t="shared" si="982"/>
        <v>1204966.2435736677</v>
      </c>
      <c r="BL237" s="1837">
        <f t="shared" si="982"/>
        <v>1397265.9720710057</v>
      </c>
      <c r="BM237" s="1837">
        <f t="shared" si="982"/>
        <v>1218302.631007476</v>
      </c>
      <c r="BN237" s="1837">
        <f t="shared" si="982"/>
        <v>1440091.2860391794</v>
      </c>
      <c r="BO237" s="1837">
        <f t="shared" si="982"/>
        <v>1462660.5912963785</v>
      </c>
      <c r="BP237" s="1837">
        <f t="shared" si="982"/>
        <v>1379908.6975463983</v>
      </c>
      <c r="BQ237" s="1838">
        <f t="shared" si="982"/>
        <v>1224644.315024805</v>
      </c>
      <c r="BR237" s="378">
        <f>BR225/BR14*1000000</f>
        <v>1221831.7521852725</v>
      </c>
      <c r="BS237" s="1859">
        <f t="shared" si="959"/>
        <v>1064653.5797266515</v>
      </c>
      <c r="BT237" s="1860">
        <f t="shared" ref="BT237:BX237" si="983">BT214*BT247</f>
        <v>1217737.4084123222</v>
      </c>
      <c r="BU237" s="1860">
        <f t="shared" si="983"/>
        <v>1013011.4616319912</v>
      </c>
      <c r="BV237" s="1860">
        <f t="shared" si="983"/>
        <v>1036172.4121989121</v>
      </c>
      <c r="BW237" s="1860">
        <f t="shared" si="983"/>
        <v>970982.78856298793</v>
      </c>
      <c r="BX237" s="1860">
        <f t="shared" si="983"/>
        <v>867223.9728907696</v>
      </c>
      <c r="BY237" s="1860">
        <f t="shared" ref="BY237:CC237" si="984">BY214*BY247</f>
        <v>1339244.2197094623</v>
      </c>
      <c r="BZ237" s="1860">
        <f t="shared" si="984"/>
        <v>1205174.0203758446</v>
      </c>
      <c r="CA237" s="1860">
        <f t="shared" si="984"/>
        <v>1457578.1029367396</v>
      </c>
      <c r="CB237" s="1860">
        <f t="shared" si="984"/>
        <v>1351651.0237316564</v>
      </c>
      <c r="CC237" s="1860">
        <f t="shared" si="984"/>
        <v>1308923.8549680419</v>
      </c>
      <c r="CD237" s="1861">
        <f t="shared" ref="CD237" si="985">CD214*CD247</f>
        <v>1291492.485357671</v>
      </c>
      <c r="CE237" s="378">
        <f>CE225/CE14*1000000</f>
        <v>1218498.311530502</v>
      </c>
      <c r="CF237" s="2483">
        <v>1221831.7521852725</v>
      </c>
      <c r="CG237" s="2251">
        <v>1221831.7521852725</v>
      </c>
      <c r="CH237" s="2251">
        <v>1221831.7521852725</v>
      </c>
      <c r="CI237" s="2251">
        <v>1221831.7521852725</v>
      </c>
      <c r="CJ237" s="2251">
        <v>1221831.7521852725</v>
      </c>
      <c r="CK237" s="2251">
        <v>1201831.75218527</v>
      </c>
      <c r="CL237" s="2251">
        <v>1201831.75218527</v>
      </c>
      <c r="CM237" s="2251">
        <v>1221831.7521852725</v>
      </c>
      <c r="CN237" s="2251">
        <v>1221831.7521852725</v>
      </c>
      <c r="CO237" s="2251">
        <v>1221831.7521852725</v>
      </c>
      <c r="CP237" s="2251">
        <v>1221831.7521852725</v>
      </c>
      <c r="CQ237" s="2252">
        <v>1221831.7521852725</v>
      </c>
    </row>
    <row r="238" spans="1:95">
      <c r="B238" s="3313"/>
      <c r="C238" s="3314"/>
      <c r="D238" s="201" t="s">
        <v>331</v>
      </c>
      <c r="E238" s="378">
        <f>E226/E15*1000000</f>
        <v>558780.7603944327</v>
      </c>
      <c r="F238" s="335">
        <v>772194.25433447945</v>
      </c>
      <c r="G238" s="335">
        <v>866244.70023211231</v>
      </c>
      <c r="H238" s="335">
        <v>1012011.7527511896</v>
      </c>
      <c r="I238" s="335">
        <v>502264.88912787847</v>
      </c>
      <c r="J238" s="335">
        <v>439509.9785142857</v>
      </c>
      <c r="K238" s="335">
        <v>273279.22210704227</v>
      </c>
      <c r="L238" s="335">
        <v>362591.06026022305</v>
      </c>
      <c r="M238" s="335">
        <v>703137.50221548043</v>
      </c>
      <c r="N238" s="335">
        <v>588502.94303730794</v>
      </c>
      <c r="O238" s="335">
        <v>649206.49169532279</v>
      </c>
      <c r="P238" s="335">
        <v>453557.8849923911</v>
      </c>
      <c r="Q238" s="335">
        <v>432840.16082630842</v>
      </c>
      <c r="R238" s="378">
        <f>R226/R15*1000000</f>
        <v>852678.32077988295</v>
      </c>
      <c r="S238" s="684">
        <f t="shared" ref="S238:AD238" si="986">S226/S15*1000000</f>
        <v>512194.14590964594</v>
      </c>
      <c r="T238" s="700">
        <f t="shared" si="986"/>
        <v>552264.93614130432</v>
      </c>
      <c r="U238" s="700">
        <f t="shared" si="986"/>
        <v>663570.788700565</v>
      </c>
      <c r="V238" s="700">
        <f t="shared" si="986"/>
        <v>800080.52466367721</v>
      </c>
      <c r="W238" s="700">
        <f t="shared" si="986"/>
        <v>789055.08297320653</v>
      </c>
      <c r="X238" s="700">
        <f t="shared" si="986"/>
        <v>705758.43736578384</v>
      </c>
      <c r="Y238" s="700">
        <f t="shared" si="986"/>
        <v>858317.36055687431</v>
      </c>
      <c r="Z238" s="700">
        <f t="shared" si="986"/>
        <v>989725.57156905648</v>
      </c>
      <c r="AA238" s="700">
        <f t="shared" si="986"/>
        <v>957253.70781671163</v>
      </c>
      <c r="AB238" s="700">
        <f t="shared" si="986"/>
        <v>1028529.7331875343</v>
      </c>
      <c r="AC238" s="700">
        <f t="shared" si="986"/>
        <v>1282425.2437636033</v>
      </c>
      <c r="AD238" s="700">
        <f t="shared" si="986"/>
        <v>1214837.7294493215</v>
      </c>
      <c r="AE238" s="378">
        <f>AE226/AE15*1000000</f>
        <v>1669190.8455723084</v>
      </c>
      <c r="AF238" s="700">
        <f t="shared" ref="AF238:AQ238" si="987">AF226/AF15*1000000</f>
        <v>924741.5803757828</v>
      </c>
      <c r="AG238" s="700">
        <f t="shared" si="987"/>
        <v>984813.37402118824</v>
      </c>
      <c r="AH238" s="700">
        <f t="shared" si="987"/>
        <v>852487.52420701168</v>
      </c>
      <c r="AI238" s="700">
        <f t="shared" si="987"/>
        <v>969691.57741211669</v>
      </c>
      <c r="AJ238" s="700">
        <f t="shared" si="987"/>
        <v>1056094.8284114054</v>
      </c>
      <c r="AK238" s="700">
        <f t="shared" si="987"/>
        <v>969832.05215540179</v>
      </c>
      <c r="AL238" s="700">
        <f t="shared" si="987"/>
        <v>1116169.23062954</v>
      </c>
      <c r="AM238" s="700">
        <f t="shared" si="987"/>
        <v>1078344.6504571903</v>
      </c>
      <c r="AN238" s="700">
        <f t="shared" si="987"/>
        <v>695074.17683429515</v>
      </c>
      <c r="AO238" s="700">
        <f t="shared" si="987"/>
        <v>6732315.1773533421</v>
      </c>
      <c r="AP238" s="700">
        <f t="shared" si="987"/>
        <v>2410184.7080536913</v>
      </c>
      <c r="AQ238" s="700">
        <f t="shared" si="987"/>
        <v>3269118.5393654527</v>
      </c>
      <c r="AR238" s="378">
        <f>AR226/AR15*1000000</f>
        <v>1148642.9192076409</v>
      </c>
      <c r="AS238" s="923">
        <f t="shared" ref="AS238:BD238" si="988">AS215*AS248</f>
        <v>1168548.2219178083</v>
      </c>
      <c r="AT238" s="335">
        <f t="shared" si="988"/>
        <v>1255615.8179775283</v>
      </c>
      <c r="AU238" s="335">
        <f t="shared" si="988"/>
        <v>1519762.6823720555</v>
      </c>
      <c r="AV238" s="335">
        <f t="shared" si="988"/>
        <v>996130.15343915334</v>
      </c>
      <c r="AW238" s="335">
        <f t="shared" si="988"/>
        <v>896914.34832317079</v>
      </c>
      <c r="AX238" s="335">
        <f t="shared" si="988"/>
        <v>857751.57152145647</v>
      </c>
      <c r="AY238" s="335">
        <f t="shared" si="988"/>
        <v>829911.81917631906</v>
      </c>
      <c r="AZ238" s="335">
        <f t="shared" si="988"/>
        <v>1162949.5861909175</v>
      </c>
      <c r="BA238" s="335">
        <f t="shared" si="988"/>
        <v>1230271.5564681727</v>
      </c>
      <c r="BB238" s="335">
        <f t="shared" si="988"/>
        <v>1315479.8629999999</v>
      </c>
      <c r="BC238" s="335">
        <f t="shared" si="988"/>
        <v>1360189.9571694599</v>
      </c>
      <c r="BD238" s="1516">
        <f t="shared" si="988"/>
        <v>1684516.9024745272</v>
      </c>
      <c r="BE238" s="378">
        <f>BE226/BE15*1000000</f>
        <v>1037657.451928659</v>
      </c>
      <c r="BF238" s="1833">
        <f t="shared" ref="BF238:BQ238" si="989">BF215*BF248</f>
        <v>1390404.4288808664</v>
      </c>
      <c r="BG238" s="1834">
        <f t="shared" si="989"/>
        <v>1150100.4063429136</v>
      </c>
      <c r="BH238" s="1834">
        <f t="shared" si="989"/>
        <v>1127047.0076271186</v>
      </c>
      <c r="BI238" s="1834">
        <f t="shared" si="989"/>
        <v>1125343.2603036878</v>
      </c>
      <c r="BJ238" s="1834">
        <f t="shared" si="989"/>
        <v>877842.51523358154</v>
      </c>
      <c r="BK238" s="1834">
        <f t="shared" si="989"/>
        <v>822727.45632333774</v>
      </c>
      <c r="BL238" s="1834">
        <f t="shared" si="989"/>
        <v>999576.04243542429</v>
      </c>
      <c r="BM238" s="1834">
        <f t="shared" si="989"/>
        <v>1014253.8746105919</v>
      </c>
      <c r="BN238" s="1834">
        <f t="shared" si="989"/>
        <v>873999.91159586667</v>
      </c>
      <c r="BO238" s="1834">
        <f t="shared" si="989"/>
        <v>867118.71812184073</v>
      </c>
      <c r="BP238" s="1834">
        <f t="shared" si="989"/>
        <v>926840.12207357876</v>
      </c>
      <c r="BQ238" s="1835">
        <f t="shared" si="989"/>
        <v>1016410.8492871691</v>
      </c>
      <c r="BR238" s="378">
        <f>BR226/BR15*1000000</f>
        <v>5060838.9951067613</v>
      </c>
      <c r="BS238" s="1859">
        <f t="shared" si="959"/>
        <v>885670.83620689681</v>
      </c>
      <c r="BT238" s="1860">
        <f t="shared" ref="BT238:BX238" si="990">BT215*BT248</f>
        <v>3611367.4285714277</v>
      </c>
      <c r="BU238" s="1860">
        <f t="shared" si="990"/>
        <v>53393541.166666664</v>
      </c>
      <c r="BV238" s="1860">
        <f t="shared" si="990"/>
        <v>3354852.4285714286</v>
      </c>
      <c r="BW238" s="1860">
        <f t="shared" si="990"/>
        <v>691999.71656050952</v>
      </c>
      <c r="BX238" s="1860" t="e">
        <f t="shared" si="990"/>
        <v>#DIV/0!</v>
      </c>
      <c r="BY238" s="1860" t="e">
        <f t="shared" ref="BY238:CC238" si="991">BY215*BY248</f>
        <v>#DIV/0!</v>
      </c>
      <c r="BZ238" s="1860" t="e">
        <f t="shared" si="991"/>
        <v>#DIV/0!</v>
      </c>
      <c r="CA238" s="1860" t="e">
        <f t="shared" si="991"/>
        <v>#DIV/0!</v>
      </c>
      <c r="CB238" s="1860" t="e">
        <f t="shared" si="991"/>
        <v>#DIV/0!</v>
      </c>
      <c r="CC238" s="1860" t="e">
        <f t="shared" si="991"/>
        <v>#DIV/0!</v>
      </c>
      <c r="CD238" s="1861" t="e">
        <f t="shared" ref="CD238" si="992">CD215*CD248</f>
        <v>#DIV/0!</v>
      </c>
      <c r="CE238" s="378" t="e">
        <f>CE226/CE15*1000000</f>
        <v>#DIV/0!</v>
      </c>
      <c r="CF238" s="2252">
        <v>660518.93862815876</v>
      </c>
      <c r="CG238" s="2251">
        <f>CF238</f>
        <v>660518.93862815876</v>
      </c>
      <c r="CH238" s="2251">
        <f t="shared" ref="CH238:CO238" si="993">CG238</f>
        <v>660518.93862815876</v>
      </c>
      <c r="CI238" s="2251">
        <f t="shared" si="993"/>
        <v>660518.93862815876</v>
      </c>
      <c r="CJ238" s="2251">
        <f t="shared" si="993"/>
        <v>660518.93862815876</v>
      </c>
      <c r="CK238" s="2251">
        <f t="shared" si="993"/>
        <v>660518.93862815876</v>
      </c>
      <c r="CL238" s="2251">
        <f t="shared" si="993"/>
        <v>660518.93862815876</v>
      </c>
      <c r="CM238" s="2251">
        <f t="shared" si="993"/>
        <v>660518.93862815876</v>
      </c>
      <c r="CN238" s="2251">
        <f t="shared" si="993"/>
        <v>660518.93862815876</v>
      </c>
      <c r="CO238" s="2251">
        <f t="shared" si="993"/>
        <v>660518.93862815876</v>
      </c>
      <c r="CP238" s="2251">
        <f t="shared" ref="CP238" si="994">CO238</f>
        <v>660518.93862815876</v>
      </c>
      <c r="CQ238" s="2252">
        <f t="shared" ref="CQ238" si="995">CP238</f>
        <v>660518.93862815876</v>
      </c>
    </row>
    <row r="239" spans="1:95">
      <c r="B239" s="3313"/>
      <c r="C239" s="3314"/>
      <c r="D239" s="101" t="s">
        <v>18</v>
      </c>
      <c r="E239" s="378">
        <f>E227/E16*1000000</f>
        <v>1053069.9331671954</v>
      </c>
      <c r="F239" s="335">
        <v>2145689.673076923</v>
      </c>
      <c r="G239" s="335">
        <v>1404765.75</v>
      </c>
      <c r="H239" s="335">
        <v>1106242.8</v>
      </c>
      <c r="I239" s="335">
        <v>868356.91005291021</v>
      </c>
      <c r="J239" s="335">
        <v>844044.68285714288</v>
      </c>
      <c r="K239" s="335">
        <v>683349.65109890106</v>
      </c>
      <c r="L239" s="335">
        <v>1163827.9569892474</v>
      </c>
      <c r="M239" s="335">
        <v>1867086.7163636365</v>
      </c>
      <c r="N239" s="335">
        <v>929329.98401065951</v>
      </c>
      <c r="O239" s="335">
        <v>1324585.9297297297</v>
      </c>
      <c r="P239" s="335">
        <v>1032729.7305389222</v>
      </c>
      <c r="Q239" s="335">
        <v>950459.23284313723</v>
      </c>
      <c r="R239" s="378">
        <f>R227/R16*1000000</f>
        <v>969757.69455329864</v>
      </c>
      <c r="S239" s="335">
        <f t="shared" ref="S239:AD239" si="996">S227/S16*1000000</f>
        <v>1447087.008583691</v>
      </c>
      <c r="T239" s="335">
        <f t="shared" si="996"/>
        <v>436004.38490566041</v>
      </c>
      <c r="U239" s="335">
        <f t="shared" si="996"/>
        <v>189904.44444444447</v>
      </c>
      <c r="V239" s="335">
        <f t="shared" si="996"/>
        <v>1022387.012987013</v>
      </c>
      <c r="W239" s="335">
        <f t="shared" si="996"/>
        <v>623868.15139826422</v>
      </c>
      <c r="X239" s="335">
        <f t="shared" si="996"/>
        <v>847471.86167800461</v>
      </c>
      <c r="Y239" s="335">
        <f t="shared" si="996"/>
        <v>1124359.1855670104</v>
      </c>
      <c r="Z239" s="335">
        <f t="shared" si="996"/>
        <v>1361102.1094771242</v>
      </c>
      <c r="AA239" s="335">
        <f t="shared" si="996"/>
        <v>1424828.605263158</v>
      </c>
      <c r="AB239" s="335">
        <f t="shared" si="996"/>
        <v>988150.04222648765</v>
      </c>
      <c r="AC239" s="335">
        <f t="shared" si="996"/>
        <v>804545.51282051275</v>
      </c>
      <c r="AD239" s="335">
        <f t="shared" si="996"/>
        <v>1106355.5966386555</v>
      </c>
      <c r="AE239" s="378">
        <f>AE227/AE16*1000000</f>
        <v>525368.63223282027</v>
      </c>
      <c r="AF239" s="335">
        <f t="shared" ref="AF239:AQ239" si="997">AF227/AF16*1000000</f>
        <v>2273357.4753610878</v>
      </c>
      <c r="AG239" s="335">
        <f t="shared" si="997"/>
        <v>1458595.2755905511</v>
      </c>
      <c r="AH239" s="335">
        <f t="shared" si="997"/>
        <v>2310012.6008771928</v>
      </c>
      <c r="AI239" s="335">
        <f t="shared" si="997"/>
        <v>1226788.9285714286</v>
      </c>
      <c r="AJ239" s="335">
        <f t="shared" si="997"/>
        <v>1145213.7131147541</v>
      </c>
      <c r="AK239" s="335">
        <f t="shared" si="997"/>
        <v>1022010.1503759398</v>
      </c>
      <c r="AL239" s="335">
        <f t="shared" si="997"/>
        <v>917658.69710467709</v>
      </c>
      <c r="AM239" s="335">
        <f t="shared" si="997"/>
        <v>1354510.3252595155</v>
      </c>
      <c r="AN239" s="335">
        <f t="shared" si="997"/>
        <v>45957.438126104891</v>
      </c>
      <c r="AO239" s="335">
        <f t="shared" si="997"/>
        <v>213197.68310139168</v>
      </c>
      <c r="AP239" s="335">
        <f t="shared" si="997"/>
        <v>1094619.6653543308</v>
      </c>
      <c r="AQ239" s="335">
        <f t="shared" si="997"/>
        <v>1506453.5937499998</v>
      </c>
      <c r="AR239" s="378">
        <f>AR227/AR16*1000000</f>
        <v>442580.65271863918</v>
      </c>
      <c r="AS239" s="923">
        <f t="shared" ref="AS239:BD239" si="998">AS216*AS249</f>
        <v>1221918.8280958429</v>
      </c>
      <c r="AT239" s="335">
        <f t="shared" si="998"/>
        <v>1209006.9750079247</v>
      </c>
      <c r="AU239" s="335">
        <f t="shared" si="998"/>
        <v>1216809.5146091916</v>
      </c>
      <c r="AV239" s="335">
        <f t="shared" si="998"/>
        <v>7104420.8201848315</v>
      </c>
      <c r="AW239" s="335">
        <f t="shared" si="998"/>
        <v>3950636.546702859</v>
      </c>
      <c r="AX239" s="335">
        <f t="shared" si="998"/>
        <v>1573351.8764709756</v>
      </c>
      <c r="AY239" s="335">
        <f t="shared" si="998"/>
        <v>1191178.1723968184</v>
      </c>
      <c r="AZ239" s="335">
        <f t="shared" si="998"/>
        <v>1443975.5415779101</v>
      </c>
      <c r="BA239" s="335">
        <f t="shared" si="998"/>
        <v>51946.744015589727</v>
      </c>
      <c r="BB239" s="335">
        <f t="shared" si="998"/>
        <v>80999.901031814923</v>
      </c>
      <c r="BC239" s="335">
        <f t="shared" si="998"/>
        <v>909497.54591355647</v>
      </c>
      <c r="BD239" s="1516">
        <f t="shared" si="998"/>
        <v>859763.33959147136</v>
      </c>
      <c r="BE239" s="378">
        <f>BE227/BE16*1000000</f>
        <v>809575.72842480103</v>
      </c>
      <c r="BF239" s="1833">
        <f t="shared" ref="BF239:BQ239" si="999">BF216*BF249</f>
        <v>1667688.4848484849</v>
      </c>
      <c r="BG239" s="1834">
        <f t="shared" si="999"/>
        <v>1606256.1584699454</v>
      </c>
      <c r="BH239" s="1834">
        <f t="shared" si="999"/>
        <v>3463036.4000000004</v>
      </c>
      <c r="BI239" s="1834">
        <f t="shared" si="999"/>
        <v>1186040.1627586207</v>
      </c>
      <c r="BJ239" s="1834">
        <f t="shared" si="999"/>
        <v>1070906.4953703703</v>
      </c>
      <c r="BK239" s="1834">
        <f t="shared" si="999"/>
        <v>1717259.4867724869</v>
      </c>
      <c r="BL239" s="1834">
        <f t="shared" si="999"/>
        <v>1239827.660120846</v>
      </c>
      <c r="BM239" s="1834">
        <f t="shared" si="999"/>
        <v>1753204.6770186338</v>
      </c>
      <c r="BN239" s="1834">
        <f t="shared" si="999"/>
        <v>2214411.9890710381</v>
      </c>
      <c r="BO239" s="1834">
        <f t="shared" si="999"/>
        <v>99740.700116144013</v>
      </c>
      <c r="BP239" s="1834">
        <f t="shared" si="999"/>
        <v>538288.80739795917</v>
      </c>
      <c r="BQ239" s="1835">
        <f t="shared" si="999"/>
        <v>1379784.4827586208</v>
      </c>
      <c r="BR239" s="378">
        <f>BR227/BR16*1000000</f>
        <v>821614.87960943184</v>
      </c>
      <c r="BS239" s="1859">
        <f t="shared" si="959"/>
        <v>2206693.7814569538</v>
      </c>
      <c r="BT239" s="1860">
        <f t="shared" ref="BT239:BX239" si="1000">BT216*BT249</f>
        <v>1293864.285467128</v>
      </c>
      <c r="BU239" s="1860">
        <f t="shared" si="1000"/>
        <v>646079.31060606055</v>
      </c>
      <c r="BV239" s="1860">
        <f t="shared" si="1000"/>
        <v>1345741.4647887324</v>
      </c>
      <c r="BW239" s="1860">
        <f t="shared" si="1000"/>
        <v>1024514.2162162162</v>
      </c>
      <c r="BX239" s="1860">
        <f t="shared" si="1000"/>
        <v>7074562.5447154474</v>
      </c>
      <c r="BY239" s="1860">
        <f t="shared" ref="BY239:CC239" si="1001">BY216*BY249</f>
        <v>1018606.7750410507</v>
      </c>
      <c r="BZ239" s="1860">
        <f t="shared" si="1001"/>
        <v>5770359.671052631</v>
      </c>
      <c r="CA239" s="1860">
        <f t="shared" si="1001"/>
        <v>3039046.6341463411</v>
      </c>
      <c r="CB239" s="1860">
        <f t="shared" si="1001"/>
        <v>188786.4551856594</v>
      </c>
      <c r="CC239" s="1860">
        <f t="shared" si="1001"/>
        <v>187447.87180338756</v>
      </c>
      <c r="CD239" s="1861">
        <f t="shared" ref="CD239" si="1002">CD216*CD249</f>
        <v>2542222.4308943092</v>
      </c>
      <c r="CE239" s="378">
        <f>CE227/CE16*1000000</f>
        <v>2147996.4537567096</v>
      </c>
      <c r="CF239" s="2483">
        <v>2250827.657086093</v>
      </c>
      <c r="CG239" s="2251">
        <v>659000.89681818173</v>
      </c>
      <c r="CH239" s="2251">
        <v>1319741.5711764707</v>
      </c>
      <c r="CI239" s="2251">
        <v>1372656.294084507</v>
      </c>
      <c r="CJ239" s="2251">
        <v>1045004.5005405406</v>
      </c>
      <c r="CK239" s="2251">
        <v>7216053.7956097564</v>
      </c>
      <c r="CL239" s="2251">
        <v>1319741.5711764707</v>
      </c>
      <c r="CM239" s="2251">
        <v>2573178.8717632466</v>
      </c>
      <c r="CN239" s="2251">
        <v>1319741.5711764707</v>
      </c>
      <c r="CO239" s="2251">
        <v>2573178.8717632466</v>
      </c>
      <c r="CP239" s="2251">
        <v>2573178.8717632466</v>
      </c>
      <c r="CQ239" s="2252">
        <v>2573178.8717632466</v>
      </c>
    </row>
    <row r="240" spans="1:95">
      <c r="B240" s="3313"/>
      <c r="C240" s="3314"/>
      <c r="D240" s="101" t="s">
        <v>244</v>
      </c>
      <c r="E240" s="378">
        <f>E228/E20*1000000</f>
        <v>29688.530716628669</v>
      </c>
      <c r="F240" s="335">
        <v>11125.022341376229</v>
      </c>
      <c r="G240" s="335">
        <v>68217.914910696374</v>
      </c>
      <c r="H240" s="335">
        <v>36281.275780323987</v>
      </c>
      <c r="I240" s="335">
        <v>6407.6312315046662</v>
      </c>
      <c r="J240" s="335">
        <v>14192.361548776398</v>
      </c>
      <c r="K240" s="335">
        <v>19179.250326797384</v>
      </c>
      <c r="L240" s="335">
        <v>36055.855668894364</v>
      </c>
      <c r="M240" s="335">
        <v>18657.853112542165</v>
      </c>
      <c r="N240" s="335">
        <v>30869.45815408682</v>
      </c>
      <c r="O240" s="335">
        <v>20229.613241560142</v>
      </c>
      <c r="P240" s="335">
        <v>30032.789730666245</v>
      </c>
      <c r="Q240" s="335">
        <v>68531.76139363012</v>
      </c>
      <c r="R240" s="378">
        <f t="shared" ref="R240:AR240" si="1003">R228/R20*1000000</f>
        <v>-10090.810390280394</v>
      </c>
      <c r="S240" s="335">
        <f t="shared" si="1003"/>
        <v>-12467.15371076562</v>
      </c>
      <c r="T240" s="335">
        <f t="shared" si="1003"/>
        <v>14911.743858894386</v>
      </c>
      <c r="U240" s="335">
        <f t="shared" si="1003"/>
        <v>12177.622749999999</v>
      </c>
      <c r="V240" s="335">
        <f t="shared" si="1003"/>
        <v>-6250.161426732855</v>
      </c>
      <c r="W240" s="335">
        <f t="shared" si="1003"/>
        <v>-18162.830573674524</v>
      </c>
      <c r="X240" s="335">
        <f t="shared" si="1003"/>
        <v>-9616.2578655151137</v>
      </c>
      <c r="Y240" s="335">
        <f t="shared" si="1003"/>
        <v>-19866.066773241517</v>
      </c>
      <c r="Z240" s="335">
        <f t="shared" si="1003"/>
        <v>-4454.2155910908059</v>
      </c>
      <c r="AA240" s="335">
        <f t="shared" si="1003"/>
        <v>-9851.3450462351375</v>
      </c>
      <c r="AB240" s="335">
        <f t="shared" si="1003"/>
        <v>-23719.281714956927</v>
      </c>
      <c r="AC240" s="335">
        <f t="shared" si="1003"/>
        <v>-11183.471762898707</v>
      </c>
      <c r="AD240" s="335">
        <f t="shared" si="1003"/>
        <v>-12442.944918934571</v>
      </c>
      <c r="AE240" s="378">
        <f t="shared" si="1003"/>
        <v>-13161.733864257132</v>
      </c>
      <c r="AF240" s="335">
        <f t="shared" si="1003"/>
        <v>-5473.0819949702482</v>
      </c>
      <c r="AG240" s="335">
        <f t="shared" si="1003"/>
        <v>-24807.697228773588</v>
      </c>
      <c r="AH240" s="335">
        <f t="shared" si="1003"/>
        <v>-35777.777777777774</v>
      </c>
      <c r="AI240" s="335">
        <f t="shared" si="1003"/>
        <v>15628.896593011865</v>
      </c>
      <c r="AJ240" s="335">
        <f t="shared" si="1003"/>
        <v>-4013.2588869463866</v>
      </c>
      <c r="AK240" s="335">
        <f t="shared" si="1003"/>
        <v>10026.426385024033</v>
      </c>
      <c r="AL240" s="335">
        <f t="shared" si="1003"/>
        <v>-1054.649254520461</v>
      </c>
      <c r="AM240" s="335">
        <f t="shared" si="1003"/>
        <v>91.356848609680739</v>
      </c>
      <c r="AN240" s="335">
        <f t="shared" si="1003"/>
        <v>-51296.866615998486</v>
      </c>
      <c r="AO240" s="335">
        <f t="shared" si="1003"/>
        <v>-35528.606323304433</v>
      </c>
      <c r="AP240" s="335">
        <f t="shared" si="1003"/>
        <v>-45309.234983498347</v>
      </c>
      <c r="AQ240" s="335">
        <f t="shared" si="1003"/>
        <v>-7515.5854518736223</v>
      </c>
      <c r="AR240" s="378">
        <f t="shared" si="1003"/>
        <v>-30879.301480959097</v>
      </c>
      <c r="AS240" s="923">
        <f t="shared" ref="AS240:BD240" si="1004">AS217*AS250</f>
        <v>-23106.97689625109</v>
      </c>
      <c r="AT240" s="335">
        <f t="shared" si="1004"/>
        <v>-48390.361979166664</v>
      </c>
      <c r="AU240" s="335">
        <f t="shared" si="1004"/>
        <v>-38639.079786048584</v>
      </c>
      <c r="AV240" s="335">
        <f t="shared" si="1004"/>
        <v>-41032.545666666672</v>
      </c>
      <c r="AW240" s="335">
        <f t="shared" si="1004"/>
        <v>-28161.412020725387</v>
      </c>
      <c r="AX240" s="335">
        <f t="shared" si="1004"/>
        <v>-14473.528394576539</v>
      </c>
      <c r="AY240" s="335">
        <f t="shared" si="1004"/>
        <v>-33546.130900988719</v>
      </c>
      <c r="AZ240" s="335">
        <f t="shared" si="1004"/>
        <v>-33631.568063775812</v>
      </c>
      <c r="BA240" s="335">
        <f t="shared" si="1004"/>
        <v>-37405.486392433297</v>
      </c>
      <c r="BB240" s="335">
        <f t="shared" si="1004"/>
        <v>-22972.544192634559</v>
      </c>
      <c r="BC240" s="335">
        <f t="shared" si="1004"/>
        <v>-32893.161105712126</v>
      </c>
      <c r="BD240" s="1516">
        <f t="shared" si="1004"/>
        <v>-14984.015757054862</v>
      </c>
      <c r="BE240" s="378">
        <f>BE228/BE20*1000000</f>
        <v>-31289.578399657687</v>
      </c>
      <c r="BF240" s="1833">
        <f t="shared" ref="BF240:BQ240" si="1005">BF217*BF250</f>
        <v>-15811.565327576496</v>
      </c>
      <c r="BG240" s="1834">
        <f t="shared" si="1005"/>
        <v>-35005.043288785586</v>
      </c>
      <c r="BH240" s="1834">
        <f t="shared" si="1005"/>
        <v>-24369.629213483146</v>
      </c>
      <c r="BI240" s="1834">
        <f t="shared" si="1005"/>
        <v>-28367.007050092765</v>
      </c>
      <c r="BJ240" s="1834">
        <f t="shared" si="1005"/>
        <v>-36800.806185170957</v>
      </c>
      <c r="BK240" s="1834">
        <f t="shared" si="1005"/>
        <v>-31804.764366434243</v>
      </c>
      <c r="BL240" s="1834">
        <f t="shared" si="1005"/>
        <v>-31386.452841357539</v>
      </c>
      <c r="BM240" s="1834">
        <f t="shared" si="1005"/>
        <v>-31476.979734996101</v>
      </c>
      <c r="BN240" s="1834">
        <f t="shared" si="1005"/>
        <v>-43491.140542050853</v>
      </c>
      <c r="BO240" s="1834">
        <f t="shared" si="1005"/>
        <v>-48858.977539882457</v>
      </c>
      <c r="BP240" s="1834">
        <f t="shared" si="1005"/>
        <v>-72613.399824638327</v>
      </c>
      <c r="BQ240" s="1835">
        <f t="shared" si="1005"/>
        <v>-22090.231388329979</v>
      </c>
      <c r="BR240" s="378">
        <f>BR228/BR20*1000000</f>
        <v>-28286.066057206179</v>
      </c>
      <c r="BS240" s="1859">
        <f t="shared" si="959"/>
        <v>-15515.671779141103</v>
      </c>
      <c r="BT240" s="1860">
        <f t="shared" ref="BT240:BX240" si="1006">BT217*BT250</f>
        <v>-41180.861921941614</v>
      </c>
      <c r="BU240" s="1860">
        <f t="shared" si="1006"/>
        <v>-44903.843041506807</v>
      </c>
      <c r="BV240" s="1860">
        <f t="shared" si="1006"/>
        <v>-12192.85565110565</v>
      </c>
      <c r="BW240" s="1860">
        <f t="shared" si="1006"/>
        <v>-44239.377262664406</v>
      </c>
      <c r="BX240" s="1860">
        <f t="shared" si="1006"/>
        <v>-11828.148861418345</v>
      </c>
      <c r="BY240" s="1860">
        <f t="shared" ref="BY240:CC240" si="1007">BY217*BY250</f>
        <v>-18940.303466129732</v>
      </c>
      <c r="BZ240" s="1860">
        <f t="shared" si="1007"/>
        <v>-36381.044919398657</v>
      </c>
      <c r="CA240" s="1860">
        <f t="shared" si="1007"/>
        <v>-41252.987587452044</v>
      </c>
      <c r="CB240" s="1860">
        <f t="shared" si="1007"/>
        <v>-31853.360751295342</v>
      </c>
      <c r="CC240" s="1860">
        <f t="shared" si="1007"/>
        <v>-36658.800476087432</v>
      </c>
      <c r="CD240" s="1861">
        <f t="shared" ref="CD240" si="1008">CD217*CD250</f>
        <v>-33731.241889699915</v>
      </c>
      <c r="CE240" s="378">
        <f>CE228/CE20*1000000</f>
        <v>-30223.55148598563</v>
      </c>
      <c r="CF240" s="2483">
        <v>-15515.671779141103</v>
      </c>
      <c r="CG240" s="2251">
        <v>-41180.861921941614</v>
      </c>
      <c r="CH240" s="2251">
        <v>-44903.843041506807</v>
      </c>
      <c r="CI240" s="2251">
        <v>-12192.85565110565</v>
      </c>
      <c r="CJ240" s="2251">
        <v>-44239.377262664406</v>
      </c>
      <c r="CK240" s="2251">
        <v>-11828.148861418345</v>
      </c>
      <c r="CL240" s="2251">
        <v>-41180.861921941614</v>
      </c>
      <c r="CM240" s="2251">
        <v>-28291.056204173805</v>
      </c>
      <c r="CN240" s="2251">
        <v>-41180.861921941614</v>
      </c>
      <c r="CO240" s="2251">
        <v>-28291.056204173805</v>
      </c>
      <c r="CP240" s="2251">
        <v>-28291.056204173805</v>
      </c>
      <c r="CQ240" s="2252">
        <v>-28291.056204173805</v>
      </c>
    </row>
    <row r="241" spans="1:95">
      <c r="B241" s="3315"/>
      <c r="C241" s="3316"/>
      <c r="D241" s="229" t="s">
        <v>678</v>
      </c>
      <c r="E241" s="381">
        <f>E229/(E17+E21)*1000000</f>
        <v>731376.59342403628</v>
      </c>
      <c r="F241" s="336">
        <v>731808.80544912734</v>
      </c>
      <c r="G241" s="336">
        <v>863751.88960619748</v>
      </c>
      <c r="H241" s="336">
        <v>760532.47725631762</v>
      </c>
      <c r="I241" s="336">
        <v>646302.40794373199</v>
      </c>
      <c r="J241" s="336">
        <v>635997.77931034483</v>
      </c>
      <c r="K241" s="336">
        <v>648324.8218048556</v>
      </c>
      <c r="L241" s="336">
        <v>644186.23304281919</v>
      </c>
      <c r="M241" s="336">
        <v>738653.63166332664</v>
      </c>
      <c r="N241" s="336">
        <v>709875.24033149169</v>
      </c>
      <c r="O241" s="336">
        <v>671638.31364468869</v>
      </c>
      <c r="P241" s="336">
        <v>736001.98093508848</v>
      </c>
      <c r="Q241" s="336">
        <v>938297.24269005843</v>
      </c>
      <c r="R241" s="381">
        <f t="shared" ref="R241:AR241" si="1009">R229/(R17+R21)*1000000</f>
        <v>585890.69148254558</v>
      </c>
      <c r="S241" s="335">
        <f t="shared" si="1009"/>
        <v>853062.99225092249</v>
      </c>
      <c r="T241" s="335">
        <f t="shared" si="1009"/>
        <v>862131.6986301369</v>
      </c>
      <c r="U241" s="335">
        <f t="shared" si="1009"/>
        <v>738904.16236374073</v>
      </c>
      <c r="V241" s="335">
        <f t="shared" si="1009"/>
        <v>481911.78958120529</v>
      </c>
      <c r="W241" s="335">
        <f t="shared" si="1009"/>
        <v>562358.74050632922</v>
      </c>
      <c r="X241" s="335">
        <f t="shared" si="1009"/>
        <v>588917.75185090629</v>
      </c>
      <c r="Y241" s="335">
        <f t="shared" si="1009"/>
        <v>502639.98025078373</v>
      </c>
      <c r="Z241" s="335">
        <f t="shared" si="1009"/>
        <v>566675.39678489405</v>
      </c>
      <c r="AA241" s="335">
        <f t="shared" si="1009"/>
        <v>613009.91525423736</v>
      </c>
      <c r="AB241" s="335">
        <f t="shared" si="1009"/>
        <v>361284.21346261946</v>
      </c>
      <c r="AC241" s="335">
        <f t="shared" si="1009"/>
        <v>675213.97173144878</v>
      </c>
      <c r="AD241" s="335">
        <f t="shared" si="1009"/>
        <v>588758.0262996942</v>
      </c>
      <c r="AE241" s="381">
        <f t="shared" si="1009"/>
        <v>728090.05050282844</v>
      </c>
      <c r="AF241" s="335">
        <f t="shared" si="1009"/>
        <v>493184.62226075988</v>
      </c>
      <c r="AG241" s="335">
        <f t="shared" si="1009"/>
        <v>695294.91962457332</v>
      </c>
      <c r="AH241" s="335">
        <f t="shared" si="1009"/>
        <v>454816.45240585774</v>
      </c>
      <c r="AI241" s="335">
        <f t="shared" si="1009"/>
        <v>765510.98297331645</v>
      </c>
      <c r="AJ241" s="335">
        <f t="shared" si="1009"/>
        <v>395651.01548244403</v>
      </c>
      <c r="AK241" s="335">
        <f t="shared" si="1009"/>
        <v>1925839.1972751028</v>
      </c>
      <c r="AL241" s="335">
        <f t="shared" si="1009"/>
        <v>628436.54530281352</v>
      </c>
      <c r="AM241" s="335">
        <f t="shared" si="1009"/>
        <v>989735.32975871314</v>
      </c>
      <c r="AN241" s="335">
        <f t="shared" si="1009"/>
        <v>1226864.4058641975</v>
      </c>
      <c r="AO241" s="335">
        <f t="shared" si="1009"/>
        <v>1394236.2177339902</v>
      </c>
      <c r="AP241" s="335">
        <f t="shared" si="1009"/>
        <v>403987.73547133146</v>
      </c>
      <c r="AQ241" s="335">
        <f t="shared" si="1009"/>
        <v>231097.66857551894</v>
      </c>
      <c r="AR241" s="381">
        <f t="shared" si="1009"/>
        <v>531288.60138098022</v>
      </c>
      <c r="AS241" s="923">
        <f t="shared" ref="AS241:BD241" si="1010">AS218*AS251</f>
        <v>296517.75258062978</v>
      </c>
      <c r="AT241" s="335">
        <f t="shared" si="1010"/>
        <v>773237.5112033668</v>
      </c>
      <c r="AU241" s="335">
        <f t="shared" si="1010"/>
        <v>999217.56938614103</v>
      </c>
      <c r="AV241" s="335">
        <f t="shared" si="1010"/>
        <v>294752.90064933326</v>
      </c>
      <c r="AW241" s="335">
        <f t="shared" si="1010"/>
        <v>644806.47800760751</v>
      </c>
      <c r="AX241" s="335">
        <f t="shared" si="1010"/>
        <v>359535.63036738255</v>
      </c>
      <c r="AY241" s="335">
        <f t="shared" si="1010"/>
        <v>413399.542456422</v>
      </c>
      <c r="AZ241" s="335">
        <f t="shared" si="1010"/>
        <v>523712.06874887022</v>
      </c>
      <c r="BA241" s="336">
        <f t="shared" si="1010"/>
        <v>713858.72868850571</v>
      </c>
      <c r="BB241" s="336">
        <f t="shared" si="1010"/>
        <v>771157.08386916167</v>
      </c>
      <c r="BC241" s="336">
        <f t="shared" si="1010"/>
        <v>715014.32032041217</v>
      </c>
      <c r="BD241" s="1518">
        <f t="shared" si="1010"/>
        <v>330611.2357838201</v>
      </c>
      <c r="BE241" s="381">
        <f>BE229/(BE17+BE21)*1000000</f>
        <v>2894715.1249158867</v>
      </c>
      <c r="BF241" s="1833">
        <f t="shared" ref="BF241:BQ241" si="1011">BF218*BF251</f>
        <v>946894.34796044498</v>
      </c>
      <c r="BG241" s="1834">
        <f t="shared" si="1011"/>
        <v>1050442.7235659985</v>
      </c>
      <c r="BH241" s="1834">
        <f t="shared" si="1011"/>
        <v>788679.86545454548</v>
      </c>
      <c r="BI241" s="1834">
        <f t="shared" si="1011"/>
        <v>1371709.2067714632</v>
      </c>
      <c r="BJ241" s="1834">
        <f t="shared" si="1011"/>
        <v>872517.56932966027</v>
      </c>
      <c r="BK241" s="1834">
        <f t="shared" si="1011"/>
        <v>666379.93006993004</v>
      </c>
      <c r="BL241" s="1834">
        <f t="shared" si="1011"/>
        <v>874707.08208541316</v>
      </c>
      <c r="BM241" s="1834">
        <f t="shared" si="1011"/>
        <v>4960633.146276596</v>
      </c>
      <c r="BN241" s="1834">
        <f t="shared" si="1011"/>
        <v>3126344.743753063</v>
      </c>
      <c r="BO241" s="1834">
        <f t="shared" si="1011"/>
        <v>18656239.799825173</v>
      </c>
      <c r="BP241" s="1834">
        <f t="shared" si="1011"/>
        <v>2842865.2812080532</v>
      </c>
      <c r="BQ241" s="1835">
        <f t="shared" si="1011"/>
        <v>1230427.9058295963</v>
      </c>
      <c r="BR241" s="381">
        <f>BR229/(BR17+BR21)*1000000</f>
        <v>5045294.2610859731</v>
      </c>
      <c r="BS241" s="3141">
        <f t="shared" si="959"/>
        <v>17318605.215143122</v>
      </c>
      <c r="BT241" s="3140">
        <f t="shared" ref="BT241:BX241" si="1012">BT218*BT251</f>
        <v>13091983.563766388</v>
      </c>
      <c r="BU241" s="3140">
        <f t="shared" si="1012"/>
        <v>11209468.915936952</v>
      </c>
      <c r="BV241" s="3140">
        <f t="shared" si="1012"/>
        <v>1447385.0327349524</v>
      </c>
      <c r="BW241" s="3140">
        <f t="shared" si="1012"/>
        <v>1194726.0014044943</v>
      </c>
      <c r="BX241" s="3140">
        <f t="shared" si="1012"/>
        <v>11450965.976657329</v>
      </c>
      <c r="BY241" s="3140">
        <f t="shared" ref="BY241:CC241" si="1013">BY218*BY251</f>
        <v>730434.50269299827</v>
      </c>
      <c r="BZ241" s="3140">
        <f t="shared" si="1013"/>
        <v>2452100.3656147984</v>
      </c>
      <c r="CA241" s="3140">
        <f t="shared" si="1013"/>
        <v>1943073.415119363</v>
      </c>
      <c r="CB241" s="3140">
        <f t="shared" si="1013"/>
        <v>2551153.4402810303</v>
      </c>
      <c r="CC241" s="3140">
        <f t="shared" si="1013"/>
        <v>6883967.3440366974</v>
      </c>
      <c r="CD241" s="3142">
        <f t="shared" ref="CD241" si="1014">CD218*CD251</f>
        <v>853850.34702034877</v>
      </c>
      <c r="CE241" s="381">
        <f>CE229/(CE17+CE21)*1000000</f>
        <v>5779407.5305347499</v>
      </c>
      <c r="CF241" s="2483">
        <v>5779407.5305347499</v>
      </c>
      <c r="CG241" s="2251">
        <f>CF241</f>
        <v>5779407.5305347499</v>
      </c>
      <c r="CH241" s="2775">
        <f t="shared" ref="CH241:CQ241" si="1015">CG241</f>
        <v>5779407.5305347499</v>
      </c>
      <c r="CI241" s="2775">
        <f t="shared" si="1015"/>
        <v>5779407.5305347499</v>
      </c>
      <c r="CJ241" s="2775">
        <f t="shared" si="1015"/>
        <v>5779407.5305347499</v>
      </c>
      <c r="CK241" s="2775">
        <f t="shared" si="1015"/>
        <v>5779407.5305347499</v>
      </c>
      <c r="CL241" s="2775">
        <f t="shared" si="1015"/>
        <v>5779407.5305347499</v>
      </c>
      <c r="CM241" s="2775">
        <f t="shared" si="1015"/>
        <v>5779407.5305347499</v>
      </c>
      <c r="CN241" s="2775">
        <f t="shared" si="1015"/>
        <v>5779407.5305347499</v>
      </c>
      <c r="CO241" s="2775">
        <f t="shared" si="1015"/>
        <v>5779407.5305347499</v>
      </c>
      <c r="CP241" s="2775">
        <f t="shared" si="1015"/>
        <v>5779407.5305347499</v>
      </c>
      <c r="CQ241" s="2809">
        <f t="shared" si="1015"/>
        <v>5779407.5305347499</v>
      </c>
    </row>
    <row r="242" spans="1:95">
      <c r="B242" s="3311" t="s">
        <v>400</v>
      </c>
      <c r="C242" s="3312"/>
      <c r="D242" s="228" t="s">
        <v>14</v>
      </c>
      <c r="E242" s="382"/>
      <c r="F242" s="321"/>
      <c r="G242" s="395"/>
      <c r="H242" s="395"/>
      <c r="I242" s="395"/>
      <c r="J242" s="395"/>
      <c r="K242" s="395"/>
      <c r="L242" s="395"/>
      <c r="M242" s="395"/>
      <c r="N242" s="395"/>
      <c r="O242" s="395"/>
      <c r="P242" s="395"/>
      <c r="Q242" s="395"/>
      <c r="R242" s="734">
        <f t="shared" ref="R242:AE242" si="1016">R220/R196</f>
        <v>1.0633276894753434</v>
      </c>
      <c r="S242" s="733">
        <f t="shared" si="1016"/>
        <v>1.007056463675345</v>
      </c>
      <c r="T242" s="733">
        <f t="shared" si="1016"/>
        <v>1.0058238430554203</v>
      </c>
      <c r="U242" s="733">
        <f t="shared" si="1016"/>
        <v>0.98299892548877243</v>
      </c>
      <c r="V242" s="733">
        <f t="shared" si="1016"/>
        <v>1.0121682444855844</v>
      </c>
      <c r="W242" s="733">
        <f t="shared" si="1016"/>
        <v>1.0318295772764032</v>
      </c>
      <c r="X242" s="733">
        <f t="shared" si="1016"/>
        <v>1.0526327238379709</v>
      </c>
      <c r="Y242" s="733">
        <f t="shared" si="1016"/>
        <v>1.0558782892407468</v>
      </c>
      <c r="Z242" s="733">
        <f t="shared" si="1016"/>
        <v>1.0714496858887881</v>
      </c>
      <c r="AA242" s="733">
        <f t="shared" si="1016"/>
        <v>1.0263855893847555</v>
      </c>
      <c r="AB242" s="733">
        <f t="shared" si="1016"/>
        <v>1.0404432655524372</v>
      </c>
      <c r="AC242" s="733">
        <f t="shared" si="1016"/>
        <v>1.0233324461258839</v>
      </c>
      <c r="AD242" s="733">
        <f t="shared" si="1016"/>
        <v>1.0850665365665004</v>
      </c>
      <c r="AE242" s="734">
        <f t="shared" si="1016"/>
        <v>1.0604818059754755</v>
      </c>
      <c r="AF242" s="733">
        <f t="shared" ref="AF242:AL242" si="1017">(AF220-AF230)/(AF196-AF206)</f>
        <v>1.0665377114626142</v>
      </c>
      <c r="AG242" s="733">
        <f t="shared" si="1017"/>
        <v>1.0536814738817106</v>
      </c>
      <c r="AH242" s="733">
        <f t="shared" si="1017"/>
        <v>1.0371151256988553</v>
      </c>
      <c r="AI242" s="733">
        <f t="shared" si="1017"/>
        <v>1.0579700817361211</v>
      </c>
      <c r="AJ242" s="733">
        <f t="shared" si="1017"/>
        <v>1.0566136460787168</v>
      </c>
      <c r="AK242" s="733">
        <f t="shared" si="1017"/>
        <v>1.0758700580337155</v>
      </c>
      <c r="AL242" s="733">
        <f t="shared" si="1017"/>
        <v>1.0516779964003684</v>
      </c>
      <c r="AM242" s="733">
        <f t="shared" ref="AM242:AR244" si="1018">AM220/AM196</f>
        <v>1.0719393766965783</v>
      </c>
      <c r="AN242" s="733">
        <f t="shared" si="1018"/>
        <v>0.99532718956325539</v>
      </c>
      <c r="AO242" s="733">
        <f t="shared" si="1018"/>
        <v>1.0102402149028107</v>
      </c>
      <c r="AP242" s="733">
        <f t="shared" si="1018"/>
        <v>1.0124108446451616</v>
      </c>
      <c r="AQ242" s="733">
        <f t="shared" si="1018"/>
        <v>1.0026154887755319</v>
      </c>
      <c r="AR242" s="734">
        <f t="shared" si="1018"/>
        <v>1.03668536599629</v>
      </c>
      <c r="AS242" s="966">
        <f t="shared" ref="AS242:BD242" si="1019">(AS220-AS230)/(AS196-AS206)</f>
        <v>1.0388060834354345</v>
      </c>
      <c r="AT242" s="967">
        <f t="shared" si="1019"/>
        <v>1.0581335633414661</v>
      </c>
      <c r="AU242" s="967">
        <f t="shared" si="1019"/>
        <v>1.0538660677004505</v>
      </c>
      <c r="AV242" s="967">
        <f t="shared" si="1019"/>
        <v>1.1185635295862542</v>
      </c>
      <c r="AW242" s="967">
        <f t="shared" si="1019"/>
        <v>1.1032190858035986</v>
      </c>
      <c r="AX242" s="967">
        <f t="shared" si="1019"/>
        <v>1.0973874659416103</v>
      </c>
      <c r="AY242" s="967">
        <f t="shared" si="1019"/>
        <v>1.0519323676030434</v>
      </c>
      <c r="AZ242" s="967">
        <f t="shared" si="1019"/>
        <v>1.0790249179362903</v>
      </c>
      <c r="BA242" s="967">
        <f t="shared" si="1019"/>
        <v>1.0280470404592794</v>
      </c>
      <c r="BB242" s="967">
        <f t="shared" si="1019"/>
        <v>1.0322923989796802</v>
      </c>
      <c r="BC242" s="967">
        <f t="shared" si="1019"/>
        <v>1.0272182449804064</v>
      </c>
      <c r="BD242" s="1530">
        <f t="shared" si="1019"/>
        <v>1.0313045480182892</v>
      </c>
      <c r="BE242" s="734">
        <f>BE220/BE196</f>
        <v>1.0684130472850035</v>
      </c>
      <c r="BF242" s="966">
        <f t="shared" ref="BF242:BQ242" si="1020">(BF220-BF230)/(BF196-BF206)</f>
        <v>1.1030071335796821</v>
      </c>
      <c r="BG242" s="967">
        <f t="shared" si="1020"/>
        <v>1.1015768846486695</v>
      </c>
      <c r="BH242" s="967">
        <f t="shared" si="1020"/>
        <v>1.1094225890159921</v>
      </c>
      <c r="BI242" s="967">
        <f t="shared" si="1020"/>
        <v>1.1732098465962297</v>
      </c>
      <c r="BJ242" s="967">
        <f t="shared" si="1020"/>
        <v>1.1710690392005847</v>
      </c>
      <c r="BK242" s="967">
        <f t="shared" si="1020"/>
        <v>1.1782742384633147</v>
      </c>
      <c r="BL242" s="967">
        <f t="shared" si="1020"/>
        <v>1.1490710420703449</v>
      </c>
      <c r="BM242" s="967">
        <f t="shared" si="1020"/>
        <v>1.1103900302332581</v>
      </c>
      <c r="BN242" s="967">
        <f t="shared" si="1020"/>
        <v>1.1336704495016299</v>
      </c>
      <c r="BO242" s="967">
        <f t="shared" si="1020"/>
        <v>1.0339120889908906</v>
      </c>
      <c r="BP242" s="967">
        <f t="shared" si="1020"/>
        <v>1.080628826638893</v>
      </c>
      <c r="BQ242" s="733">
        <f t="shared" si="1020"/>
        <v>1.1262387085143848</v>
      </c>
      <c r="BR242" s="734">
        <f t="shared" ref="BR242:BR251" si="1021">BR220/BR196</f>
        <v>1.0717882563020991</v>
      </c>
      <c r="BS242" s="2520">
        <f t="shared" ref="BS242:BX242" si="1022">(BS220-BS230)/(BS196-BS206)</f>
        <v>1.0306558924063651</v>
      </c>
      <c r="BT242" s="2518">
        <f t="shared" si="1022"/>
        <v>1.0825101996282824</v>
      </c>
      <c r="BU242" s="2518">
        <f t="shared" si="1022"/>
        <v>1.0540669021396833</v>
      </c>
      <c r="BV242" s="2518">
        <f t="shared" si="1022"/>
        <v>1.075614767175038</v>
      </c>
      <c r="BW242" s="2518">
        <f t="shared" si="1022"/>
        <v>1.074735973261336</v>
      </c>
      <c r="BX242" s="2518">
        <f t="shared" si="1022"/>
        <v>1.1338378030867788</v>
      </c>
      <c r="BY242" s="2518">
        <f t="shared" ref="BY242:CC242" si="1023">(BY220-BY230)/(BY196-BY206)</f>
        <v>1.1723840891591739</v>
      </c>
      <c r="BZ242" s="2518">
        <f t="shared" si="1023"/>
        <v>1.1581754993314304</v>
      </c>
      <c r="CA242" s="2518">
        <f t="shared" si="1023"/>
        <v>1.085711462560923</v>
      </c>
      <c r="CB242" s="2518">
        <f t="shared" si="1023"/>
        <v>1.1235129934435417</v>
      </c>
      <c r="CC242" s="2518">
        <f t="shared" si="1023"/>
        <v>1.1268716266091787</v>
      </c>
      <c r="CD242" s="2519">
        <f t="shared" ref="CD242" si="1024">(CD220-CD230)/(CD196-CD206)</f>
        <v>1.173056364358898</v>
      </c>
      <c r="CE242" s="734">
        <f t="shared" ref="CE242:CE251" si="1025">CE220/CE196</f>
        <v>1.0739903936926505</v>
      </c>
      <c r="CF242" s="2520">
        <f t="shared" ref="CF242:CQ242" si="1026">(CF220-CF230)/(CF196-CF206)</f>
        <v>1.2161377731337817</v>
      </c>
      <c r="CG242" s="2518">
        <f t="shared" si="1026"/>
        <v>1.1488710785508072</v>
      </c>
      <c r="CH242" s="2518">
        <f t="shared" si="1026"/>
        <v>1.0702661384144405</v>
      </c>
      <c r="CI242" s="2518">
        <f t="shared" si="1026"/>
        <v>1.1393205332461915</v>
      </c>
      <c r="CJ242" s="2518">
        <f t="shared" si="1026"/>
        <v>1.1661056787570934</v>
      </c>
      <c r="CK242" s="2518">
        <f t="shared" si="1026"/>
        <v>1.4185521092036588</v>
      </c>
      <c r="CL242" s="2518">
        <f t="shared" si="1026"/>
        <v>1.1005049424100362</v>
      </c>
      <c r="CM242" s="2518">
        <f t="shared" si="1026"/>
        <v>1.2099243908843451</v>
      </c>
      <c r="CN242" s="2518">
        <f t="shared" si="1026"/>
        <v>1.1003348815632095</v>
      </c>
      <c r="CO242" s="2518">
        <f t="shared" si="1026"/>
        <v>1.2892591264367481</v>
      </c>
      <c r="CP242" s="2518">
        <f t="shared" si="1026"/>
        <v>1.2124730019984471</v>
      </c>
      <c r="CQ242" s="2519">
        <f t="shared" si="1026"/>
        <v>1.2192912559422067</v>
      </c>
    </row>
    <row r="243" spans="1:95">
      <c r="B243" s="3313"/>
      <c r="C243" s="3314"/>
      <c r="D243" s="103" t="s">
        <v>15</v>
      </c>
      <c r="E243" s="379"/>
      <c r="F243" s="337"/>
      <c r="G243" s="337"/>
      <c r="H243" s="337"/>
      <c r="I243" s="337"/>
      <c r="J243" s="337"/>
      <c r="K243" s="337"/>
      <c r="L243" s="337"/>
      <c r="M243" s="337"/>
      <c r="N243" s="337"/>
      <c r="O243" s="337"/>
      <c r="P243" s="337"/>
      <c r="Q243" s="337"/>
      <c r="R243" s="736">
        <f t="shared" ref="R243:AE243" si="1027">R221/R197</f>
        <v>0.99553882391514703</v>
      </c>
      <c r="S243" s="924">
        <f t="shared" si="1027"/>
        <v>0.99591412325484685</v>
      </c>
      <c r="T243" s="924">
        <f t="shared" si="1027"/>
        <v>0.99453371803930857</v>
      </c>
      <c r="U243" s="924">
        <f t="shared" si="1027"/>
        <v>0.9958412323899265</v>
      </c>
      <c r="V243" s="924">
        <f t="shared" si="1027"/>
        <v>0.99341424894323682</v>
      </c>
      <c r="W243" s="924">
        <f t="shared" si="1027"/>
        <v>0.9928280074115986</v>
      </c>
      <c r="X243" s="924">
        <f t="shared" si="1027"/>
        <v>0.99418545086911969</v>
      </c>
      <c r="Y243" s="924">
        <f t="shared" si="1027"/>
        <v>0.99180440235344391</v>
      </c>
      <c r="Z243" s="924">
        <f t="shared" si="1027"/>
        <v>0.99915272422423296</v>
      </c>
      <c r="AA243" s="924">
        <f t="shared" si="1027"/>
        <v>0.9962148659951644</v>
      </c>
      <c r="AB243" s="924">
        <f t="shared" si="1027"/>
        <v>0.9978001024327382</v>
      </c>
      <c r="AC243" s="924">
        <f t="shared" si="1027"/>
        <v>0.99987676229042433</v>
      </c>
      <c r="AD243" s="924">
        <f t="shared" si="1027"/>
        <v>0.99074955438011725</v>
      </c>
      <c r="AE243" s="736">
        <f t="shared" si="1027"/>
        <v>0.99793762533076458</v>
      </c>
      <c r="AF243" s="924">
        <f t="shared" ref="AF243:AL244" si="1028">AF221/AF197</f>
        <v>0.99516244559766243</v>
      </c>
      <c r="AG243" s="924">
        <f t="shared" si="1028"/>
        <v>0.99691004123691429</v>
      </c>
      <c r="AH243" s="924">
        <f t="shared" si="1028"/>
        <v>0.99556377647819416</v>
      </c>
      <c r="AI243" s="924">
        <f t="shared" si="1028"/>
        <v>0.99906802025830299</v>
      </c>
      <c r="AJ243" s="924">
        <f t="shared" si="1028"/>
        <v>1.0002529874901962</v>
      </c>
      <c r="AK243" s="924">
        <f t="shared" si="1028"/>
        <v>1.0004958421203594</v>
      </c>
      <c r="AL243" s="924">
        <f t="shared" si="1028"/>
        <v>1.0020189539245965</v>
      </c>
      <c r="AM243" s="924">
        <f t="shared" si="1018"/>
        <v>1.0019496988085859</v>
      </c>
      <c r="AN243" s="924">
        <f t="shared" si="1018"/>
        <v>0.99494880616184844</v>
      </c>
      <c r="AO243" s="924">
        <f t="shared" si="1018"/>
        <v>0.99786623766865545</v>
      </c>
      <c r="AP243" s="924">
        <f t="shared" si="1018"/>
        <v>0.99678568665185474</v>
      </c>
      <c r="AQ243" s="924">
        <f t="shared" si="1018"/>
        <v>0.9913841055446847</v>
      </c>
      <c r="AR243" s="736">
        <f t="shared" si="1018"/>
        <v>0.99844568435140746</v>
      </c>
      <c r="AS243" s="1523">
        <f t="shared" ref="AS243:BD243" si="1029">AS221/AS197</f>
        <v>0.99875756687952888</v>
      </c>
      <c r="AT243" s="924">
        <f t="shared" si="1029"/>
        <v>1.0098349095397605</v>
      </c>
      <c r="AU243" s="924">
        <f t="shared" si="1029"/>
        <v>0.99608893545085775</v>
      </c>
      <c r="AV243" s="924">
        <f t="shared" si="1029"/>
        <v>0.99783883666776763</v>
      </c>
      <c r="AW243" s="924">
        <f t="shared" si="1029"/>
        <v>1.0002215334445086</v>
      </c>
      <c r="AX243" s="924">
        <f t="shared" si="1029"/>
        <v>0.99690652861404583</v>
      </c>
      <c r="AY243" s="924">
        <f t="shared" si="1029"/>
        <v>0.99312462887273822</v>
      </c>
      <c r="AZ243" s="924">
        <f t="shared" si="1029"/>
        <v>1.002760331200961</v>
      </c>
      <c r="BA243" s="924">
        <f t="shared" si="1029"/>
        <v>0.99083824814485189</v>
      </c>
      <c r="BB243" s="924">
        <f t="shared" si="1029"/>
        <v>0.99546086879628892</v>
      </c>
      <c r="BC243" s="924">
        <f t="shared" si="1029"/>
        <v>0.99677865086943307</v>
      </c>
      <c r="BD243" s="1524">
        <f t="shared" si="1029"/>
        <v>0.99100598485434399</v>
      </c>
      <c r="BE243" s="736">
        <f>BE221/BE197</f>
        <v>1.148198995263606</v>
      </c>
      <c r="BF243" s="1839">
        <f t="shared" ref="BF243:BQ243" si="1030">BF221/BF197</f>
        <v>1.1023777378374675</v>
      </c>
      <c r="BG243" s="1840">
        <f t="shared" si="1030"/>
        <v>1.1354514970290661</v>
      </c>
      <c r="BH243" s="1840">
        <f t="shared" si="1030"/>
        <v>1.1519462797130042</v>
      </c>
      <c r="BI243" s="1840">
        <f t="shared" si="1030"/>
        <v>1.2337264045659657</v>
      </c>
      <c r="BJ243" s="1840">
        <f t="shared" si="1030"/>
        <v>1.2703069715337003</v>
      </c>
      <c r="BK243" s="1840">
        <f t="shared" si="1030"/>
        <v>1.224518614916223</v>
      </c>
      <c r="BL243" s="1840">
        <f t="shared" si="1030"/>
        <v>1.1353625782355559</v>
      </c>
      <c r="BM243" s="1840">
        <f t="shared" si="1030"/>
        <v>1.0933133649199904</v>
      </c>
      <c r="BN243" s="1840">
        <f t="shared" si="1030"/>
        <v>1.1486922586499728</v>
      </c>
      <c r="BO243" s="1840">
        <f t="shared" si="1030"/>
        <v>1.1531443464980931</v>
      </c>
      <c r="BP243" s="1840">
        <f t="shared" si="1030"/>
        <v>1.1827577578470372</v>
      </c>
      <c r="BQ243" s="1841">
        <f t="shared" si="1030"/>
        <v>1.1255536900675798</v>
      </c>
      <c r="BR243" s="736">
        <f t="shared" si="1021"/>
        <v>0.53133582606590535</v>
      </c>
      <c r="BS243" s="3143">
        <f t="shared" ref="BS243:BX243" si="1031">BS221/BS197</f>
        <v>0.99139459308922495</v>
      </c>
      <c r="BT243" s="3144">
        <f t="shared" si="1031"/>
        <v>0.7298662418464924</v>
      </c>
      <c r="BU243" s="3144">
        <f t="shared" si="1031"/>
        <v>0.70974933869423917</v>
      </c>
      <c r="BV243" s="3144">
        <f t="shared" si="1031"/>
        <v>0.36845071514803263</v>
      </c>
      <c r="BW243" s="3144">
        <f t="shared" si="1031"/>
        <v>0.10507628182397562</v>
      </c>
      <c r="BX243" s="3144">
        <f t="shared" si="1031"/>
        <v>0.33084644296899751</v>
      </c>
      <c r="BY243" s="3144">
        <f t="shared" ref="BY243:CC243" si="1032">BY221/BY197</f>
        <v>6.8975722826483718E-2</v>
      </c>
      <c r="BZ243" s="3144">
        <f t="shared" si="1032"/>
        <v>0.15794515810362048</v>
      </c>
      <c r="CA243" s="3144">
        <f t="shared" si="1032"/>
        <v>0.18347142774169797</v>
      </c>
      <c r="CB243" s="3144">
        <f t="shared" si="1032"/>
        <v>0.45414967348568075</v>
      </c>
      <c r="CC243" s="3144">
        <f t="shared" si="1032"/>
        <v>0.35876230372722523</v>
      </c>
      <c r="CD243" s="3145">
        <f t="shared" ref="CD243" si="1033">CD221/CD197</f>
        <v>0.99025363464499783</v>
      </c>
      <c r="CE243" s="736">
        <f t="shared" si="1025"/>
        <v>0.33084644296899746</v>
      </c>
      <c r="CF243" s="2521">
        <f t="shared" ref="CF243:CQ243" si="1034">CF221/CF197</f>
        <v>0.33084644296899751</v>
      </c>
      <c r="CG243" s="2247">
        <f t="shared" si="1034"/>
        <v>0.33084644296899751</v>
      </c>
      <c r="CH243" s="2247">
        <f t="shared" si="1034"/>
        <v>0.33084644296899751</v>
      </c>
      <c r="CI243" s="2247">
        <f t="shared" si="1034"/>
        <v>0.33084644296899751</v>
      </c>
      <c r="CJ243" s="2247">
        <f t="shared" si="1034"/>
        <v>0.33084644296899751</v>
      </c>
      <c r="CK243" s="2247">
        <f t="shared" si="1034"/>
        <v>0.33084644296899751</v>
      </c>
      <c r="CL243" s="2247">
        <f t="shared" si="1034"/>
        <v>0.33084644296899751</v>
      </c>
      <c r="CM243" s="2247">
        <f t="shared" si="1034"/>
        <v>0.33084644296899751</v>
      </c>
      <c r="CN243" s="2247">
        <f t="shared" si="1034"/>
        <v>0.33084644296899751</v>
      </c>
      <c r="CO243" s="2247">
        <f t="shared" si="1034"/>
        <v>0.33084644296899751</v>
      </c>
      <c r="CP243" s="2247">
        <f t="shared" si="1034"/>
        <v>0.33084644296899751</v>
      </c>
      <c r="CQ243" s="2276">
        <f t="shared" si="1034"/>
        <v>0.33084644296899751</v>
      </c>
    </row>
    <row r="244" spans="1:95">
      <c r="B244" s="3313"/>
      <c r="C244" s="3314"/>
      <c r="D244" s="101" t="s">
        <v>16</v>
      </c>
      <c r="E244" s="378"/>
      <c r="F244" s="335"/>
      <c r="G244" s="335"/>
      <c r="H244" s="335"/>
      <c r="I244" s="335"/>
      <c r="J244" s="335"/>
      <c r="K244" s="335"/>
      <c r="L244" s="335"/>
      <c r="M244" s="335"/>
      <c r="N244" s="335"/>
      <c r="O244" s="335"/>
      <c r="P244" s="335"/>
      <c r="Q244" s="335"/>
      <c r="R244" s="735">
        <f t="shared" ref="R244:AE244" si="1035">R222/R198</f>
        <v>1.0703455680816947</v>
      </c>
      <c r="S244" s="731">
        <f t="shared" si="1035"/>
        <v>1.0013644953823213</v>
      </c>
      <c r="T244" s="731">
        <f t="shared" si="1035"/>
        <v>1.0071715239005332</v>
      </c>
      <c r="U244" s="731">
        <f t="shared" si="1035"/>
        <v>1.0217828464942862</v>
      </c>
      <c r="V244" s="731">
        <f t="shared" si="1035"/>
        <v>1.0215612223937434</v>
      </c>
      <c r="W244" s="731">
        <f t="shared" si="1035"/>
        <v>1.0180392112133128</v>
      </c>
      <c r="X244" s="731">
        <f t="shared" si="1035"/>
        <v>1.1061365239281891</v>
      </c>
      <c r="Y244" s="732">
        <f t="shared" si="1035"/>
        <v>1.161792111842243</v>
      </c>
      <c r="Z244" s="732">
        <f t="shared" si="1035"/>
        <v>1.1559511910311318</v>
      </c>
      <c r="AA244" s="732">
        <f t="shared" si="1035"/>
        <v>1.0908361162944109</v>
      </c>
      <c r="AB244" s="732">
        <f t="shared" si="1035"/>
        <v>1.0683671780619179</v>
      </c>
      <c r="AC244" s="732">
        <f t="shared" si="1035"/>
        <v>1.0869322259565943</v>
      </c>
      <c r="AD244" s="732">
        <f t="shared" si="1035"/>
        <v>1.0718631399664553</v>
      </c>
      <c r="AE244" s="735">
        <f t="shared" si="1035"/>
        <v>1.1022590264714829</v>
      </c>
      <c r="AF244" s="732">
        <f t="shared" si="1028"/>
        <v>1.096651213341054</v>
      </c>
      <c r="AG244" s="732">
        <f t="shared" si="1028"/>
        <v>1.1172764280610545</v>
      </c>
      <c r="AH244" s="732">
        <f t="shared" si="1028"/>
        <v>1.0915308578714635</v>
      </c>
      <c r="AI244" s="732">
        <f t="shared" si="1028"/>
        <v>1.1287999062664222</v>
      </c>
      <c r="AJ244" s="732">
        <f t="shared" si="1028"/>
        <v>1.121474936014518</v>
      </c>
      <c r="AK244" s="732">
        <f t="shared" si="1028"/>
        <v>1.2428988335570976</v>
      </c>
      <c r="AL244" s="732">
        <f t="shared" si="1028"/>
        <v>1.1154477291800193</v>
      </c>
      <c r="AM244" s="732">
        <f t="shared" si="1018"/>
        <v>1.1327538793442968</v>
      </c>
      <c r="AN244" s="732">
        <f t="shared" si="1018"/>
        <v>1.0940238496373058</v>
      </c>
      <c r="AO244" s="732">
        <f t="shared" si="1018"/>
        <v>1.0475840076749672</v>
      </c>
      <c r="AP244" s="732">
        <f t="shared" si="1018"/>
        <v>1.0651110384344771</v>
      </c>
      <c r="AQ244" s="732">
        <f t="shared" si="1018"/>
        <v>1.0647746363420278</v>
      </c>
      <c r="AR244" s="735">
        <f t="shared" si="1018"/>
        <v>1.1096453378947011</v>
      </c>
      <c r="AS244" s="1525">
        <f t="shared" ref="AS244:BD244" si="1036">AS222/AS198</f>
        <v>1.0716565974161871</v>
      </c>
      <c r="AT244" s="732">
        <f t="shared" si="1036"/>
        <v>1.0905673351297223</v>
      </c>
      <c r="AU244" s="732">
        <f t="shared" si="1036"/>
        <v>1.1063251529486309</v>
      </c>
      <c r="AV244" s="732">
        <f t="shared" si="1036"/>
        <v>1.1587428792447561</v>
      </c>
      <c r="AW244" s="732">
        <f t="shared" si="1036"/>
        <v>1.1590698066630716</v>
      </c>
      <c r="AX244" s="732">
        <f t="shared" si="1036"/>
        <v>1.1724706966622067</v>
      </c>
      <c r="AY244" s="732">
        <f t="shared" si="1036"/>
        <v>1.148370199478626</v>
      </c>
      <c r="AZ244" s="732">
        <f t="shared" si="1036"/>
        <v>1.132317297253622</v>
      </c>
      <c r="BA244" s="732">
        <f t="shared" si="1036"/>
        <v>1.0938034836246133</v>
      </c>
      <c r="BB244" s="732">
        <f t="shared" si="1036"/>
        <v>1.078587442781735</v>
      </c>
      <c r="BC244" s="732">
        <f t="shared" si="1036"/>
        <v>1.0792710693471705</v>
      </c>
      <c r="BD244" s="1526">
        <f t="shared" si="1036"/>
        <v>1.059913604479185</v>
      </c>
      <c r="BE244" s="735">
        <f>BE222/BE198</f>
        <v>1.1359400626258318</v>
      </c>
      <c r="BF244" s="1842">
        <f t="shared" ref="BF244:BQ244" si="1037">BF222/BF198</f>
        <v>1.1147316838090915</v>
      </c>
      <c r="BG244" s="1843">
        <f t="shared" si="1037"/>
        <v>1.1120798354567085</v>
      </c>
      <c r="BH244" s="1843">
        <f t="shared" si="1037"/>
        <v>1.1016935725570203</v>
      </c>
      <c r="BI244" s="1843">
        <f t="shared" si="1037"/>
        <v>1.1078420277782173</v>
      </c>
      <c r="BJ244" s="1843">
        <f t="shared" si="1037"/>
        <v>1.1066850405785114</v>
      </c>
      <c r="BK244" s="1843">
        <f t="shared" si="1037"/>
        <v>1.1419664450665938</v>
      </c>
      <c r="BL244" s="1843">
        <f t="shared" si="1037"/>
        <v>1.1758621413011594</v>
      </c>
      <c r="BM244" s="1844">
        <f t="shared" si="1037"/>
        <v>1.1386325322367399</v>
      </c>
      <c r="BN244" s="1844">
        <f t="shared" si="1037"/>
        <v>1.2112619694781039</v>
      </c>
      <c r="BO244" s="1844">
        <f t="shared" si="1037"/>
        <v>1.0914370132694353</v>
      </c>
      <c r="BP244" s="1844">
        <f t="shared" si="1037"/>
        <v>1.1133206792741115</v>
      </c>
      <c r="BQ244" s="1845">
        <f t="shared" si="1037"/>
        <v>1.1453442578075639</v>
      </c>
      <c r="BR244" s="735">
        <f t="shared" si="1021"/>
        <v>1.1411630657754823</v>
      </c>
      <c r="BS244" s="3146">
        <f t="shared" ref="BS244:BX244" si="1038">BS222/BS198</f>
        <v>1.1674933082117298</v>
      </c>
      <c r="BT244" s="3147">
        <f t="shared" si="1038"/>
        <v>1.1193751200079827</v>
      </c>
      <c r="BU244" s="3147">
        <f t="shared" si="1038"/>
        <v>1.1130721903492655</v>
      </c>
      <c r="BV244" s="3147">
        <f t="shared" si="1038"/>
        <v>1.071578553942151</v>
      </c>
      <c r="BW244" s="3147">
        <f t="shared" si="1038"/>
        <v>1.0944550163936477</v>
      </c>
      <c r="BX244" s="3147">
        <f t="shared" si="1038"/>
        <v>1.2120410016141427</v>
      </c>
      <c r="BY244" s="3147">
        <f t="shared" ref="BY244:CC244" si="1039">BY222/BY198</f>
        <v>1.1719500770214195</v>
      </c>
      <c r="BZ244" s="3147">
        <f t="shared" si="1039"/>
        <v>1.1442934719767779</v>
      </c>
      <c r="CA244" s="3147">
        <f t="shared" si="1039"/>
        <v>1.1166310853560564</v>
      </c>
      <c r="CB244" s="3147">
        <f t="shared" si="1039"/>
        <v>1.1755684285342136</v>
      </c>
      <c r="CC244" s="3147">
        <f t="shared" si="1039"/>
        <v>1.212414295906926</v>
      </c>
      <c r="CD244" s="3148">
        <f t="shared" ref="CD244" si="1040">CD222/CD198</f>
        <v>1.1542412665702724</v>
      </c>
      <c r="CE244" s="735">
        <f t="shared" si="1025"/>
        <v>1.0966446931913569</v>
      </c>
      <c r="CF244" s="2522">
        <f t="shared" ref="CF244:CQ244" si="1041">CF222/CF198</f>
        <v>1.1411237111301336</v>
      </c>
      <c r="CG244" s="2248">
        <f t="shared" si="1041"/>
        <v>1.0805145732382326</v>
      </c>
      <c r="CH244" s="2248">
        <f t="shared" si="1041"/>
        <v>1.1040237221281115</v>
      </c>
      <c r="CI244" s="2248">
        <f t="shared" si="1041"/>
        <v>1.0433821518265005</v>
      </c>
      <c r="CJ244" s="2248">
        <f t="shared" si="1041"/>
        <v>1.0650941582361444</v>
      </c>
      <c r="CK244" s="2248">
        <f t="shared" si="1041"/>
        <v>1.1666038321818084</v>
      </c>
      <c r="CL244" s="2248">
        <f t="shared" si="1041"/>
        <v>1.1043571499480518</v>
      </c>
      <c r="CM244" s="2248">
        <f t="shared" si="1041"/>
        <v>1.0859535593091529</v>
      </c>
      <c r="CN244" s="2248">
        <f t="shared" si="1041"/>
        <v>1.1034969872936906</v>
      </c>
      <c r="CO244" s="2248">
        <f t="shared" si="1041"/>
        <v>1.0840686554184289</v>
      </c>
      <c r="CP244" s="2248">
        <f t="shared" si="1041"/>
        <v>1.0831444209935066</v>
      </c>
      <c r="CQ244" s="2277">
        <f t="shared" si="1041"/>
        <v>1.0809549613286182</v>
      </c>
    </row>
    <row r="245" spans="1:95">
      <c r="B245" s="3313"/>
      <c r="C245" s="3314"/>
      <c r="D245" s="144" t="s">
        <v>574</v>
      </c>
      <c r="E245" s="378"/>
      <c r="F245" s="335"/>
      <c r="G245" s="335"/>
      <c r="H245" s="335"/>
      <c r="I245" s="335"/>
      <c r="J245" s="335"/>
      <c r="K245" s="335"/>
      <c r="L245" s="335"/>
      <c r="M245" s="335"/>
      <c r="N245" s="335"/>
      <c r="O245" s="335"/>
      <c r="P245" s="335"/>
      <c r="Q245" s="335"/>
      <c r="R245" s="735"/>
      <c r="S245" s="731"/>
      <c r="T245" s="731"/>
      <c r="U245" s="731"/>
      <c r="V245" s="731"/>
      <c r="W245" s="731"/>
      <c r="X245" s="731"/>
      <c r="Y245" s="732"/>
      <c r="Z245" s="732"/>
      <c r="AA245" s="2292"/>
      <c r="AB245" s="2292"/>
      <c r="AC245" s="2292"/>
      <c r="AD245" s="2292"/>
      <c r="AE245" s="735"/>
      <c r="AF245" s="2292"/>
      <c r="AG245" s="2292"/>
      <c r="AH245" s="2292"/>
      <c r="AI245" s="2292"/>
      <c r="AJ245" s="2292"/>
      <c r="AK245" s="2292"/>
      <c r="AL245" s="2292"/>
      <c r="AM245" s="2292"/>
      <c r="AN245" s="2292"/>
      <c r="AO245" s="2292"/>
      <c r="AP245" s="2292"/>
      <c r="AQ245" s="2292"/>
      <c r="AR245" s="735"/>
      <c r="AS245" s="1525"/>
      <c r="AT245" s="732"/>
      <c r="AU245" s="732"/>
      <c r="AV245" s="732"/>
      <c r="AW245" s="732"/>
      <c r="AX245" s="732"/>
      <c r="AY245" s="732"/>
      <c r="AZ245" s="732"/>
      <c r="BA245" s="732"/>
      <c r="BB245" s="732"/>
      <c r="BC245" s="732"/>
      <c r="BD245" s="1526"/>
      <c r="BE245" s="735"/>
      <c r="BF245" s="1842"/>
      <c r="BG245" s="1843"/>
      <c r="BH245" s="1843"/>
      <c r="BI245" s="1843"/>
      <c r="BJ245" s="1843"/>
      <c r="BK245" s="1843"/>
      <c r="BL245" s="1843"/>
      <c r="BM245" s="1844"/>
      <c r="BN245" s="1844"/>
      <c r="BO245" s="1844"/>
      <c r="BP245" s="1844"/>
      <c r="BQ245" s="1845"/>
      <c r="BR245" s="735">
        <f t="shared" si="1021"/>
        <v>1.3504364036068615</v>
      </c>
      <c r="BS245" s="3146">
        <f t="shared" ref="BS245:BX245" si="1042">BS223/BS199</f>
        <v>1.3853948593994851</v>
      </c>
      <c r="BT245" s="3147">
        <f t="shared" si="1042"/>
        <v>1.3833994108526722</v>
      </c>
      <c r="BU245" s="3147">
        <f t="shared" si="1042"/>
        <v>1.4393969437646486</v>
      </c>
      <c r="BV245" s="3147">
        <f t="shared" si="1042"/>
        <v>1.442937779450542</v>
      </c>
      <c r="BW245" s="3147">
        <f t="shared" si="1042"/>
        <v>1.2663112496404776</v>
      </c>
      <c r="BX245" s="3147">
        <f t="shared" si="1042"/>
        <v>1.3239193258947159</v>
      </c>
      <c r="BY245" s="3147">
        <f t="shared" ref="BY245:CC245" si="1043">BY223/BY199</f>
        <v>1.3362389628305706</v>
      </c>
      <c r="BZ245" s="3147">
        <f t="shared" si="1043"/>
        <v>1.3946179577872599</v>
      </c>
      <c r="CA245" s="3147">
        <f t="shared" si="1043"/>
        <v>1.2864633714311593</v>
      </c>
      <c r="CB245" s="3147">
        <f t="shared" si="1043"/>
        <v>1.2812010039960213</v>
      </c>
      <c r="CC245" s="3147">
        <f t="shared" si="1043"/>
        <v>1.5176760152427056</v>
      </c>
      <c r="CD245" s="3148">
        <f t="shared" ref="CD245" si="1044">CD223/CD199</f>
        <v>1.3238623665939395</v>
      </c>
      <c r="CE245" s="735">
        <f t="shared" si="1025"/>
        <v>1.3753862980470408</v>
      </c>
      <c r="CF245" s="2522">
        <f t="shared" ref="CF245:CQ245" si="1045">CF223/CF199</f>
        <v>1.3840379594392507</v>
      </c>
      <c r="CG245" s="2248">
        <f t="shared" si="1045"/>
        <v>1.4379871524387282</v>
      </c>
      <c r="CH245" s="2248">
        <f t="shared" si="1045"/>
        <v>1.3820444652984583</v>
      </c>
      <c r="CI245" s="2248">
        <f t="shared" si="1045"/>
        <v>1.4415245201170941</v>
      </c>
      <c r="CJ245" s="2248">
        <f t="shared" si="1045"/>
        <v>1.265070983969919</v>
      </c>
      <c r="CK245" s="2248">
        <f t="shared" si="1045"/>
        <v>1.3226226370348779</v>
      </c>
      <c r="CL245" s="2248">
        <f t="shared" si="1045"/>
        <v>1.3820444652984583</v>
      </c>
      <c r="CM245" s="2248">
        <f t="shared" si="1045"/>
        <v>1.3670800028897692</v>
      </c>
      <c r="CN245" s="2248">
        <f t="shared" si="1045"/>
        <v>1.382044465298458</v>
      </c>
      <c r="CO245" s="2248">
        <f t="shared" si="1045"/>
        <v>1.3670800028897692</v>
      </c>
      <c r="CP245" s="2248">
        <f t="shared" si="1045"/>
        <v>1.3670800028897689</v>
      </c>
      <c r="CQ245" s="2277">
        <f t="shared" si="1045"/>
        <v>1.3670800028897689</v>
      </c>
    </row>
    <row r="246" spans="1:95">
      <c r="B246" s="3313"/>
      <c r="C246" s="3314"/>
      <c r="D246" s="201" t="s">
        <v>47</v>
      </c>
      <c r="E246" s="378"/>
      <c r="F246" s="335"/>
      <c r="G246" s="335"/>
      <c r="H246" s="335"/>
      <c r="I246" s="335"/>
      <c r="J246" s="335"/>
      <c r="K246" s="335"/>
      <c r="L246" s="335"/>
      <c r="M246" s="335"/>
      <c r="N246" s="335"/>
      <c r="O246" s="335"/>
      <c r="P246" s="335"/>
      <c r="Q246" s="335"/>
      <c r="R246" s="735"/>
      <c r="S246" s="731"/>
      <c r="T246" s="731"/>
      <c r="U246" s="731"/>
      <c r="V246" s="731"/>
      <c r="W246" s="731"/>
      <c r="X246" s="731"/>
      <c r="Y246" s="731"/>
      <c r="Z246" s="731"/>
      <c r="AA246" s="2528"/>
      <c r="AB246" s="2528"/>
      <c r="AC246" s="2528"/>
      <c r="AD246" s="2528"/>
      <c r="AE246" s="735"/>
      <c r="AF246" s="2528"/>
      <c r="AG246" s="2528"/>
      <c r="AH246" s="2528"/>
      <c r="AI246" s="2528"/>
      <c r="AJ246" s="2528"/>
      <c r="AK246" s="2528"/>
      <c r="AL246" s="2528"/>
      <c r="AM246" s="2528"/>
      <c r="AN246" s="2528"/>
      <c r="AO246" s="2528"/>
      <c r="AP246" s="2528"/>
      <c r="AQ246" s="2528"/>
      <c r="AR246" s="735"/>
      <c r="AS246" s="1525">
        <f t="shared" ref="AS246:BD246" si="1046">AS224/AS200</f>
        <v>0</v>
      </c>
      <c r="AT246" s="731">
        <f t="shared" si="1046"/>
        <v>0</v>
      </c>
      <c r="AU246" s="731">
        <f t="shared" si="1046"/>
        <v>0</v>
      </c>
      <c r="AV246" s="731">
        <f t="shared" si="1046"/>
        <v>0</v>
      </c>
      <c r="AW246" s="731">
        <f t="shared" si="1046"/>
        <v>0</v>
      </c>
      <c r="AX246" s="731">
        <f t="shared" si="1046"/>
        <v>0</v>
      </c>
      <c r="AY246" s="731">
        <f t="shared" si="1046"/>
        <v>0</v>
      </c>
      <c r="AZ246" s="731">
        <f t="shared" si="1046"/>
        <v>0</v>
      </c>
      <c r="BA246" s="731">
        <f t="shared" si="1046"/>
        <v>0</v>
      </c>
      <c r="BB246" s="731">
        <f t="shared" si="1046"/>
        <v>0</v>
      </c>
      <c r="BC246" s="731">
        <f t="shared" si="1046"/>
        <v>0</v>
      </c>
      <c r="BD246" s="1528">
        <f t="shared" si="1046"/>
        <v>0</v>
      </c>
      <c r="BE246" s="735"/>
      <c r="BF246" s="1842">
        <f t="shared" ref="BF246:BQ246" si="1047">IFERROR(BF224/BF200,0)</f>
        <v>0</v>
      </c>
      <c r="BG246" s="1844">
        <f t="shared" si="1047"/>
        <v>0</v>
      </c>
      <c r="BH246" s="1844">
        <f t="shared" si="1047"/>
        <v>0</v>
      </c>
      <c r="BI246" s="1844">
        <f t="shared" si="1047"/>
        <v>0</v>
      </c>
      <c r="BJ246" s="1844">
        <f t="shared" si="1047"/>
        <v>0</v>
      </c>
      <c r="BK246" s="1844">
        <f t="shared" si="1047"/>
        <v>0</v>
      </c>
      <c r="BL246" s="1844">
        <f t="shared" si="1047"/>
        <v>0</v>
      </c>
      <c r="BM246" s="1844">
        <f t="shared" si="1047"/>
        <v>0</v>
      </c>
      <c r="BN246" s="1844">
        <f t="shared" si="1047"/>
        <v>0</v>
      </c>
      <c r="BO246" s="1844">
        <f t="shared" si="1047"/>
        <v>0</v>
      </c>
      <c r="BP246" s="1844">
        <f t="shared" si="1047"/>
        <v>0</v>
      </c>
      <c r="BQ246" s="1845">
        <f t="shared" si="1047"/>
        <v>0</v>
      </c>
      <c r="BR246" s="735" t="e">
        <f t="shared" si="1021"/>
        <v>#DIV/0!</v>
      </c>
      <c r="BS246" s="3146">
        <f t="shared" ref="BS246:BX246" si="1048">IFERROR(BS224/BS200,0)</f>
        <v>0</v>
      </c>
      <c r="BT246" s="3147">
        <f t="shared" si="1048"/>
        <v>0</v>
      </c>
      <c r="BU246" s="3147">
        <f t="shared" si="1048"/>
        <v>0</v>
      </c>
      <c r="BV246" s="3147">
        <f t="shared" si="1048"/>
        <v>0</v>
      </c>
      <c r="BW246" s="3147">
        <f t="shared" si="1048"/>
        <v>0</v>
      </c>
      <c r="BX246" s="3147">
        <f t="shared" si="1048"/>
        <v>0</v>
      </c>
      <c r="BY246" s="3147">
        <f t="shared" ref="BY246:CC246" si="1049">IFERROR(BY224/BY200,0)</f>
        <v>0</v>
      </c>
      <c r="BZ246" s="3147">
        <f t="shared" si="1049"/>
        <v>0</v>
      </c>
      <c r="CA246" s="3147">
        <f t="shared" si="1049"/>
        <v>0</v>
      </c>
      <c r="CB246" s="3147">
        <f t="shared" si="1049"/>
        <v>0</v>
      </c>
      <c r="CC246" s="3147">
        <f t="shared" si="1049"/>
        <v>0</v>
      </c>
      <c r="CD246" s="3148">
        <f t="shared" ref="CD246" si="1050">IFERROR(CD224/CD200,0)</f>
        <v>0</v>
      </c>
      <c r="CE246" s="735" t="e">
        <f t="shared" si="1025"/>
        <v>#DIV/0!</v>
      </c>
      <c r="CF246" s="2522"/>
      <c r="CG246" s="2248"/>
      <c r="CH246" s="2248"/>
      <c r="CI246" s="2248"/>
      <c r="CJ246" s="2248"/>
      <c r="CK246" s="2248"/>
      <c r="CL246" s="2248"/>
      <c r="CM246" s="2248"/>
      <c r="CN246" s="2248"/>
      <c r="CO246" s="2248"/>
      <c r="CP246" s="2248"/>
      <c r="CQ246" s="2277"/>
    </row>
    <row r="247" spans="1:95">
      <c r="B247" s="3313"/>
      <c r="C247" s="3314"/>
      <c r="D247" s="201" t="s">
        <v>680</v>
      </c>
      <c r="E247" s="378"/>
      <c r="F247" s="335"/>
      <c r="G247" s="335"/>
      <c r="H247" s="335"/>
      <c r="I247" s="335"/>
      <c r="J247" s="335"/>
      <c r="K247" s="335"/>
      <c r="L247" s="335"/>
      <c r="M247" s="335"/>
      <c r="N247" s="335"/>
      <c r="O247" s="335"/>
      <c r="P247" s="335"/>
      <c r="Q247" s="335"/>
      <c r="R247" s="735">
        <f t="shared" ref="R247:AR247" si="1051">R225/R201</f>
        <v>1.0062149215645939</v>
      </c>
      <c r="S247" s="731">
        <f t="shared" si="1051"/>
        <v>1.0087600178586713</v>
      </c>
      <c r="T247" s="731">
        <f t="shared" si="1051"/>
        <v>0.98248610835766126</v>
      </c>
      <c r="U247" s="731">
        <f t="shared" si="1051"/>
        <v>0.93796934909386542</v>
      </c>
      <c r="V247" s="731">
        <f t="shared" si="1051"/>
        <v>1.0176667099898691</v>
      </c>
      <c r="W247" s="731">
        <f t="shared" si="1051"/>
        <v>1.027996381957315</v>
      </c>
      <c r="X247" s="731">
        <f t="shared" si="1051"/>
        <v>1.0157645171647809</v>
      </c>
      <c r="Y247" s="731">
        <f t="shared" si="1051"/>
        <v>1.0211731789644842</v>
      </c>
      <c r="Z247" s="731">
        <f t="shared" si="1051"/>
        <v>1.0353118899953833</v>
      </c>
      <c r="AA247" s="731">
        <f t="shared" si="1051"/>
        <v>1.0270868450396045</v>
      </c>
      <c r="AB247" s="731">
        <f t="shared" si="1051"/>
        <v>1.0089900515956058</v>
      </c>
      <c r="AC247" s="731">
        <f t="shared" si="1051"/>
        <v>0.99370544543860495</v>
      </c>
      <c r="AD247" s="731">
        <f t="shared" si="1051"/>
        <v>0.99446140581828801</v>
      </c>
      <c r="AE247" s="735">
        <f t="shared" si="1051"/>
        <v>1.0548177146698343</v>
      </c>
      <c r="AF247" s="731">
        <f t="shared" si="1051"/>
        <v>1.0729228529356927</v>
      </c>
      <c r="AG247" s="731">
        <f t="shared" si="1051"/>
        <v>1.039872385831405</v>
      </c>
      <c r="AH247" s="731">
        <f t="shared" si="1051"/>
        <v>1.048041107953269</v>
      </c>
      <c r="AI247" s="731">
        <f t="shared" si="1051"/>
        <v>1.0319824444887746</v>
      </c>
      <c r="AJ247" s="731">
        <f t="shared" si="1051"/>
        <v>1.1417676877966754</v>
      </c>
      <c r="AK247" s="731">
        <f t="shared" si="1051"/>
        <v>1.1387967651436102</v>
      </c>
      <c r="AL247" s="731">
        <f t="shared" si="1051"/>
        <v>1.0417210457029447</v>
      </c>
      <c r="AM247" s="731">
        <f t="shared" si="1051"/>
        <v>1.0589347980541974</v>
      </c>
      <c r="AN247" s="731">
        <f t="shared" si="1051"/>
        <v>1.0589046746908188</v>
      </c>
      <c r="AO247" s="731">
        <f t="shared" si="1051"/>
        <v>1.0134251860653432</v>
      </c>
      <c r="AP247" s="731">
        <f t="shared" si="1051"/>
        <v>0.90133229645841151</v>
      </c>
      <c r="AQ247" s="731">
        <f t="shared" si="1051"/>
        <v>1.0822320273080093</v>
      </c>
      <c r="AR247" s="735">
        <f t="shared" si="1051"/>
        <v>1.0308631728293289</v>
      </c>
      <c r="AS247" s="1527">
        <f t="shared" ref="AS247:BD247" si="1052">AS225/AS201</f>
        <v>1.0694651279880787</v>
      </c>
      <c r="AT247" s="731">
        <f t="shared" si="1052"/>
        <v>1.0428921241331055</v>
      </c>
      <c r="AU247" s="731">
        <f t="shared" si="1052"/>
        <v>1.0790419260540711</v>
      </c>
      <c r="AV247" s="731">
        <f t="shared" si="1052"/>
        <v>1.0598437918648655</v>
      </c>
      <c r="AW247" s="731">
        <f t="shared" si="1052"/>
        <v>1.0526103268591491</v>
      </c>
      <c r="AX247" s="731">
        <f t="shared" si="1052"/>
        <v>1.0694185120588173</v>
      </c>
      <c r="AY247" s="731">
        <f t="shared" si="1052"/>
        <v>1.0762027599066764</v>
      </c>
      <c r="AZ247" s="731">
        <f t="shared" si="1052"/>
        <v>1.0559825938855782</v>
      </c>
      <c r="BA247" s="731">
        <f t="shared" si="1052"/>
        <v>1.0616832613574732</v>
      </c>
      <c r="BB247" s="731">
        <f t="shared" si="1052"/>
        <v>1.0036929220450841</v>
      </c>
      <c r="BC247" s="731">
        <f t="shared" si="1052"/>
        <v>1.0252582813516771</v>
      </c>
      <c r="BD247" s="1528">
        <f t="shared" si="1052"/>
        <v>1.0396708096504137</v>
      </c>
      <c r="BE247" s="735">
        <f t="shared" ref="BE247:BQ247" si="1053">BE225/BE201</f>
        <v>1.0531470434356311</v>
      </c>
      <c r="BF247" s="1842">
        <f t="shared" si="1053"/>
        <v>1.0785901747565978</v>
      </c>
      <c r="BG247" s="1844">
        <f t="shared" si="1053"/>
        <v>1.0096502920738559</v>
      </c>
      <c r="BH247" s="1844">
        <f t="shared" si="1053"/>
        <v>1.0613930073993434</v>
      </c>
      <c r="BI247" s="1844">
        <f t="shared" si="1053"/>
        <v>1.1276580502029006</v>
      </c>
      <c r="BJ247" s="1844">
        <f t="shared" si="1053"/>
        <v>1.1457493984086313</v>
      </c>
      <c r="BK247" s="1844">
        <f t="shared" si="1053"/>
        <v>1.0641632366197475</v>
      </c>
      <c r="BL247" s="1844">
        <f t="shared" si="1053"/>
        <v>1.06890504701487</v>
      </c>
      <c r="BM247" s="1844">
        <f t="shared" si="1053"/>
        <v>1.1083749371347531</v>
      </c>
      <c r="BN247" s="1844">
        <f t="shared" si="1053"/>
        <v>1.0218433672268452</v>
      </c>
      <c r="BO247" s="1844">
        <f t="shared" si="1053"/>
        <v>1.0398220714339976</v>
      </c>
      <c r="BP247" s="1844">
        <f t="shared" si="1053"/>
        <v>1.03478921775196</v>
      </c>
      <c r="BQ247" s="1845">
        <f t="shared" si="1053"/>
        <v>1.0608001116290933</v>
      </c>
      <c r="BR247" s="735">
        <f t="shared" si="1021"/>
        <v>1.0848860535717433</v>
      </c>
      <c r="BS247" s="3146">
        <f t="shared" ref="BS247:BX247" si="1054">BS225/BS201</f>
        <v>0.88388472046094435</v>
      </c>
      <c r="BT247" s="3147">
        <f t="shared" si="1054"/>
        <v>1.1126055324089279</v>
      </c>
      <c r="BU247" s="3147">
        <f t="shared" si="1054"/>
        <v>1.0515282203845278</v>
      </c>
      <c r="BV247" s="3147">
        <f t="shared" si="1054"/>
        <v>1.0804056025633302</v>
      </c>
      <c r="BW247" s="3147">
        <f t="shared" si="1054"/>
        <v>1.0958356490074037</v>
      </c>
      <c r="BX247" s="3147">
        <f t="shared" si="1054"/>
        <v>1.1095040490481389</v>
      </c>
      <c r="BY247" s="3147">
        <f t="shared" ref="BY247:CC247" si="1055">BY225/BY201</f>
        <v>1.0990706679594682</v>
      </c>
      <c r="BZ247" s="3147">
        <f t="shared" si="1055"/>
        <v>1.1365176381456674</v>
      </c>
      <c r="CA247" s="3147">
        <f t="shared" si="1055"/>
        <v>1.0673360212707328</v>
      </c>
      <c r="CB247" s="3147">
        <f t="shared" si="1055"/>
        <v>1.0710419769856967</v>
      </c>
      <c r="CC247" s="3147">
        <f t="shared" si="1055"/>
        <v>1.1291975339294782</v>
      </c>
      <c r="CD247" s="3148">
        <f t="shared" ref="CD247" si="1056">CD225/CD201</f>
        <v>1.1144390448226631</v>
      </c>
      <c r="CE247" s="735">
        <f t="shared" si="1025"/>
        <v>1.1016107500225467</v>
      </c>
      <c r="CF247" s="2522">
        <f t="shared" ref="CF247:CQ247" si="1057">CF225/CF201</f>
        <v>1.1183976977853607</v>
      </c>
      <c r="CG247" s="2248">
        <f t="shared" si="1057"/>
        <v>1.1189323311531727</v>
      </c>
      <c r="CH247" s="2248">
        <f t="shared" si="1057"/>
        <v>0.92065778472049065</v>
      </c>
      <c r="CI247" s="2248">
        <f t="shared" si="1057"/>
        <v>1.1222300343171647</v>
      </c>
      <c r="CJ247" s="2248">
        <f t="shared" si="1057"/>
        <v>1.2031648788978231</v>
      </c>
      <c r="CK247" s="2248">
        <f t="shared" si="1057"/>
        <v>1.283383213823416</v>
      </c>
      <c r="CL247" s="2248">
        <f t="shared" si="1057"/>
        <v>0.98834446658947961</v>
      </c>
      <c r="CM247" s="2248">
        <f t="shared" si="1057"/>
        <v>1.1899712019811375</v>
      </c>
      <c r="CN247" s="2248">
        <f t="shared" si="1057"/>
        <v>1.0121049240504829</v>
      </c>
      <c r="CO247" s="2248">
        <f t="shared" si="1057"/>
        <v>1.1938035856293598</v>
      </c>
      <c r="CP247" s="2248">
        <f t="shared" si="1057"/>
        <v>1.1859887369275997</v>
      </c>
      <c r="CQ247" s="2277">
        <f t="shared" si="1057"/>
        <v>1.1838387139554327</v>
      </c>
    </row>
    <row r="248" spans="1:95">
      <c r="B248" s="3313"/>
      <c r="C248" s="3314"/>
      <c r="D248" s="201" t="s">
        <v>331</v>
      </c>
      <c r="E248" s="378"/>
      <c r="F248" s="335"/>
      <c r="G248" s="335"/>
      <c r="H248" s="335"/>
      <c r="I248" s="335"/>
      <c r="J248" s="335"/>
      <c r="K248" s="335"/>
      <c r="L248" s="335"/>
      <c r="M248" s="335"/>
      <c r="N248" s="335"/>
      <c r="O248" s="335"/>
      <c r="P248" s="335"/>
      <c r="Q248" s="335"/>
      <c r="R248" s="735">
        <f t="shared" ref="R248:AR248" si="1058">R226/R202</f>
        <v>0.99950941751501865</v>
      </c>
      <c r="S248" s="731">
        <f t="shared" si="1058"/>
        <v>0.93541928133885432</v>
      </c>
      <c r="T248" s="731">
        <f t="shared" si="1058"/>
        <v>1.0160455989400081</v>
      </c>
      <c r="U248" s="731">
        <f t="shared" si="1058"/>
        <v>0.95298309406778192</v>
      </c>
      <c r="V248" s="731">
        <f t="shared" si="1058"/>
        <v>0.94380582255999357</v>
      </c>
      <c r="W248" s="731">
        <f t="shared" si="1058"/>
        <v>1.0509247925519762</v>
      </c>
      <c r="X248" s="731">
        <f t="shared" si="1058"/>
        <v>0.98540629428637272</v>
      </c>
      <c r="Y248" s="731">
        <f t="shared" si="1058"/>
        <v>1.009318439692769</v>
      </c>
      <c r="Z248" s="731">
        <f t="shared" si="1058"/>
        <v>1.035448545076499</v>
      </c>
      <c r="AA248" s="742">
        <f t="shared" si="1058"/>
        <v>1.0091212360215309</v>
      </c>
      <c r="AB248" s="742">
        <f t="shared" si="1058"/>
        <v>0.99755051573125264</v>
      </c>
      <c r="AC248" s="742">
        <f t="shared" si="1058"/>
        <v>1.0559188501980266</v>
      </c>
      <c r="AD248" s="742">
        <f t="shared" si="1058"/>
        <v>0.97835623808421035</v>
      </c>
      <c r="AE248" s="735">
        <f t="shared" si="1058"/>
        <v>0.99314694510335888</v>
      </c>
      <c r="AF248" s="742">
        <f t="shared" si="1058"/>
        <v>1.0106495559146105</v>
      </c>
      <c r="AG248" s="742">
        <f t="shared" si="1058"/>
        <v>0.99929382949598622</v>
      </c>
      <c r="AH248" s="742">
        <f t="shared" si="1058"/>
        <v>0.9127835702269399</v>
      </c>
      <c r="AI248" s="742">
        <f t="shared" si="1058"/>
        <v>0.96740449570718623</v>
      </c>
      <c r="AJ248" s="742">
        <f t="shared" si="1058"/>
        <v>0.9098698548311035</v>
      </c>
      <c r="AK248" s="742">
        <f t="shared" si="1058"/>
        <v>0.9802148825729079</v>
      </c>
      <c r="AL248" s="742">
        <f t="shared" si="1058"/>
        <v>0.93589520278442095</v>
      </c>
      <c r="AM248" s="742">
        <f t="shared" si="1058"/>
        <v>0.99499459696264214</v>
      </c>
      <c r="AN248" s="742">
        <f t="shared" si="1058"/>
        <v>0.95428242207089009</v>
      </c>
      <c r="AO248" s="742">
        <f t="shared" si="1058"/>
        <v>1.0133498246048889</v>
      </c>
      <c r="AP248" s="742">
        <f t="shared" si="1058"/>
        <v>1.0791032278741526</v>
      </c>
      <c r="AQ248" s="742">
        <f t="shared" si="1058"/>
        <v>1.0010619154382407</v>
      </c>
      <c r="AR248" s="735">
        <f t="shared" si="1058"/>
        <v>0.94059216603786155</v>
      </c>
      <c r="AS248" s="1527">
        <f t="shared" ref="AS248:BD248" si="1059">AS226/AS202</f>
        <v>0.97502803867889509</v>
      </c>
      <c r="AT248" s="731">
        <f t="shared" si="1059"/>
        <v>1.0135770286897032</v>
      </c>
      <c r="AU248" s="731">
        <f t="shared" si="1059"/>
        <v>0.96754070103266621</v>
      </c>
      <c r="AV248" s="731">
        <f t="shared" si="1059"/>
        <v>0.89362524234178986</v>
      </c>
      <c r="AW248" s="731">
        <f t="shared" si="1059"/>
        <v>0.89773870578503467</v>
      </c>
      <c r="AX248" s="731">
        <f t="shared" si="1059"/>
        <v>0.89800308003949003</v>
      </c>
      <c r="AY248" s="731">
        <f t="shared" si="1059"/>
        <v>0.79361729003111825</v>
      </c>
      <c r="AZ248" s="731">
        <f t="shared" si="1059"/>
        <v>1.0752637764421478</v>
      </c>
      <c r="BA248" s="731">
        <f t="shared" si="1059"/>
        <v>0.74191874962416005</v>
      </c>
      <c r="BB248" s="731">
        <f t="shared" si="1059"/>
        <v>0.87175966247621151</v>
      </c>
      <c r="BC248" s="731">
        <f t="shared" si="1059"/>
        <v>0.82085296851722733</v>
      </c>
      <c r="BD248" s="1528">
        <f t="shared" si="1059"/>
        <v>1.131744828390095</v>
      </c>
      <c r="BE248" s="735">
        <f t="shared" ref="BE248:BQ248" si="1060">BE226/BE202</f>
        <v>1.2182392563618605</v>
      </c>
      <c r="BF248" s="1842">
        <f t="shared" si="1060"/>
        <v>0.96128562642523097</v>
      </c>
      <c r="BG248" s="1844">
        <f t="shared" si="1060"/>
        <v>1.0860858507718751</v>
      </c>
      <c r="BH248" s="1844">
        <f t="shared" si="1060"/>
        <v>1.0037688663509754</v>
      </c>
      <c r="BI248" s="1844">
        <f t="shared" si="1060"/>
        <v>1.1270562921501321</v>
      </c>
      <c r="BJ248" s="1844">
        <f t="shared" si="1060"/>
        <v>1.5271052870092923</v>
      </c>
      <c r="BK248" s="1844">
        <f t="shared" si="1060"/>
        <v>1.4691893888483776</v>
      </c>
      <c r="BL248" s="1844">
        <f t="shared" si="1060"/>
        <v>1.3907362315236034</v>
      </c>
      <c r="BM248" s="1844">
        <f t="shared" si="1060"/>
        <v>1.2499347895526005</v>
      </c>
      <c r="BN248" s="1844">
        <f t="shared" si="1060"/>
        <v>1.5674451536883016</v>
      </c>
      <c r="BO248" s="1844">
        <f t="shared" si="1060"/>
        <v>1.7593642673376708</v>
      </c>
      <c r="BP248" s="1844">
        <f t="shared" si="1060"/>
        <v>1.4342399879193219</v>
      </c>
      <c r="BQ248" s="1845">
        <f t="shared" si="1060"/>
        <v>1.3872938647848887</v>
      </c>
      <c r="BR248" s="735">
        <f t="shared" si="1021"/>
        <v>0.94716919575155767</v>
      </c>
      <c r="BS248" s="3146">
        <f t="shared" ref="BS248:BX251" si="1061">BS226/BS202</f>
        <v>0.61294846725828978</v>
      </c>
      <c r="BT248" s="3147">
        <f t="shared" si="1061"/>
        <v>0.65277806182367371</v>
      </c>
      <c r="BU248" s="3147">
        <f t="shared" si="1061"/>
        <v>1.0255989638225376</v>
      </c>
      <c r="BV248" s="3147">
        <f t="shared" si="1061"/>
        <v>0.69750104634899723</v>
      </c>
      <c r="BW248" s="3147">
        <f t="shared" si="1061"/>
        <v>0.89291069024620084</v>
      </c>
      <c r="BX248" s="3147">
        <f t="shared" si="1061"/>
        <v>0.80520945238274466</v>
      </c>
      <c r="BY248" s="3147">
        <f t="shared" ref="BY248:CC248" si="1062">BY226/BY202</f>
        <v>1.4714882641189198</v>
      </c>
      <c r="BZ248" s="3147">
        <f t="shared" si="1062"/>
        <v>2.3755173984715405</v>
      </c>
      <c r="CA248" s="3147">
        <f t="shared" si="1062"/>
        <v>0.77746009698671092</v>
      </c>
      <c r="CB248" s="3147">
        <f t="shared" si="1062"/>
        <v>0.5582803977139652</v>
      </c>
      <c r="CC248" s="3147">
        <f t="shared" si="1062"/>
        <v>0.58214798210028107</v>
      </c>
      <c r="CD248" s="3148">
        <f t="shared" ref="CD248" si="1063">CD226/CD202</f>
        <v>0.653987070821476</v>
      </c>
      <c r="CE248" s="735" t="e">
        <f t="shared" si="1025"/>
        <v>#DIV/0!</v>
      </c>
      <c r="CF248" s="2522"/>
      <c r="CG248" s="2248"/>
      <c r="CH248" s="2248"/>
      <c r="CI248" s="2248"/>
      <c r="CJ248" s="2248"/>
      <c r="CK248" s="2248"/>
      <c r="CL248" s="2248"/>
      <c r="CM248" s="2248"/>
      <c r="CN248" s="2248"/>
      <c r="CO248" s="2248"/>
      <c r="CP248" s="2248"/>
      <c r="CQ248" s="2277"/>
    </row>
    <row r="249" spans="1:95">
      <c r="B249" s="3313"/>
      <c r="C249" s="3314"/>
      <c r="D249" s="101" t="s">
        <v>18</v>
      </c>
      <c r="E249" s="378"/>
      <c r="F249" s="335"/>
      <c r="G249" s="335"/>
      <c r="H249" s="335"/>
      <c r="I249" s="335"/>
      <c r="J249" s="335"/>
      <c r="K249" s="335"/>
      <c r="L249" s="335"/>
      <c r="M249" s="335"/>
      <c r="N249" s="335"/>
      <c r="O249" s="335"/>
      <c r="P249" s="335"/>
      <c r="Q249" s="335"/>
      <c r="R249" s="735">
        <f t="shared" ref="R249:AR249" si="1064">R227/R203</f>
        <v>1.1800234626878161</v>
      </c>
      <c r="S249" s="731">
        <f t="shared" si="1064"/>
        <v>0.99668641225739751</v>
      </c>
      <c r="T249" s="731">
        <f t="shared" si="1064"/>
        <v>0.47695919732297892</v>
      </c>
      <c r="U249" s="731">
        <f t="shared" si="1064"/>
        <v>0.50351317069597712</v>
      </c>
      <c r="V249" s="731">
        <f t="shared" si="1064"/>
        <v>1.2817662668102809</v>
      </c>
      <c r="W249" s="731">
        <f t="shared" si="1064"/>
        <v>1.2883418564130245</v>
      </c>
      <c r="X249" s="731">
        <f t="shared" si="1064"/>
        <v>1.2557861153982401</v>
      </c>
      <c r="Y249" s="731">
        <f t="shared" si="1064"/>
        <v>1.1196387051019643</v>
      </c>
      <c r="Z249" s="731">
        <f t="shared" si="1064"/>
        <v>1.1006805121853624</v>
      </c>
      <c r="AA249" s="731">
        <f t="shared" si="1064"/>
        <v>1.5940880437433365</v>
      </c>
      <c r="AB249" s="731">
        <f t="shared" si="1064"/>
        <v>1.1604989041337939</v>
      </c>
      <c r="AC249" s="731">
        <f t="shared" si="1064"/>
        <v>1.1866109555493425</v>
      </c>
      <c r="AD249" s="731">
        <f t="shared" si="1064"/>
        <v>1.0652692967471571</v>
      </c>
      <c r="AE249" s="735">
        <f t="shared" si="1064"/>
        <v>1.2516668682703664</v>
      </c>
      <c r="AF249" s="731">
        <f t="shared" si="1064"/>
        <v>1.4175915735848599</v>
      </c>
      <c r="AG249" s="731">
        <f t="shared" si="1064"/>
        <v>1.3352415920174903</v>
      </c>
      <c r="AH249" s="731">
        <f t="shared" si="1064"/>
        <v>1.5686533547472548</v>
      </c>
      <c r="AI249" s="731">
        <f t="shared" si="1064"/>
        <v>1.1320942724168812</v>
      </c>
      <c r="AJ249" s="731">
        <f t="shared" si="1064"/>
        <v>1.2209207261212061</v>
      </c>
      <c r="AK249" s="731">
        <f t="shared" si="1064"/>
        <v>1.2314233531621301</v>
      </c>
      <c r="AL249" s="731">
        <f t="shared" si="1064"/>
        <v>1.0073019478451932</v>
      </c>
      <c r="AM249" s="731">
        <f t="shared" si="1064"/>
        <v>1.2019036848892226</v>
      </c>
      <c r="AN249" s="731">
        <f t="shared" si="1064"/>
        <v>1.2801765066358197</v>
      </c>
      <c r="AO249" s="731">
        <f t="shared" si="1064"/>
        <v>1.1343009361954681</v>
      </c>
      <c r="AP249" s="731">
        <f t="shared" si="1064"/>
        <v>1.0727569546408955</v>
      </c>
      <c r="AQ249" s="731">
        <f t="shared" si="1064"/>
        <v>2.1972236225224182</v>
      </c>
      <c r="AR249" s="735">
        <f t="shared" si="1064"/>
        <v>1.9452540523960624</v>
      </c>
      <c r="AS249" s="1527">
        <f t="shared" ref="AS249:BD249" si="1065">AS227/AS203</f>
        <v>1.1200339507475734</v>
      </c>
      <c r="AT249" s="731">
        <f t="shared" si="1065"/>
        <v>1.3112368313229994</v>
      </c>
      <c r="AU249" s="731">
        <f t="shared" si="1065"/>
        <v>1.3031853092593737</v>
      </c>
      <c r="AV249" s="731">
        <f t="shared" si="1065"/>
        <v>7.7917344422094406</v>
      </c>
      <c r="AW249" s="731">
        <f t="shared" si="1065"/>
        <v>8.4407434965292332</v>
      </c>
      <c r="AX249" s="731">
        <f t="shared" si="1065"/>
        <v>1.5669072258574743</v>
      </c>
      <c r="AY249" s="731">
        <f t="shared" si="1065"/>
        <v>1.326130653666018</v>
      </c>
      <c r="AZ249" s="731">
        <f t="shared" si="1065"/>
        <v>1.3532738346703379</v>
      </c>
      <c r="BA249" s="731">
        <f t="shared" si="1065"/>
        <v>1.2995802721985859</v>
      </c>
      <c r="BB249" s="731">
        <f t="shared" si="1065"/>
        <v>1.3210637592792014</v>
      </c>
      <c r="BC249" s="731">
        <f t="shared" si="1065"/>
        <v>1.2322602358316193</v>
      </c>
      <c r="BD249" s="1528">
        <f t="shared" si="1065"/>
        <v>1.1639691736574598</v>
      </c>
      <c r="BE249" s="735">
        <f t="shared" ref="BE249:BQ249" si="1066">BE227/BE203</f>
        <v>1.3871822736452033</v>
      </c>
      <c r="BF249" s="1842">
        <f t="shared" si="1066"/>
        <v>1.2411922932611141</v>
      </c>
      <c r="BG249" s="1844">
        <f t="shared" si="1066"/>
        <v>1.3685654721865497</v>
      </c>
      <c r="BH249" s="1844">
        <f t="shared" si="1066"/>
        <v>1.2875135165255118</v>
      </c>
      <c r="BI249" s="1844">
        <f t="shared" si="1066"/>
        <v>1.5666061698291538</v>
      </c>
      <c r="BJ249" s="1844">
        <f t="shared" si="1066"/>
        <v>1.4422685889906057</v>
      </c>
      <c r="BK249" s="1844">
        <f t="shared" si="1066"/>
        <v>1.1860269821047869</v>
      </c>
      <c r="BL249" s="1844">
        <f t="shared" si="1066"/>
        <v>1.5490062989311129</v>
      </c>
      <c r="BM249" s="1844">
        <f t="shared" si="1066"/>
        <v>1.2423631138911948</v>
      </c>
      <c r="BN249" s="1844">
        <f t="shared" si="1066"/>
        <v>1.4122646023205772</v>
      </c>
      <c r="BO249" s="1844">
        <f t="shared" si="1066"/>
        <v>1.3898402282780367</v>
      </c>
      <c r="BP249" s="1844">
        <f t="shared" si="1066"/>
        <v>1.3318954949904311</v>
      </c>
      <c r="BQ249" s="1845">
        <f t="shared" si="1066"/>
        <v>1.30771094119761</v>
      </c>
      <c r="BR249" s="735">
        <f t="shared" si="1021"/>
        <v>1.8214895412254972</v>
      </c>
      <c r="BS249" s="3146">
        <f t="shared" si="1061"/>
        <v>1.2046182277073563</v>
      </c>
      <c r="BT249" s="3147">
        <f t="shared" si="1061"/>
        <v>1.5186203463231902</v>
      </c>
      <c r="BU249" s="3147">
        <f t="shared" si="1061"/>
        <v>1.1085050894384743</v>
      </c>
      <c r="BV249" s="3147">
        <f t="shared" si="1061"/>
        <v>1.3862239753002406</v>
      </c>
      <c r="BW249" s="3147">
        <f t="shared" si="1061"/>
        <v>1.4398762762892929</v>
      </c>
      <c r="BX249" s="3147">
        <f t="shared" si="1061"/>
        <v>9.1171311384260747</v>
      </c>
      <c r="BY249" s="3147">
        <f t="shared" ref="BY249:CC249" si="1067">BY227/BY203</f>
        <v>1.8331792596347003</v>
      </c>
      <c r="BZ249" s="3147">
        <f t="shared" si="1067"/>
        <v>3.6495434741224466</v>
      </c>
      <c r="CA249" s="3147">
        <f t="shared" si="1067"/>
        <v>1.138596875762081</v>
      </c>
      <c r="CB249" s="3147">
        <f t="shared" si="1067"/>
        <v>1.7493897057524932</v>
      </c>
      <c r="CC249" s="3147">
        <f t="shared" si="1067"/>
        <v>1.5143522248501411</v>
      </c>
      <c r="CD249" s="3148">
        <f t="shared" ref="CD249" si="1068">CD227/CD203</f>
        <v>1.0696887114938416</v>
      </c>
      <c r="CE249" s="735">
        <f t="shared" si="1025"/>
        <v>5.2377632959988709</v>
      </c>
      <c r="CF249" s="2522">
        <f t="shared" ref="CF249:CQ249" si="1069">CF227/CF203</f>
        <v>10.774935756483728</v>
      </c>
      <c r="CG249" s="2248">
        <f t="shared" si="1069"/>
        <v>3.1547028064661475</v>
      </c>
      <c r="CH249" s="2248">
        <f t="shared" si="1069"/>
        <v>3.7727282234403043</v>
      </c>
      <c r="CI249" s="2248">
        <f t="shared" si="1069"/>
        <v>2.9137111972949712</v>
      </c>
      <c r="CJ249" s="2248">
        <f t="shared" si="1069"/>
        <v>5.0632380121611273</v>
      </c>
      <c r="CK249" s="2248">
        <f t="shared" si="1069"/>
        <v>26.512258990179117</v>
      </c>
      <c r="CL249" s="2248">
        <f t="shared" si="1069"/>
        <v>2.7283813947072431</v>
      </c>
      <c r="CM249" s="2248">
        <f t="shared" si="1069"/>
        <v>10.044926925536629</v>
      </c>
      <c r="CN249" s="2248">
        <f t="shared" si="1069"/>
        <v>2.0124308969304212</v>
      </c>
      <c r="CO249" s="2248">
        <f t="shared" si="1069"/>
        <v>4.195535020420345</v>
      </c>
      <c r="CP249" s="2248">
        <f t="shared" si="1069"/>
        <v>10.044926925536629</v>
      </c>
      <c r="CQ249" s="2277">
        <f t="shared" si="1069"/>
        <v>10.044926925536629</v>
      </c>
    </row>
    <row r="250" spans="1:95">
      <c r="B250" s="3313"/>
      <c r="C250" s="3314"/>
      <c r="D250" s="101" t="s">
        <v>244</v>
      </c>
      <c r="E250" s="378"/>
      <c r="F250" s="335"/>
      <c r="G250" s="335"/>
      <c r="H250" s="335"/>
      <c r="I250" s="335"/>
      <c r="J250" s="335"/>
      <c r="K250" s="335"/>
      <c r="L250" s="335"/>
      <c r="M250" s="335"/>
      <c r="N250" s="335"/>
      <c r="O250" s="335"/>
      <c r="P250" s="335"/>
      <c r="Q250" s="335"/>
      <c r="R250" s="735">
        <f t="shared" ref="R250:AR250" si="1070">R228/R204</f>
        <v>-0.92243549210333442</v>
      </c>
      <c r="S250" s="731">
        <f t="shared" si="1070"/>
        <v>-1.5393382427110793</v>
      </c>
      <c r="T250" s="731">
        <f t="shared" si="1070"/>
        <v>0.47695919732297887</v>
      </c>
      <c r="U250" s="731">
        <f t="shared" si="1070"/>
        <v>0.50351317582808841</v>
      </c>
      <c r="V250" s="731">
        <f t="shared" si="1070"/>
        <v>-1.9738863503989419</v>
      </c>
      <c r="W250" s="731">
        <f t="shared" si="1070"/>
        <v>-10.08221743570699</v>
      </c>
      <c r="X250" s="731">
        <f t="shared" si="1070"/>
        <v>-3.1247116011107181</v>
      </c>
      <c r="Y250" s="731">
        <f t="shared" si="1070"/>
        <v>-14.308073465966539</v>
      </c>
      <c r="Z250" s="731">
        <f t="shared" si="1070"/>
        <v>-0.64065748098665432</v>
      </c>
      <c r="AA250" s="731">
        <f t="shared" si="1070"/>
        <v>-3.9765645375314373</v>
      </c>
      <c r="AB250" s="731">
        <f t="shared" si="1070"/>
        <v>-30.740158097632239</v>
      </c>
      <c r="AC250" s="731">
        <f t="shared" si="1070"/>
        <v>-12.809597302446987</v>
      </c>
      <c r="AD250" s="731">
        <f t="shared" si="1070"/>
        <v>-0.36771317835434858</v>
      </c>
      <c r="AE250" s="735">
        <f t="shared" si="1070"/>
        <v>-7.1232833429446663</v>
      </c>
      <c r="AF250" s="731">
        <f t="shared" si="1070"/>
        <v>-2.4485562362922768</v>
      </c>
      <c r="AG250" s="731">
        <f t="shared" si="1070"/>
        <v>-49.634914792551079</v>
      </c>
      <c r="AH250" s="731">
        <f t="shared" si="1070"/>
        <v>-27.638980961315333</v>
      </c>
      <c r="AI250" s="731">
        <f t="shared" si="1070"/>
        <v>6.2734100709994545</v>
      </c>
      <c r="AJ250" s="731">
        <f t="shared" si="1070"/>
        <v>-1.31616099980157</v>
      </c>
      <c r="AK250" s="731">
        <f t="shared" si="1070"/>
        <v>34.37239374203228</v>
      </c>
      <c r="AL250" s="731">
        <f t="shared" si="1070"/>
        <v>-0.99956104298591775</v>
      </c>
      <c r="AM250" s="731">
        <f t="shared" si="1070"/>
        <v>1.2748183537436324E-2</v>
      </c>
      <c r="AN250" s="731">
        <f t="shared" si="1070"/>
        <v>-37.640113655613177</v>
      </c>
      <c r="AO250" s="731">
        <f t="shared" si="1070"/>
        <v>-16.346697442165333</v>
      </c>
      <c r="AP250" s="731">
        <f t="shared" si="1070"/>
        <v>-16.713779157535914</v>
      </c>
      <c r="AQ250" s="731">
        <f t="shared" si="1070"/>
        <v>-9.5321304003104341</v>
      </c>
      <c r="AR250" s="735">
        <f t="shared" si="1070"/>
        <v>-16.572476449251944</v>
      </c>
      <c r="AS250" s="1527">
        <f t="shared" ref="AS250:BD250" si="1071">AS228/AS204</f>
        <v>-7.2914957913313199</v>
      </c>
      <c r="AT250" s="731">
        <f t="shared" si="1071"/>
        <v>-22.013952014598402</v>
      </c>
      <c r="AU250" s="731">
        <f t="shared" si="1071"/>
        <v>-27.152488081387197</v>
      </c>
      <c r="AV250" s="731">
        <f t="shared" si="1071"/>
        <v>-9.2027800106099402</v>
      </c>
      <c r="AW250" s="731">
        <f t="shared" si="1071"/>
        <v>-18.534138823385629</v>
      </c>
      <c r="AX250" s="731">
        <f t="shared" si="1071"/>
        <v>-9.0652270928691259</v>
      </c>
      <c r="AY250" s="731">
        <f t="shared" si="1071"/>
        <v>-30.937319167183691</v>
      </c>
      <c r="AZ250" s="731">
        <f t="shared" si="1071"/>
        <v>-87.137440096790243</v>
      </c>
      <c r="BA250" s="731">
        <f t="shared" si="1071"/>
        <v>-47.086610265766559</v>
      </c>
      <c r="BB250" s="731">
        <f t="shared" si="1071"/>
        <v>-99.031316593862456</v>
      </c>
      <c r="BC250" s="731">
        <f t="shared" si="1071"/>
        <v>-25.139335915678988</v>
      </c>
      <c r="BD250" s="1528">
        <f t="shared" si="1071"/>
        <v>-2.7362971574044113</v>
      </c>
      <c r="BE250" s="735">
        <f t="shared" ref="BE250:BQ250" si="1072">BE228/BE204</f>
        <v>-9.5752739552220607</v>
      </c>
      <c r="BF250" s="1842">
        <f t="shared" si="1072"/>
        <v>-75.892174145744363</v>
      </c>
      <c r="BG250" s="1844">
        <f t="shared" si="1072"/>
        <v>-39.156267447490968</v>
      </c>
      <c r="BH250" s="1844">
        <f t="shared" si="1072"/>
        <v>-12.100832305488195</v>
      </c>
      <c r="BI250" s="1844">
        <f t="shared" si="1072"/>
        <v>-22.565284111990088</v>
      </c>
      <c r="BJ250" s="1844">
        <f t="shared" si="1072"/>
        <v>-13.083401470003849</v>
      </c>
      <c r="BK250" s="1844">
        <f t="shared" si="1072"/>
        <v>-21.569035630583102</v>
      </c>
      <c r="BL250" s="1844">
        <f t="shared" si="1072"/>
        <v>-1.81647286062392</v>
      </c>
      <c r="BM250" s="1844">
        <f t="shared" si="1072"/>
        <v>-17.722956833361053</v>
      </c>
      <c r="BN250" s="1844">
        <f t="shared" si="1072"/>
        <v>-29.624955987406594</v>
      </c>
      <c r="BO250" s="1844">
        <f t="shared" si="1072"/>
        <v>-13.882882425078302</v>
      </c>
      <c r="BP250" s="1844">
        <f t="shared" si="1072"/>
        <v>-14.286361868939359</v>
      </c>
      <c r="BQ250" s="1845">
        <f t="shared" si="1072"/>
        <v>-6.7570071556346392</v>
      </c>
      <c r="BR250" s="735">
        <f t="shared" si="1021"/>
        <v>-12.102327056787367</v>
      </c>
      <c r="BS250" s="3146">
        <f t="shared" si="1061"/>
        <v>-5.396378443242444</v>
      </c>
      <c r="BT250" s="3147">
        <f t="shared" si="1061"/>
        <v>-19.486249563710388</v>
      </c>
      <c r="BU250" s="3147">
        <f t="shared" si="1061"/>
        <v>-28.001216713034729</v>
      </c>
      <c r="BV250" s="3147">
        <f t="shared" si="1061"/>
        <v>-6.4430304686958415</v>
      </c>
      <c r="BW250" s="3147">
        <f t="shared" si="1061"/>
        <v>-22.238560237372486</v>
      </c>
      <c r="BX250" s="3147">
        <f t="shared" si="1061"/>
        <v>-6.135968538785515</v>
      </c>
      <c r="BY250" s="3147">
        <f t="shared" ref="BY250:CC250" si="1073">BY228/BY204</f>
        <v>-10.253398252143946</v>
      </c>
      <c r="BZ250" s="3147">
        <f t="shared" si="1073"/>
        <v>-15.248673331118075</v>
      </c>
      <c r="CA250" s="3147">
        <f t="shared" si="1073"/>
        <v>-14.687879368976867</v>
      </c>
      <c r="CB250" s="3147">
        <f t="shared" si="1073"/>
        <v>-11.830904123218327</v>
      </c>
      <c r="CC250" s="3147">
        <f t="shared" si="1073"/>
        <v>-8.5776677243576192</v>
      </c>
      <c r="CD250" s="3148">
        <f t="shared" ref="CD250" si="1074">CD228/CD204</f>
        <v>-14.9386528546355</v>
      </c>
      <c r="CE250" s="735">
        <f t="shared" si="1025"/>
        <v>-14.717800835781038</v>
      </c>
      <c r="CF250" s="2522">
        <f t="shared" ref="CF250:CQ250" si="1075">CF228/CF204</f>
        <v>-5.2853853508740869</v>
      </c>
      <c r="CG250" s="2248">
        <f t="shared" si="1075"/>
        <v>-25.151453141224117</v>
      </c>
      <c r="CH250" s="2248">
        <f t="shared" si="1075"/>
        <v>-20.810887292822837</v>
      </c>
      <c r="CI250" s="2248">
        <f t="shared" si="1075"/>
        <v>-6.3105097636590024</v>
      </c>
      <c r="CJ250" s="2248">
        <f t="shared" si="1075"/>
        <v>-21.781155962166981</v>
      </c>
      <c r="CK250" s="2248">
        <f t="shared" si="1075"/>
        <v>-6.009763505176803</v>
      </c>
      <c r="CL250" s="2248">
        <f t="shared" si="1075"/>
        <v>-19.085455008531234</v>
      </c>
      <c r="CM250" s="2248">
        <f t="shared" si="1075"/>
        <v>-14.951593839751727</v>
      </c>
      <c r="CN250" s="2248">
        <f t="shared" si="1075"/>
        <v>-19.085455008531234</v>
      </c>
      <c r="CO250" s="2248">
        <f t="shared" si="1075"/>
        <v>-14.951593839751727</v>
      </c>
      <c r="CP250" s="2248">
        <f t="shared" si="1075"/>
        <v>-14.951593839751727</v>
      </c>
      <c r="CQ250" s="2277">
        <f t="shared" si="1075"/>
        <v>-14.951593839751729</v>
      </c>
    </row>
    <row r="251" spans="1:95">
      <c r="B251" s="3315"/>
      <c r="C251" s="3316"/>
      <c r="D251" s="229" t="s">
        <v>678</v>
      </c>
      <c r="E251" s="381"/>
      <c r="F251" s="336"/>
      <c r="G251" s="336"/>
      <c r="H251" s="336"/>
      <c r="I251" s="336"/>
      <c r="J251" s="336"/>
      <c r="K251" s="336"/>
      <c r="L251" s="336"/>
      <c r="M251" s="336"/>
      <c r="N251" s="336"/>
      <c r="O251" s="336"/>
      <c r="P251" s="336"/>
      <c r="Q251" s="336"/>
      <c r="R251" s="737">
        <f t="shared" ref="R251:AR251" si="1076">R229/R205</f>
        <v>1.1656994683940558</v>
      </c>
      <c r="S251" s="731">
        <f t="shared" si="1076"/>
        <v>1.0430749094064589</v>
      </c>
      <c r="T251" s="731">
        <f t="shared" si="1076"/>
        <v>1.2259533053901674</v>
      </c>
      <c r="U251" s="731">
        <f t="shared" si="1076"/>
        <v>1.1931795176733273</v>
      </c>
      <c r="V251" s="731">
        <f t="shared" si="1076"/>
        <v>1.2174401193624003</v>
      </c>
      <c r="W251" s="731">
        <f t="shared" si="1076"/>
        <v>1.2307568304368497</v>
      </c>
      <c r="X251" s="731">
        <f t="shared" si="1076"/>
        <v>1.1904187385146492</v>
      </c>
      <c r="Y251" s="731">
        <f t="shared" si="1076"/>
        <v>1.2000840599915985</v>
      </c>
      <c r="Z251" s="731">
        <f t="shared" si="1076"/>
        <v>1.2325589255660674</v>
      </c>
      <c r="AA251" s="743">
        <f t="shared" si="1076"/>
        <v>1.1923171119654163</v>
      </c>
      <c r="AB251" s="743">
        <f t="shared" si="1076"/>
        <v>1.0975684601766853</v>
      </c>
      <c r="AC251" s="743">
        <f t="shared" si="1076"/>
        <v>1.1117827094384189</v>
      </c>
      <c r="AD251" s="743">
        <f t="shared" si="1076"/>
        <v>1.1417896093578794</v>
      </c>
      <c r="AE251" s="737">
        <f t="shared" si="1076"/>
        <v>1.1360740767373019</v>
      </c>
      <c r="AF251" s="743">
        <f t="shared" si="1076"/>
        <v>1.3025269105278614</v>
      </c>
      <c r="AG251" s="743">
        <f t="shared" si="1076"/>
        <v>1.2139811497320034</v>
      </c>
      <c r="AH251" s="743">
        <f t="shared" si="1076"/>
        <v>1.1577373131773416</v>
      </c>
      <c r="AI251" s="743">
        <f t="shared" si="1076"/>
        <v>1.1864640559297595</v>
      </c>
      <c r="AJ251" s="743">
        <f t="shared" si="1076"/>
        <v>1.2253712091488529</v>
      </c>
      <c r="AK251" s="743">
        <f t="shared" si="1076"/>
        <v>1.0253839476232722</v>
      </c>
      <c r="AL251" s="743">
        <f t="shared" si="1076"/>
        <v>1.2482753568711902</v>
      </c>
      <c r="AM251" s="743">
        <f t="shared" si="1076"/>
        <v>1.1723999232024658</v>
      </c>
      <c r="AN251" s="743">
        <f t="shared" si="1076"/>
        <v>1.1057591411737662</v>
      </c>
      <c r="AO251" s="743">
        <f t="shared" si="1076"/>
        <v>1.1037444365981648</v>
      </c>
      <c r="AP251" s="743">
        <f t="shared" si="1076"/>
        <v>1.1653582352061087</v>
      </c>
      <c r="AQ251" s="743">
        <f t="shared" si="1076"/>
        <v>1.0926807802202074</v>
      </c>
      <c r="AR251" s="737">
        <f t="shared" si="1076"/>
        <v>1.1799811458637197</v>
      </c>
      <c r="AS251" s="1527">
        <f t="shared" ref="AS251:BD251" si="1077">AS229/AS205</f>
        <v>1.2131273369521387</v>
      </c>
      <c r="AT251" s="743">
        <f t="shared" si="1077"/>
        <v>1.2069981998265891</v>
      </c>
      <c r="AU251" s="743">
        <f t="shared" si="1077"/>
        <v>1.1052056714722711</v>
      </c>
      <c r="AV251" s="743">
        <f t="shared" si="1077"/>
        <v>1.1632609522710453</v>
      </c>
      <c r="AW251" s="743">
        <f t="shared" si="1077"/>
        <v>1.1710851572371213</v>
      </c>
      <c r="AX251" s="743">
        <f t="shared" si="1077"/>
        <v>1.2412017098024211</v>
      </c>
      <c r="AY251" s="743">
        <f t="shared" si="1077"/>
        <v>1.1989461749695656</v>
      </c>
      <c r="AZ251" s="743">
        <f t="shared" si="1077"/>
        <v>1.2137825148095549</v>
      </c>
      <c r="BA251" s="743">
        <f t="shared" si="1077"/>
        <v>1.2351747509160351</v>
      </c>
      <c r="BB251" s="743">
        <f t="shared" si="1077"/>
        <v>1.2156795943639325</v>
      </c>
      <c r="BC251" s="743">
        <f t="shared" si="1077"/>
        <v>1.122130397945702</v>
      </c>
      <c r="BD251" s="1529">
        <f t="shared" si="1077"/>
        <v>1.1100479906581902</v>
      </c>
      <c r="BE251" s="737">
        <f t="shared" ref="BE251:BQ251" si="1078">BE229/BE205</f>
        <v>1.1158155916188448</v>
      </c>
      <c r="BF251" s="1842">
        <f t="shared" si="1078"/>
        <v>1.3438968630177799</v>
      </c>
      <c r="BG251" s="1846">
        <f t="shared" si="1078"/>
        <v>1.4945464386638756</v>
      </c>
      <c r="BH251" s="1846">
        <f t="shared" si="1078"/>
        <v>1.3486398381616498</v>
      </c>
      <c r="BI251" s="1846">
        <f t="shared" si="1078"/>
        <v>1.7446529540065798</v>
      </c>
      <c r="BJ251" s="1846">
        <f t="shared" si="1078"/>
        <v>1.5667506488993268</v>
      </c>
      <c r="BK251" s="1846">
        <f t="shared" si="1078"/>
        <v>2.2690843628303461</v>
      </c>
      <c r="BL251" s="1846">
        <f t="shared" si="1078"/>
        <v>1.3122935191997527</v>
      </c>
      <c r="BM251" s="1846">
        <f t="shared" si="1078"/>
        <v>1.061872498203114</v>
      </c>
      <c r="BN251" s="1846">
        <f t="shared" si="1078"/>
        <v>1.349716664326317</v>
      </c>
      <c r="BO251" s="1846">
        <f t="shared" si="1078"/>
        <v>0.97124149920705993</v>
      </c>
      <c r="BP251" s="1846">
        <f t="shared" si="1078"/>
        <v>1.0487909323942879</v>
      </c>
      <c r="BQ251" s="1847">
        <f t="shared" si="1078"/>
        <v>1.7359795809948937</v>
      </c>
      <c r="BR251" s="737">
        <f t="shared" si="1021"/>
        <v>1.0743488217107497</v>
      </c>
      <c r="BS251" s="3146">
        <f t="shared" si="1061"/>
        <v>1.0258858672650597</v>
      </c>
      <c r="BT251" s="3149">
        <f t="shared" si="1061"/>
        <v>1.0218436881253179</v>
      </c>
      <c r="BU251" s="3149">
        <f t="shared" si="1061"/>
        <v>1.0182300271763169</v>
      </c>
      <c r="BV251" s="3149">
        <f t="shared" si="1061"/>
        <v>1.5161563544053351</v>
      </c>
      <c r="BW251" s="3149">
        <f t="shared" si="1061"/>
        <v>1.2732855029963155</v>
      </c>
      <c r="BX251" s="3149">
        <f t="shared" si="1061"/>
        <v>0.99488155324112282</v>
      </c>
      <c r="BY251" s="3149">
        <f t="shared" ref="BY251:CC251" si="1079">BY229/BY205</f>
        <v>2.590250639596146</v>
      </c>
      <c r="BZ251" s="3149">
        <f t="shared" si="1079"/>
        <v>1.1762091064860822</v>
      </c>
      <c r="CA251" s="3149">
        <f t="shared" si="1079"/>
        <v>1.2614942476021505</v>
      </c>
      <c r="CB251" s="3149">
        <f t="shared" si="1079"/>
        <v>1.2012523371259776</v>
      </c>
      <c r="CC251" s="3149">
        <f t="shared" si="1079"/>
        <v>1.0360596862418623</v>
      </c>
      <c r="CD251" s="3150">
        <f t="shared" ref="CD251" si="1080">CD229/CD205</f>
        <v>2.09787024325089</v>
      </c>
      <c r="CE251" s="737">
        <f t="shared" si="1025"/>
        <v>1.2764377508010061</v>
      </c>
      <c r="CF251" s="2522">
        <f t="shared" ref="CF251:CQ251" si="1081">CF229/CF205</f>
        <v>1.2800113977895078</v>
      </c>
      <c r="CG251" s="2249">
        <f t="shared" si="1081"/>
        <v>1.2749000797786287</v>
      </c>
      <c r="CH251" s="2249">
        <f t="shared" si="1081"/>
        <v>1.2729182264527534</v>
      </c>
      <c r="CI251" s="2249">
        <f t="shared" si="1081"/>
        <v>1.2750668162658287</v>
      </c>
      <c r="CJ251" s="2249">
        <f t="shared" si="1081"/>
        <v>1.2810614968018676</v>
      </c>
      <c r="CK251" s="2249">
        <f t="shared" si="1081"/>
        <v>1.2745673423465838</v>
      </c>
      <c r="CL251" s="2249">
        <f t="shared" si="1081"/>
        <v>1.2810614968018676</v>
      </c>
      <c r="CM251" s="2249">
        <f t="shared" si="1081"/>
        <v>1.2745673423465838</v>
      </c>
      <c r="CN251" s="2249">
        <f t="shared" si="1081"/>
        <v>1.2810614968018676</v>
      </c>
      <c r="CO251" s="2249">
        <f t="shared" si="1081"/>
        <v>1.2745673423465838</v>
      </c>
      <c r="CP251" s="2249">
        <f t="shared" si="1081"/>
        <v>1.2750668162658287</v>
      </c>
      <c r="CQ251" s="2278">
        <f t="shared" si="1081"/>
        <v>1.2729182264527534</v>
      </c>
    </row>
    <row r="252" spans="1:95" ht="16.5" hidden="1" customHeight="1">
      <c r="B252" s="141"/>
      <c r="C252" s="142"/>
      <c r="D252" s="236" t="s">
        <v>197</v>
      </c>
      <c r="E252" s="383">
        <f>AVERAGE(F252:Q252)</f>
        <v>4062396823.2901778</v>
      </c>
      <c r="F252" s="533">
        <v>2578287539.6140285</v>
      </c>
      <c r="G252" s="238">
        <v>3623778706.880198</v>
      </c>
      <c r="H252" s="238">
        <v>3581562961.8410358</v>
      </c>
      <c r="I252" s="238">
        <v>2958750427.0040107</v>
      </c>
      <c r="J252" s="238">
        <v>5379640991.2868404</v>
      </c>
      <c r="K252" s="370">
        <v>3478890100.4494925</v>
      </c>
      <c r="L252" s="238">
        <v>4174146938.5018706</v>
      </c>
      <c r="M252" s="238">
        <v>4594740842.7809324</v>
      </c>
      <c r="N252" s="238">
        <v>4594740842.7809324</v>
      </c>
      <c r="O252" s="238">
        <v>4594740842.7809324</v>
      </c>
      <c r="P252" s="238">
        <v>4594740842.7809324</v>
      </c>
      <c r="Q252" s="239">
        <v>4594740842.7809324</v>
      </c>
      <c r="R252" s="383">
        <f>AVERAGE(S252:AD252)</f>
        <v>339010818.80857521</v>
      </c>
      <c r="S252" s="533">
        <f t="shared" ref="S252" si="1082">AVERAGE(F252:Q252)</f>
        <v>4062396823.2901778</v>
      </c>
      <c r="T252" s="238">
        <f t="shared" ref="T252:AD252" si="1083">T219</f>
        <v>521182.03752052324</v>
      </c>
      <c r="U252" s="238">
        <f t="shared" si="1083"/>
        <v>521182.03752052324</v>
      </c>
      <c r="V252" s="238">
        <f t="shared" si="1083"/>
        <v>521182.03752052324</v>
      </c>
      <c r="W252" s="238">
        <f t="shared" si="1083"/>
        <v>521182.03752052324</v>
      </c>
      <c r="X252" s="370">
        <f t="shared" si="1083"/>
        <v>521182.03752052324</v>
      </c>
      <c r="Y252" s="238">
        <f t="shared" si="1083"/>
        <v>521182.03752052324</v>
      </c>
      <c r="Z252" s="238">
        <f t="shared" si="1083"/>
        <v>521182.03752052324</v>
      </c>
      <c r="AA252" s="238">
        <f t="shared" si="1083"/>
        <v>521182.03752052324</v>
      </c>
      <c r="AB252" s="238">
        <f t="shared" si="1083"/>
        <v>521182.03752052324</v>
      </c>
      <c r="AC252" s="238">
        <f t="shared" si="1083"/>
        <v>521182.03752052324</v>
      </c>
      <c r="AD252" s="239">
        <f t="shared" si="1083"/>
        <v>521182.03752052324</v>
      </c>
      <c r="AE252" s="383">
        <f>AVERAGE(AF252:AQ252)</f>
        <v>28728651.768441752</v>
      </c>
      <c r="AF252" s="533">
        <f t="shared" ref="AF252" si="1084">AVERAGE(S252:AD252)</f>
        <v>339010818.80857521</v>
      </c>
      <c r="AG252" s="238">
        <f t="shared" ref="AG252:AQ252" si="1085">AG219</f>
        <v>521182.03752052324</v>
      </c>
      <c r="AH252" s="238">
        <f>AH219</f>
        <v>521182.03752052324</v>
      </c>
      <c r="AI252" s="238">
        <f t="shared" si="1085"/>
        <v>521182.03752052324</v>
      </c>
      <c r="AJ252" s="238">
        <f t="shared" si="1085"/>
        <v>521182.03752052324</v>
      </c>
      <c r="AK252" s="370">
        <f t="shared" si="1085"/>
        <v>521182.03752052324</v>
      </c>
      <c r="AL252" s="238">
        <f t="shared" si="1085"/>
        <v>521182.03752052324</v>
      </c>
      <c r="AM252" s="238">
        <f t="shared" si="1085"/>
        <v>521182.03752052324</v>
      </c>
      <c r="AN252" s="238">
        <f t="shared" si="1085"/>
        <v>521182.03752052324</v>
      </c>
      <c r="AO252" s="238">
        <f t="shared" si="1085"/>
        <v>521182.03752052324</v>
      </c>
      <c r="AP252" s="238">
        <f t="shared" si="1085"/>
        <v>521182.03752052324</v>
      </c>
      <c r="AQ252" s="239">
        <f t="shared" si="1085"/>
        <v>521182.03752052324</v>
      </c>
      <c r="AR252" s="383">
        <f>AVERAGE(AS252:BD252)</f>
        <v>2871804.5150972926</v>
      </c>
      <c r="AS252" s="533">
        <f t="shared" ref="AS252" si="1086">AVERAGE(AF252:AQ252)</f>
        <v>28728651.768441752</v>
      </c>
      <c r="AT252" s="238">
        <f t="shared" ref="AT252" si="1087">AT219</f>
        <v>521182.03752052324</v>
      </c>
      <c r="AU252" s="238">
        <f>AU219</f>
        <v>521182.03752052324</v>
      </c>
      <c r="AV252" s="238">
        <f t="shared" ref="AV252:BD252" si="1088">AV219</f>
        <v>521182.03752052324</v>
      </c>
      <c r="AW252" s="238">
        <f t="shared" si="1088"/>
        <v>521182.03752052324</v>
      </c>
      <c r="AX252" s="370">
        <f t="shared" si="1088"/>
        <v>521182.03752052324</v>
      </c>
      <c r="AY252" s="238">
        <f t="shared" si="1088"/>
        <v>521182.03752052324</v>
      </c>
      <c r="AZ252" s="238">
        <f t="shared" si="1088"/>
        <v>521182.03752052324</v>
      </c>
      <c r="BA252" s="238">
        <f t="shared" si="1088"/>
        <v>521182.03752052324</v>
      </c>
      <c r="BB252" s="238">
        <f t="shared" si="1088"/>
        <v>521182.03752052324</v>
      </c>
      <c r="BC252" s="238">
        <f t="shared" si="1088"/>
        <v>521182.03752052324</v>
      </c>
      <c r="BD252" s="926">
        <f t="shared" si="1088"/>
        <v>521182.03752052324</v>
      </c>
      <c r="BE252" s="383">
        <f>AVERAGE(BF252:BQ252)</f>
        <v>717067.24398525397</v>
      </c>
      <c r="BF252" s="533">
        <f t="shared" ref="BF252" si="1089">AVERAGE(AS252:BD252)</f>
        <v>2871804.5150972926</v>
      </c>
      <c r="BG252" s="238">
        <f t="shared" ref="BG252" si="1090">BG219</f>
        <v>521182.03752052324</v>
      </c>
      <c r="BH252" s="238">
        <f>BH219</f>
        <v>521182.03752052324</v>
      </c>
      <c r="BI252" s="238">
        <f t="shared" ref="BI252:BQ252" si="1091">BI219</f>
        <v>521182.03752052324</v>
      </c>
      <c r="BJ252" s="238">
        <f t="shared" si="1091"/>
        <v>521182.03752052324</v>
      </c>
      <c r="BK252" s="370">
        <f t="shared" si="1091"/>
        <v>521182.03752052324</v>
      </c>
      <c r="BL252" s="238">
        <f t="shared" si="1091"/>
        <v>521182.03752052324</v>
      </c>
      <c r="BM252" s="238">
        <f t="shared" si="1091"/>
        <v>521182.03752052324</v>
      </c>
      <c r="BN252" s="238">
        <f t="shared" si="1091"/>
        <v>521182.03752052324</v>
      </c>
      <c r="BO252" s="238">
        <f t="shared" si="1091"/>
        <v>521182.03752052324</v>
      </c>
      <c r="BP252" s="238">
        <f t="shared" si="1091"/>
        <v>521182.03752052324</v>
      </c>
      <c r="BQ252" s="1765">
        <f t="shared" si="1091"/>
        <v>521182.03752052324</v>
      </c>
      <c r="BR252" s="383">
        <f>AVERAGE(BS252:CD252)</f>
        <v>537505.80472591741</v>
      </c>
      <c r="BS252" s="533">
        <f t="shared" ref="BS252" si="1092">AVERAGE(BF252:BQ252)</f>
        <v>717067.24398525397</v>
      </c>
      <c r="BT252" s="238">
        <f t="shared" ref="BT252" si="1093">BT219</f>
        <v>521182.03752052324</v>
      </c>
      <c r="BU252" s="238">
        <f>BU219</f>
        <v>521182.03752052324</v>
      </c>
      <c r="BV252" s="238">
        <f t="shared" ref="BV252:CD252" si="1094">BV219</f>
        <v>521182.03752052324</v>
      </c>
      <c r="BW252" s="238">
        <f t="shared" si="1094"/>
        <v>521182.03752052324</v>
      </c>
      <c r="BX252" s="370">
        <f t="shared" si="1094"/>
        <v>521182.03752052324</v>
      </c>
      <c r="BY252" s="238">
        <f t="shared" si="1094"/>
        <v>521182.03752052324</v>
      </c>
      <c r="BZ252" s="238">
        <f t="shared" si="1094"/>
        <v>521182.03752052324</v>
      </c>
      <c r="CA252" s="238">
        <f t="shared" si="1094"/>
        <v>521182.03752052324</v>
      </c>
      <c r="CB252" s="238">
        <f t="shared" si="1094"/>
        <v>521182.03752052324</v>
      </c>
      <c r="CC252" s="238">
        <f t="shared" si="1094"/>
        <v>521182.03752052324</v>
      </c>
      <c r="CD252" s="1765">
        <f t="shared" si="1094"/>
        <v>521182.03752052324</v>
      </c>
      <c r="CE252" s="383">
        <f>AVERAGE(CF252:CQ252)</f>
        <v>522542.3514543061</v>
      </c>
      <c r="CF252" s="533">
        <f t="shared" ref="CF252" si="1095">AVERAGE(BS252:CD252)</f>
        <v>537505.80472591741</v>
      </c>
      <c r="CG252" s="238">
        <f t="shared" ref="CG252" si="1096">CG219</f>
        <v>521182.03752052324</v>
      </c>
      <c r="CH252" s="238">
        <f>CH219</f>
        <v>521182.03752052324</v>
      </c>
      <c r="CI252" s="238">
        <f t="shared" ref="CI252:CQ252" si="1097">CI219</f>
        <v>521182.03752052324</v>
      </c>
      <c r="CJ252" s="238">
        <f t="shared" si="1097"/>
        <v>521182.03752052324</v>
      </c>
      <c r="CK252" s="370">
        <f t="shared" si="1097"/>
        <v>521182.03752052324</v>
      </c>
      <c r="CL252" s="238">
        <f t="shared" si="1097"/>
        <v>521182.03752052324</v>
      </c>
      <c r="CM252" s="238">
        <f t="shared" si="1097"/>
        <v>521182.03752052324</v>
      </c>
      <c r="CN252" s="238">
        <f t="shared" si="1097"/>
        <v>521182.03752052324</v>
      </c>
      <c r="CO252" s="238">
        <f t="shared" si="1097"/>
        <v>521182.03752052324</v>
      </c>
      <c r="CP252" s="238">
        <f t="shared" si="1097"/>
        <v>521182.03752052324</v>
      </c>
      <c r="CQ252" s="1765">
        <f t="shared" si="1097"/>
        <v>521182.03752052324</v>
      </c>
    </row>
    <row r="253" spans="1:95" ht="16.5" customHeight="1">
      <c r="B253" s="3311" t="s">
        <v>252</v>
      </c>
      <c r="C253" s="3312"/>
      <c r="D253" s="228" t="s">
        <v>14</v>
      </c>
      <c r="E253" s="377">
        <f>SUM(F253:Q253)</f>
        <v>81664.120773999995</v>
      </c>
      <c r="F253" s="395">
        <v>6275.2190300000002</v>
      </c>
      <c r="G253" s="395">
        <v>6216.8843420000012</v>
      </c>
      <c r="H253" s="321">
        <v>5976.1107840000022</v>
      </c>
      <c r="I253" s="321">
        <v>5764.9177159999999</v>
      </c>
      <c r="J253" s="321">
        <v>7199.4799409999996</v>
      </c>
      <c r="K253" s="321">
        <v>6371.7376880000011</v>
      </c>
      <c r="L253" s="321">
        <v>6215.0368120000003</v>
      </c>
      <c r="M253" s="321">
        <v>6834.0835319999996</v>
      </c>
      <c r="N253" s="321">
        <v>6718.1898270000002</v>
      </c>
      <c r="O253" s="321">
        <v>7737.3198940000002</v>
      </c>
      <c r="P253" s="321">
        <v>10084.694176000001</v>
      </c>
      <c r="Q253" s="395">
        <v>6270.447032</v>
      </c>
      <c r="R253" s="377">
        <f>SUM(S253:AD253)</f>
        <v>103598.487163</v>
      </c>
      <c r="S253" s="235">
        <v>6129.0172570000013</v>
      </c>
      <c r="T253" s="235">
        <v>6971.6658069999976</v>
      </c>
      <c r="U253" s="235">
        <v>6615.5375870000025</v>
      </c>
      <c r="V253" s="235">
        <v>5369.4533590000001</v>
      </c>
      <c r="W253" s="235">
        <v>7941.3040930000006</v>
      </c>
      <c r="X253" s="235">
        <v>9211.9046390000021</v>
      </c>
      <c r="Y253" s="235">
        <v>8636.5992929999993</v>
      </c>
      <c r="Z253" s="235">
        <v>10534.176443999999</v>
      </c>
      <c r="AA253" s="235">
        <v>8691.8445329999995</v>
      </c>
      <c r="AB253" s="235">
        <v>9563.4805300000025</v>
      </c>
      <c r="AC253" s="235">
        <v>7846.8243059999968</v>
      </c>
      <c r="AD253" s="235">
        <v>16086.679315000001</v>
      </c>
      <c r="AE253" s="377">
        <f>SUM(AF253:AQ253)</f>
        <v>120341.196295</v>
      </c>
      <c r="AF253" s="235">
        <v>6336.8882440000007</v>
      </c>
      <c r="AG253" s="235">
        <v>8988.1480550000015</v>
      </c>
      <c r="AH253" s="235">
        <v>6872.7471129999994</v>
      </c>
      <c r="AI253" s="235">
        <v>9161.3518139999996</v>
      </c>
      <c r="AJ253" s="235">
        <v>9993.5671849999999</v>
      </c>
      <c r="AK253" s="235">
        <v>10703.450198</v>
      </c>
      <c r="AL253" s="235">
        <v>10511.114355</v>
      </c>
      <c r="AM253" s="235">
        <v>12394.395268</v>
      </c>
      <c r="AN253" s="235">
        <v>7127.9267970000001</v>
      </c>
      <c r="AO253" s="235">
        <v>10379.931114999999</v>
      </c>
      <c r="AP253" s="235">
        <v>7674.0912949999993</v>
      </c>
      <c r="AQ253" s="235">
        <v>20197.584856000001</v>
      </c>
      <c r="AR253" s="377">
        <f>SUM(AS253:BD253)</f>
        <v>127690.999719</v>
      </c>
      <c r="AS253" s="927">
        <v>3960.788967</v>
      </c>
      <c r="AT253" s="211">
        <v>12151.035846999999</v>
      </c>
      <c r="AU253" s="211">
        <v>7705.7831120000001</v>
      </c>
      <c r="AV253" s="211">
        <v>10243.475541</v>
      </c>
      <c r="AW253" s="211">
        <v>10480.835252999999</v>
      </c>
      <c r="AX253" s="211">
        <v>12702.525718999999</v>
      </c>
      <c r="AY253" s="211">
        <v>9774.771050000003</v>
      </c>
      <c r="AZ253" s="211">
        <v>17064.927391000001</v>
      </c>
      <c r="BA253" s="211">
        <v>10400.48971</v>
      </c>
      <c r="BB253" s="211">
        <v>14586.148137</v>
      </c>
      <c r="BC253" s="211">
        <v>8100.0903090000002</v>
      </c>
      <c r="BD253" s="925">
        <v>10520.128683000001</v>
      </c>
      <c r="BE253" s="377">
        <f>SUM(BF253:BQ253)</f>
        <v>132402.75034699999</v>
      </c>
      <c r="BF253" s="235">
        <v>14291.505821999999</v>
      </c>
      <c r="BG253" s="235">
        <v>9284.4522290000004</v>
      </c>
      <c r="BH253" s="235">
        <v>8770.3072969999994</v>
      </c>
      <c r="BI253" s="235">
        <v>9702.2261269999999</v>
      </c>
      <c r="BJ253" s="235">
        <v>8695.1629690000009</v>
      </c>
      <c r="BK253" s="235">
        <v>7796.3286589999998</v>
      </c>
      <c r="BL253" s="235">
        <v>15782.82656</v>
      </c>
      <c r="BM253" s="235">
        <v>10023.02332</v>
      </c>
      <c r="BN253" s="235">
        <v>14768.000314000001</v>
      </c>
      <c r="BO253" s="235">
        <v>12075.488342000001</v>
      </c>
      <c r="BP253" s="235">
        <v>10021.921748000001</v>
      </c>
      <c r="BQ253" s="235">
        <v>11191.506960000001</v>
      </c>
      <c r="BR253" s="377">
        <f>SUM(BS253:CD253)</f>
        <v>162211.06738399999</v>
      </c>
      <c r="BS253" s="1767">
        <v>9415.9988880000001</v>
      </c>
      <c r="BT253" s="1767">
        <v>15165.931031</v>
      </c>
      <c r="BU253" s="1767">
        <v>10277.667009999999</v>
      </c>
      <c r="BV253" s="1767">
        <v>9694.5361959999991</v>
      </c>
      <c r="BW253" s="1767">
        <v>12446.163737000001</v>
      </c>
      <c r="BX253" s="1767">
        <v>12427.085998</v>
      </c>
      <c r="BY253" s="1767">
        <v>20526.703566</v>
      </c>
      <c r="BZ253" s="235">
        <v>13193.518587</v>
      </c>
      <c r="CA253" s="235">
        <v>17453.328669999999</v>
      </c>
      <c r="CB253" s="235">
        <v>11942.022718</v>
      </c>
      <c r="CC253" s="235">
        <v>13348.945797</v>
      </c>
      <c r="CD253" s="235">
        <v>16319.165186</v>
      </c>
      <c r="CE253" s="377">
        <f>SUM(CF253:CQ253)</f>
        <v>165716.69703701677</v>
      </c>
      <c r="CF253" s="1767">
        <f t="shared" ref="CF253:CQ253" si="1098">SUM(CF256:CF266)</f>
        <v>12340.767927746381</v>
      </c>
      <c r="CG253" s="1767">
        <f t="shared" si="1098"/>
        <v>11315.358644032996</v>
      </c>
      <c r="CH253" s="1767">
        <f t="shared" si="1098"/>
        <v>16543.217053603184</v>
      </c>
      <c r="CI253" s="1767">
        <f t="shared" si="1098"/>
        <v>12593.930150200104</v>
      </c>
      <c r="CJ253" s="1767">
        <f t="shared" si="1098"/>
        <v>12662.052937840923</v>
      </c>
      <c r="CK253" s="1767">
        <f t="shared" si="1098"/>
        <v>12209.235080756309</v>
      </c>
      <c r="CL253" s="1767">
        <f t="shared" si="1098"/>
        <v>17934.865945182104</v>
      </c>
      <c r="CM253" s="235">
        <f t="shared" si="1098"/>
        <v>13238.012808711785</v>
      </c>
      <c r="CN253" s="235">
        <f t="shared" si="1098"/>
        <v>17578.204019396922</v>
      </c>
      <c r="CO253" s="235">
        <f t="shared" si="1098"/>
        <v>14035.716793474709</v>
      </c>
      <c r="CP253" s="235">
        <f t="shared" si="1098"/>
        <v>12309.608663446965</v>
      </c>
      <c r="CQ253" s="235">
        <f t="shared" si="1098"/>
        <v>12955.727012624382</v>
      </c>
    </row>
    <row r="254" spans="1:95" ht="16.5" hidden="1" customHeight="1">
      <c r="B254" s="3313"/>
      <c r="C254" s="3314"/>
      <c r="D254" s="104"/>
      <c r="E254" s="971"/>
      <c r="F254" s="972"/>
      <c r="G254" s="972"/>
      <c r="H254" s="973"/>
      <c r="I254" s="973"/>
      <c r="J254" s="973"/>
      <c r="K254" s="973"/>
      <c r="L254" s="973"/>
      <c r="M254" s="973"/>
      <c r="N254" s="972"/>
      <c r="O254" s="972"/>
      <c r="P254" s="972"/>
      <c r="Q254" s="972"/>
      <c r="R254" s="971"/>
      <c r="S254" s="970"/>
      <c r="T254" s="970"/>
      <c r="U254" s="970"/>
      <c r="V254" s="970"/>
      <c r="W254" s="970"/>
      <c r="X254" s="970"/>
      <c r="Y254" s="970"/>
      <c r="Z254" s="970"/>
      <c r="AA254" s="970"/>
      <c r="AB254" s="970"/>
      <c r="AC254" s="970"/>
      <c r="AD254" s="970"/>
      <c r="AE254" s="971"/>
      <c r="AF254" s="970">
        <f>AF253-AF266</f>
        <v>6778.2131210000007</v>
      </c>
      <c r="AG254" s="970">
        <f t="shared" ref="AG254:AP254" si="1099">AG253-AG266</f>
        <v>10479.028278</v>
      </c>
      <c r="AH254" s="970">
        <f t="shared" si="1099"/>
        <v>10239.010103999999</v>
      </c>
      <c r="AI254" s="970">
        <f t="shared" si="1099"/>
        <v>10930.416165000001</v>
      </c>
      <c r="AJ254" s="970">
        <f t="shared" si="1099"/>
        <v>11025.833283999998</v>
      </c>
      <c r="AK254" s="970">
        <f t="shared" si="1099"/>
        <v>12159.641516000002</v>
      </c>
      <c r="AL254" s="970">
        <f t="shared" si="1099"/>
        <v>10770.901715</v>
      </c>
      <c r="AM254" s="970">
        <f t="shared" si="1099"/>
        <v>14043.264838999999</v>
      </c>
      <c r="AN254" s="970">
        <f t="shared" si="1099"/>
        <v>8547.8335239999997</v>
      </c>
      <c r="AO254" s="970">
        <f t="shared" si="1099"/>
        <v>10802.495786000001</v>
      </c>
      <c r="AP254" s="970">
        <f t="shared" si="1099"/>
        <v>8409.6170249999996</v>
      </c>
      <c r="AQ254" s="970">
        <v>32214.031465</v>
      </c>
      <c r="AR254" s="377"/>
      <c r="AS254" s="968">
        <f>SUM(AS256:AS265)</f>
        <v>6120.3222079999996</v>
      </c>
      <c r="AT254" s="969">
        <f t="shared" ref="AT254:BD254" si="1100">SUM(AT256:AT265)</f>
        <v>12544.994222999998</v>
      </c>
      <c r="AU254" s="969">
        <f t="shared" si="1100"/>
        <v>10268.209475</v>
      </c>
      <c r="AV254" s="969">
        <f t="shared" si="1100"/>
        <v>10973.981649000001</v>
      </c>
      <c r="AW254" s="969">
        <f t="shared" si="1100"/>
        <v>10281.430747</v>
      </c>
      <c r="AX254" s="969">
        <f t="shared" si="1100"/>
        <v>11875.571838</v>
      </c>
      <c r="AY254" s="969">
        <f t="shared" si="1100"/>
        <v>9837.8670669999992</v>
      </c>
      <c r="AZ254" s="969">
        <f t="shared" si="1100"/>
        <v>16088.751330999999</v>
      </c>
      <c r="BA254" s="969">
        <f t="shared" si="1100"/>
        <v>10775.061336000001</v>
      </c>
      <c r="BB254" s="969">
        <f t="shared" si="1100"/>
        <v>14747.561773000001</v>
      </c>
      <c r="BC254" s="969">
        <f t="shared" si="1100"/>
        <v>8852.7968569999994</v>
      </c>
      <c r="BD254" s="1531">
        <f t="shared" si="1100"/>
        <v>11914.494788</v>
      </c>
      <c r="BE254" s="971"/>
      <c r="BF254" s="968">
        <f t="shared" ref="BF254:BQ254" si="1101">SUM(BF256:BF265)</f>
        <v>15130.391075000001</v>
      </c>
      <c r="BG254" s="969">
        <f t="shared" si="1101"/>
        <v>9752.1112510000003</v>
      </c>
      <c r="BH254" s="969">
        <f t="shared" si="1101"/>
        <v>9037.0485339999996</v>
      </c>
      <c r="BI254" s="969">
        <f t="shared" si="1101"/>
        <v>9574.1038089999984</v>
      </c>
      <c r="BJ254" s="969">
        <f t="shared" si="1101"/>
        <v>8822.5021459999989</v>
      </c>
      <c r="BK254" s="969">
        <f t="shared" si="1101"/>
        <v>7844.0354189999998</v>
      </c>
      <c r="BL254" s="969">
        <f t="shared" si="1101"/>
        <v>14571.057072999998</v>
      </c>
      <c r="BM254" s="969">
        <f t="shared" si="1101"/>
        <v>9779.8872109999993</v>
      </c>
      <c r="BN254" s="969">
        <f t="shared" si="1101"/>
        <v>14266.390068999999</v>
      </c>
      <c r="BO254" s="969">
        <f t="shared" si="1101"/>
        <v>11713.725839999999</v>
      </c>
      <c r="BP254" s="969">
        <f t="shared" si="1101"/>
        <v>9364.8766090000008</v>
      </c>
      <c r="BQ254" s="970">
        <f t="shared" si="1101"/>
        <v>7480.3306549999998</v>
      </c>
      <c r="BR254" s="971"/>
      <c r="BS254" s="968"/>
      <c r="BT254" s="969"/>
      <c r="BU254" s="969"/>
      <c r="BV254" s="969"/>
      <c r="BW254" s="969"/>
      <c r="BX254" s="969"/>
      <c r="BY254" s="969"/>
      <c r="BZ254" s="969"/>
      <c r="CA254" s="969"/>
      <c r="CB254" s="969"/>
      <c r="CC254" s="969"/>
      <c r="CD254" s="970"/>
      <c r="CE254" s="971"/>
      <c r="CF254" s="968"/>
      <c r="CG254" s="969"/>
      <c r="CH254" s="969"/>
      <c r="CI254" s="969"/>
      <c r="CJ254" s="969"/>
      <c r="CK254" s="969"/>
      <c r="CL254" s="969"/>
      <c r="CM254" s="969"/>
      <c r="CN254" s="969"/>
      <c r="CO254" s="969"/>
      <c r="CP254" s="969"/>
      <c r="CQ254" s="970"/>
    </row>
    <row r="255" spans="1:95" ht="16.5" customHeight="1">
      <c r="B255" s="3313"/>
      <c r="C255" s="3314"/>
      <c r="D255" s="104" t="s">
        <v>725</v>
      </c>
      <c r="E255" s="971">
        <f t="shared" ref="E255" si="1102">SUM(E256:E266)-E256</f>
        <v>78258.401577655823</v>
      </c>
      <c r="F255" s="972">
        <f t="shared" ref="F255" si="1103">SUM(F256:F266)-F256</f>
        <v>6020.7705560000004</v>
      </c>
      <c r="G255" s="972">
        <f t="shared" ref="G255" si="1104">SUM(G256:G266)-G256</f>
        <v>6600.9521990000012</v>
      </c>
      <c r="H255" s="973">
        <f t="shared" ref="H255" si="1105">SUM(H256:H266)-H256</f>
        <v>5416.9282810000022</v>
      </c>
      <c r="I255" s="973">
        <f t="shared" ref="I255" si="1106">SUM(I256:I266)-I256</f>
        <v>5620.9097278459694</v>
      </c>
      <c r="J255" s="973">
        <f t="shared" ref="J255" si="1107">SUM(J256:J266)-J256</f>
        <v>6846.4973993229505</v>
      </c>
      <c r="K255" s="973">
        <f t="shared" ref="K255" si="1108">SUM(K256:K266)-K256</f>
        <v>6263.6749791896946</v>
      </c>
      <c r="L255" s="973">
        <f t="shared" ref="L255" si="1109">SUM(L256:L266)-L256</f>
        <v>6082.9787119242883</v>
      </c>
      <c r="M255" s="973">
        <f t="shared" ref="M255" si="1110">SUM(M256:M266)-M256</f>
        <v>7196.1297334154233</v>
      </c>
      <c r="N255" s="972">
        <f t="shared" ref="N255" si="1111">SUM(N256:N266)-N256</f>
        <v>6032.3507043487079</v>
      </c>
      <c r="O255" s="972">
        <f t="shared" ref="O255" si="1112">SUM(O256:O266)-O256</f>
        <v>6704.4095765947204</v>
      </c>
      <c r="P255" s="972">
        <f t="shared" ref="P255" si="1113">SUM(P256:P266)-P256</f>
        <v>9288.1166653779183</v>
      </c>
      <c r="Q255" s="972">
        <f t="shared" ref="Q255" si="1114">SUM(Q256:Q266)-Q256</f>
        <v>6184.6830436361433</v>
      </c>
      <c r="R255" s="971">
        <f t="shared" ref="R255" si="1115">SUM(R256:R266)-R256</f>
        <v>101203.52712301821</v>
      </c>
      <c r="S255" s="970">
        <f t="shared" ref="S255" si="1116">SUM(S256:S266)-S256</f>
        <v>5972.0518000000011</v>
      </c>
      <c r="T255" s="970">
        <f t="shared" ref="T255" si="1117">SUM(T256:T266)-T256</f>
        <v>6945.4902889999976</v>
      </c>
      <c r="U255" s="970">
        <f t="shared" ref="U255" si="1118">SUM(U256:U266)-U256</f>
        <v>6291.7604450000035</v>
      </c>
      <c r="V255" s="970">
        <f t="shared" ref="V255" si="1119">SUM(V256:V266)-V256</f>
        <v>5076.5029160000004</v>
      </c>
      <c r="W255" s="970">
        <f t="shared" ref="W255" si="1120">SUM(W256:W266)-W256</f>
        <v>7584.2561070000011</v>
      </c>
      <c r="X255" s="970">
        <f t="shared" ref="X255" si="1121">SUM(X256:X266)-X256</f>
        <v>8925.6750700000011</v>
      </c>
      <c r="Y255" s="970">
        <f t="shared" ref="Y255" si="1122">SUM(Y256:Y266)-Y256</f>
        <v>8534.4786399999994</v>
      </c>
      <c r="Z255" s="970">
        <f t="shared" ref="Z255" si="1123">SUM(Z256:Z266)-Z256</f>
        <v>10626.675445018198</v>
      </c>
      <c r="AA255" s="970">
        <f t="shared" ref="AA255" si="1124">SUM(AA256:AA266)-AA256</f>
        <v>8306.7382689999995</v>
      </c>
      <c r="AB255" s="970">
        <f t="shared" ref="AB255" si="1125">SUM(AB256:AB266)-AB256</f>
        <v>9295.8710890000038</v>
      </c>
      <c r="AC255" s="970">
        <f t="shared" ref="AC255" si="1126">SUM(AC256:AC266)-AC256</f>
        <v>7594.392445999998</v>
      </c>
      <c r="AD255" s="970">
        <f t="shared" ref="AD255" si="1127">SUM(AD256:AD266)-AD256</f>
        <v>16049.634607</v>
      </c>
      <c r="AE255" s="971">
        <f t="shared" ref="AE255" si="1128">SUM(AE256:AE266)-AE256</f>
        <v>116490.53418500001</v>
      </c>
      <c r="AF255" s="970">
        <f t="shared" ref="AF255" si="1129">SUM(AF256:AF266)-AF256</f>
        <v>6957.6576940000004</v>
      </c>
      <c r="AG255" s="970">
        <f t="shared" ref="AG255" si="1130">SUM(AG256:AG266)-AG256</f>
        <v>9416.2931050000007</v>
      </c>
      <c r="AH255" s="970">
        <f t="shared" ref="AH255" si="1131">SUM(AH256:AH266)-AH256</f>
        <v>6379.4693879999995</v>
      </c>
      <c r="AI255" s="970">
        <f t="shared" ref="AI255" si="1132">SUM(AI256:AI266)-AI256</f>
        <v>8689.9897029999993</v>
      </c>
      <c r="AJ255" s="970">
        <f t="shared" ref="AJ255" si="1133">SUM(AJ256:AJ266)-AJ256</f>
        <v>9501.3822749999999</v>
      </c>
      <c r="AK255" s="970">
        <f t="shared" ref="AK255" si="1134">SUM(AK256:AK266)-AK256</f>
        <v>9572.4673380000004</v>
      </c>
      <c r="AL255" s="970">
        <f t="shared" ref="AL255" si="1135">SUM(AL256:AL266)-AL256</f>
        <v>9118.8970019999997</v>
      </c>
      <c r="AM255" s="970">
        <f t="shared" ref="AM255" si="1136">SUM(AM256:AM266)-AM256</f>
        <v>11992.204453</v>
      </c>
      <c r="AN255" s="970">
        <f t="shared" ref="AN255" si="1137">SUM(AN256:AN266)-AN256</f>
        <v>7302.5992290000004</v>
      </c>
      <c r="AO255" s="970">
        <f t="shared" ref="AO255" si="1138">SUM(AO256:AO266)-AO256</f>
        <v>10460.420045999999</v>
      </c>
      <c r="AP255" s="970">
        <f t="shared" ref="AP255" si="1139">SUM(AP256:AP266)-AP256</f>
        <v>7359.8172079999995</v>
      </c>
      <c r="AQ255" s="970">
        <f t="shared" ref="AQ255" si="1140">SUM(AQ256:AQ266)-AQ256</f>
        <v>19739.336744</v>
      </c>
      <c r="AR255" s="971">
        <f t="shared" ref="AR255" si="1141">SUM(AR256:AR266)-AR256</f>
        <v>125211.69358500002</v>
      </c>
      <c r="AS255" s="968">
        <f t="shared" ref="AS255" si="1142">SUM(AS256:AS266)-AS256</f>
        <v>3937.3193200000001</v>
      </c>
      <c r="AT255" s="969">
        <f t="shared" ref="AT255" si="1143">SUM(AT256:AT266)-AT256</f>
        <v>11784.237431</v>
      </c>
      <c r="AU255" s="969">
        <f t="shared" ref="AU255" si="1144">SUM(AU256:AU266)-AU256</f>
        <v>7883.2859209999997</v>
      </c>
      <c r="AV255" s="969">
        <f t="shared" ref="AV255" si="1145">SUM(AV256:AV266)-AV256</f>
        <v>9981.7935209999996</v>
      </c>
      <c r="AW255" s="969">
        <f t="shared" ref="AW255" si="1146">SUM(AW256:AW266)-AW256</f>
        <v>10584.699063</v>
      </c>
      <c r="AX255" s="969">
        <f t="shared" ref="AX255" si="1147">SUM(AX256:AX266)-AX256</f>
        <v>12808.224749999999</v>
      </c>
      <c r="AY255" s="969">
        <f t="shared" ref="AY255" si="1148">SUM(AY256:AY266)-AY256</f>
        <v>9302.2750600000036</v>
      </c>
      <c r="AZ255" s="969">
        <f t="shared" ref="AZ255" si="1149">SUM(AZ256:AZ266)-AZ256</f>
        <v>17429.368840000003</v>
      </c>
      <c r="BA255" s="969">
        <f t="shared" ref="BA255" si="1150">SUM(BA256:BA266)-BA256</f>
        <v>9289.5879779999996</v>
      </c>
      <c r="BB255" s="969">
        <f t="shared" ref="BB255" si="1151">SUM(BB256:BB266)-BB256</f>
        <v>14360.575621</v>
      </c>
      <c r="BC255" s="969">
        <f t="shared" ref="BC255" si="1152">SUM(BC256:BC266)-BC256</f>
        <v>7917.2909060000002</v>
      </c>
      <c r="BD255" s="1531">
        <f t="shared" ref="BD255" si="1153">SUM(BD256:BD266)-BD256</f>
        <v>9933.0351740000006</v>
      </c>
      <c r="BE255" s="971">
        <f t="shared" ref="BE255" si="1154">SUM(BE256:BE266)-BE256</f>
        <v>122767.66513747636</v>
      </c>
      <c r="BF255" s="968">
        <f t="shared" ref="BF255" si="1155">SUM(BF256:BF266)-BF256</f>
        <v>12382.601925999999</v>
      </c>
      <c r="BG255" s="969">
        <f t="shared" ref="BG255" si="1156">SUM(BG256:BG266)-BG256</f>
        <v>7781.7121020000004</v>
      </c>
      <c r="BH255" s="969">
        <f t="shared" ref="BH255" si="1157">SUM(BH256:BH266)-BH256</f>
        <v>7747.4045909999995</v>
      </c>
      <c r="BI255" s="969">
        <f t="shared" ref="BI255" si="1158">SUM(BI256:BI266)-BI256</f>
        <v>8409.5753019999993</v>
      </c>
      <c r="BJ255" s="969">
        <f t="shared" ref="BJ255" si="1159">SUM(BJ256:BJ266)-BJ256</f>
        <v>8070.0034170000008</v>
      </c>
      <c r="BK255" s="969">
        <f t="shared" ref="BK255" si="1160">SUM(BK256:BK266)-BK256</f>
        <v>7054.279227</v>
      </c>
      <c r="BL255" s="969">
        <f t="shared" ref="BL255" si="1161">SUM(BL256:BL266)-BL256</f>
        <v>15113.833815</v>
      </c>
      <c r="BM255" s="969">
        <f t="shared" ref="BM255" si="1162">SUM(BM256:BM266)-BM256</f>
        <v>9291.6948872390658</v>
      </c>
      <c r="BN255" s="969">
        <f t="shared" ref="BN255" si="1163">SUM(BN256:BN266)-BN256</f>
        <v>14165.807960148231</v>
      </c>
      <c r="BO255" s="969">
        <f t="shared" ref="BO255" si="1164">SUM(BO256:BO266)-BO256</f>
        <v>12012.584802000001</v>
      </c>
      <c r="BP255" s="969">
        <f t="shared" ref="BP255" si="1165">SUM(BP256:BP266)-BP256</f>
        <v>9850.7000610000014</v>
      </c>
      <c r="BQ255" s="970">
        <f t="shared" ref="BQ255" si="1166">SUM(BQ256:BQ266)-BQ256</f>
        <v>10887.467047089074</v>
      </c>
      <c r="BR255" s="971">
        <f t="shared" ref="BR255" si="1167">SUM(BR256:BR266)-BR256</f>
        <v>160887.99166831395</v>
      </c>
      <c r="BS255" s="968">
        <f t="shared" ref="BS255" si="1168">SUM(BS256:BS266)-BS256</f>
        <v>9364.8651991397073</v>
      </c>
      <c r="BT255" s="969">
        <f t="shared" ref="BT255" si="1169">SUM(BT256:BT266)-BT256</f>
        <v>14916.529334999999</v>
      </c>
      <c r="BU255" s="969">
        <f t="shared" ref="BU255" si="1170">SUM(BU256:BU266)-BU256</f>
        <v>10205.26000317428</v>
      </c>
      <c r="BV255" s="969">
        <f t="shared" ref="BV255" si="1171">SUM(BV256:BV266)-BV256</f>
        <v>9306.2173979999989</v>
      </c>
      <c r="BW255" s="969">
        <f t="shared" ref="BW255" si="1172">SUM(BW256:BW266)-BW256</f>
        <v>12424.468766</v>
      </c>
      <c r="BX255" s="969">
        <f t="shared" ref="BX255" si="1173">SUM(BX256:BX266)-BX256</f>
        <v>12327.658051</v>
      </c>
      <c r="BY255" s="969">
        <f t="shared" ref="BY255" si="1174">SUM(BY256:BY266)-BY256</f>
        <v>20406.586229</v>
      </c>
      <c r="BZ255" s="969">
        <f t="shared" ref="BZ255" si="1175">SUM(BZ256:BZ266)-BZ256</f>
        <v>13127.689357000001</v>
      </c>
      <c r="CA255" s="969">
        <f t="shared" ref="CA255" si="1176">SUM(CA256:CA266)-CA256</f>
        <v>17187.560520999999</v>
      </c>
      <c r="CB255" s="969">
        <f t="shared" ref="CB255" si="1177">SUM(CB256:CB266)-CB256</f>
        <v>12087.004885</v>
      </c>
      <c r="CC255" s="969">
        <f t="shared" ref="CC255" si="1178">SUM(CC256:CC266)-CC256</f>
        <v>13291.149429000001</v>
      </c>
      <c r="CD255" s="970">
        <f t="shared" ref="CD255" si="1179">SUM(CD256:CD266)-CD256</f>
        <v>16243.002495000001</v>
      </c>
      <c r="CE255" s="971">
        <f t="shared" ref="CE255" si="1180">SUM(CE256:CE266)-CE256</f>
        <v>164648.79876340317</v>
      </c>
      <c r="CF255" s="968">
        <f t="shared" ref="CF255" si="1181">SUM(CF256:CF266)-CF256</f>
        <v>12236.738665328556</v>
      </c>
      <c r="CG255" s="969">
        <f t="shared" ref="CG255" si="1182">SUM(CG256:CG266)-CG256</f>
        <v>11239.057443452424</v>
      </c>
      <c r="CH255" s="969">
        <f t="shared" ref="CH255" si="1183">SUM(CH256:CH266)-CH256</f>
        <v>16450.650607283031</v>
      </c>
      <c r="CI255" s="969">
        <f t="shared" ref="CI255" si="1184">SUM(CI256:CI266)-CI256</f>
        <v>12509.43510839577</v>
      </c>
      <c r="CJ255" s="969">
        <f t="shared" ref="CJ255" si="1185">SUM(CJ256:CJ266)-CJ256</f>
        <v>12577.793351244169</v>
      </c>
      <c r="CK255" s="969">
        <f t="shared" ref="CK255" si="1186">SUM(CK256:CK266)-CK256</f>
        <v>12123.817054538264</v>
      </c>
      <c r="CL255" s="969">
        <f t="shared" ref="CL255" si="1187">SUM(CL256:CL266)-CL256</f>
        <v>17832.641126247046</v>
      </c>
      <c r="CM255" s="969">
        <f t="shared" ref="CM255" si="1188">SUM(CM256:CM266)-CM256</f>
        <v>13156.352647606705</v>
      </c>
      <c r="CN255" s="969">
        <f t="shared" ref="CN255" si="1189">SUM(CN256:CN266)-CN256</f>
        <v>17480.61137963667</v>
      </c>
      <c r="CO255" s="969">
        <f t="shared" ref="CO255" si="1190">SUM(CO256:CO266)-CO256</f>
        <v>13943.903803818808</v>
      </c>
      <c r="CP255" s="969">
        <f t="shared" ref="CP255" si="1191">SUM(CP256:CP266)-CP256</f>
        <v>12216.175741962919</v>
      </c>
      <c r="CQ255" s="970">
        <f t="shared" ref="CQ255" si="1192">SUM(CQ256:CQ266)-CQ256</f>
        <v>12881.621833888805</v>
      </c>
    </row>
    <row r="256" spans="1:95">
      <c r="A256" s="3155"/>
      <c r="B256" s="3313"/>
      <c r="C256" s="3314"/>
      <c r="D256" s="101" t="s">
        <v>15</v>
      </c>
      <c r="E256" s="378">
        <f>SUM(F256:Q256)</f>
        <v>3405.719196344186</v>
      </c>
      <c r="F256" s="460">
        <v>254.44847399999981</v>
      </c>
      <c r="G256" s="460">
        <v>-384.067857</v>
      </c>
      <c r="H256" s="335">
        <v>559.182503</v>
      </c>
      <c r="I256" s="335">
        <v>144.00798815403081</v>
      </c>
      <c r="J256" s="335">
        <v>352.98254167704908</v>
      </c>
      <c r="K256" s="335">
        <v>108.0627088103065</v>
      </c>
      <c r="L256" s="335">
        <v>132.05810007571199</v>
      </c>
      <c r="M256" s="335">
        <v>-362.04620141542364</v>
      </c>
      <c r="N256" s="460">
        <v>685.8391226512922</v>
      </c>
      <c r="O256" s="460">
        <v>1032.9103174052798</v>
      </c>
      <c r="P256" s="460">
        <v>796.57751062208263</v>
      </c>
      <c r="Q256" s="460">
        <v>85.763988363856697</v>
      </c>
      <c r="R256" s="378">
        <f>SUM(S256:AD256)</f>
        <v>2394.9600399817982</v>
      </c>
      <c r="S256" s="460">
        <v>156.96545700000024</v>
      </c>
      <c r="T256" s="460">
        <v>26.175518000000011</v>
      </c>
      <c r="U256" s="460">
        <v>323.777141999999</v>
      </c>
      <c r="V256" s="460">
        <v>292.95044299999972</v>
      </c>
      <c r="W256" s="460">
        <v>357.04798599999958</v>
      </c>
      <c r="X256" s="460">
        <v>286.22956900000099</v>
      </c>
      <c r="Y256" s="460">
        <v>102.12065299999995</v>
      </c>
      <c r="Z256" s="460">
        <v>-92.499001018199124</v>
      </c>
      <c r="AA256" s="460">
        <v>385.10626400000001</v>
      </c>
      <c r="AB256" s="460">
        <v>267.6094409999987</v>
      </c>
      <c r="AC256" s="460">
        <v>252.43185999999878</v>
      </c>
      <c r="AD256" s="460">
        <v>37.044708000000355</v>
      </c>
      <c r="AE256" s="378">
        <f>SUM(AF256:AQ256)</f>
        <v>3850.6621100000002</v>
      </c>
      <c r="AF256" s="460">
        <v>-620.76944999999978</v>
      </c>
      <c r="AG256" s="460">
        <v>-428.14504999999917</v>
      </c>
      <c r="AH256" s="460">
        <v>493.27772499999998</v>
      </c>
      <c r="AI256" s="460">
        <v>471.36211100000003</v>
      </c>
      <c r="AJ256" s="460">
        <v>492.18490999999995</v>
      </c>
      <c r="AK256" s="460">
        <v>1130.9828600000001</v>
      </c>
      <c r="AL256" s="460">
        <v>1392.217353</v>
      </c>
      <c r="AM256" s="460">
        <v>402.19081499999999</v>
      </c>
      <c r="AN256" s="460">
        <v>-174.67243199999999</v>
      </c>
      <c r="AO256" s="460">
        <v>-80.488930999999994</v>
      </c>
      <c r="AP256" s="460">
        <v>314.27408700000001</v>
      </c>
      <c r="AQ256" s="460">
        <v>458.24811199999931</v>
      </c>
      <c r="AR256" s="378">
        <f>SUM(AS256:BD256)</f>
        <v>2479.3061340000004</v>
      </c>
      <c r="AS256" s="923">
        <v>23.469646999999998</v>
      </c>
      <c r="AT256" s="335">
        <v>366.79841599999997</v>
      </c>
      <c r="AU256" s="335">
        <v>-177.50280900000001</v>
      </c>
      <c r="AV256" s="335">
        <v>261.68202000000002</v>
      </c>
      <c r="AW256" s="335">
        <v>-103.86381</v>
      </c>
      <c r="AX256" s="335">
        <v>-105.69903100000001</v>
      </c>
      <c r="AY256" s="335">
        <v>472.49599000000001</v>
      </c>
      <c r="AZ256" s="335">
        <v>-364.44144899999998</v>
      </c>
      <c r="BA256" s="335">
        <v>1110.901732</v>
      </c>
      <c r="BB256" s="335">
        <v>225.57251600000001</v>
      </c>
      <c r="BC256" s="335">
        <v>182.79940300000001</v>
      </c>
      <c r="BD256" s="1516">
        <v>587.09350900000004</v>
      </c>
      <c r="BE256" s="378">
        <f>SUM(BF256:BQ256)</f>
        <v>9635.0852095236278</v>
      </c>
      <c r="BF256" s="1833">
        <v>1908.903896</v>
      </c>
      <c r="BG256" s="1834">
        <v>1502.740127</v>
      </c>
      <c r="BH256" s="1834">
        <v>1022.902706</v>
      </c>
      <c r="BI256" s="1834">
        <v>1292.6508249999999</v>
      </c>
      <c r="BJ256" s="1834">
        <v>625.15955199999996</v>
      </c>
      <c r="BK256" s="1834">
        <v>742.04943200000002</v>
      </c>
      <c r="BL256" s="1834">
        <v>668.99274500000001</v>
      </c>
      <c r="BM256" s="1834">
        <v>731.32843276093479</v>
      </c>
      <c r="BN256" s="1834">
        <v>602.19235385176989</v>
      </c>
      <c r="BO256" s="1834">
        <v>62.90354</v>
      </c>
      <c r="BP256" s="1834">
        <v>171.221687</v>
      </c>
      <c r="BQ256" s="1835">
        <v>304.03991291092728</v>
      </c>
      <c r="BR256" s="378">
        <f>SUM(BS256:CD256)</f>
        <v>1323.0757156860125</v>
      </c>
      <c r="BS256" s="1859">
        <v>51.133688860293212</v>
      </c>
      <c r="BT256" s="1860">
        <v>249.40169599999999</v>
      </c>
      <c r="BU256" s="1860">
        <v>72.40700682571925</v>
      </c>
      <c r="BV256" s="1860">
        <v>388.31879800000002</v>
      </c>
      <c r="BW256" s="1860">
        <v>21.694970999999999</v>
      </c>
      <c r="BX256" s="1860">
        <v>99.427947000000003</v>
      </c>
      <c r="BY256" s="1860">
        <v>120.11733700000001</v>
      </c>
      <c r="BZ256" s="1834">
        <v>65.829229999999995</v>
      </c>
      <c r="CA256" s="1834">
        <v>265.76814899999999</v>
      </c>
      <c r="CB256" s="1834">
        <v>-144.982167</v>
      </c>
      <c r="CC256" s="1834">
        <v>57.796368000000001</v>
      </c>
      <c r="CD256" s="1835">
        <v>76.162690999999995</v>
      </c>
      <c r="CE256" s="378">
        <f>SUM(CF256:CQ256)</f>
        <v>1067.8982736136006</v>
      </c>
      <c r="CF256" s="2483">
        <f t="shared" ref="CF256:CQ256" si="1193">CF269*CF9/1000000</f>
        <v>104.02926241782637</v>
      </c>
      <c r="CG256" s="2251">
        <f t="shared" si="1193"/>
        <v>76.301200580572981</v>
      </c>
      <c r="CH256" s="2251">
        <f t="shared" si="1193"/>
        <v>92.566446320153872</v>
      </c>
      <c r="CI256" s="2251">
        <f t="shared" si="1193"/>
        <v>84.495041804334036</v>
      </c>
      <c r="CJ256" s="2251">
        <f t="shared" si="1193"/>
        <v>84.259586596754716</v>
      </c>
      <c r="CK256" s="2251">
        <f t="shared" si="1193"/>
        <v>85.418026218045071</v>
      </c>
      <c r="CL256" s="2484">
        <f t="shared" si="1193"/>
        <v>102.22481893505845</v>
      </c>
      <c r="CM256" s="2484">
        <f t="shared" si="1193"/>
        <v>81.660161105078785</v>
      </c>
      <c r="CN256" s="2484">
        <f t="shared" si="1193"/>
        <v>97.592639760252624</v>
      </c>
      <c r="CO256" s="2484">
        <f t="shared" si="1193"/>
        <v>91.812989655899983</v>
      </c>
      <c r="CP256" s="2484">
        <f t="shared" si="1193"/>
        <v>93.432921484045863</v>
      </c>
      <c r="CQ256" s="2485">
        <f t="shared" si="1193"/>
        <v>74.105178735577667</v>
      </c>
    </row>
    <row r="257" spans="1:95">
      <c r="A257" s="3155"/>
      <c r="B257" s="3313"/>
      <c r="C257" s="3314"/>
      <c r="D257" s="101" t="s">
        <v>16</v>
      </c>
      <c r="E257" s="378">
        <f t="shared" ref="E257:E260" si="1194">SUM(F257:Q257)</f>
        <v>52147.488354655805</v>
      </c>
      <c r="F257" s="460">
        <v>3952.8641419999999</v>
      </c>
      <c r="G257" s="460">
        <v>4661.6671740000002</v>
      </c>
      <c r="H257" s="335">
        <v>4296.7766680000004</v>
      </c>
      <c r="I257" s="460">
        <v>4631.4921578459689</v>
      </c>
      <c r="J257" s="335">
        <v>4114.6069083229495</v>
      </c>
      <c r="K257" s="335">
        <v>3939.3182541896922</v>
      </c>
      <c r="L257" s="335">
        <v>3796.7747579242891</v>
      </c>
      <c r="M257" s="335">
        <v>5032.2357244154246</v>
      </c>
      <c r="N257" s="460">
        <v>4266.3366893487064</v>
      </c>
      <c r="O257" s="460">
        <v>4367.3415755947199</v>
      </c>
      <c r="P257" s="460">
        <v>4666.3925503779192</v>
      </c>
      <c r="Q257" s="460">
        <v>4421.6817526361428</v>
      </c>
      <c r="R257" s="378">
        <f t="shared" ref="R257:R260" si="1195">SUM(S257:AD257)</f>
        <v>71316.1640600182</v>
      </c>
      <c r="S257" s="460">
        <v>4724.5406269999994</v>
      </c>
      <c r="T257" s="460">
        <v>4041.8303550000001</v>
      </c>
      <c r="U257" s="460">
        <v>4847.9548410000007</v>
      </c>
      <c r="V257" s="460">
        <v>4795.3835740000004</v>
      </c>
      <c r="W257" s="460">
        <v>4040.4171000000006</v>
      </c>
      <c r="X257" s="460">
        <v>6251.2461710000007</v>
      </c>
      <c r="Y257" s="460">
        <v>6998.5958520000004</v>
      </c>
      <c r="Z257" s="460">
        <v>9311.0057490182007</v>
      </c>
      <c r="AA257" s="460">
        <v>6285.2845099999995</v>
      </c>
      <c r="AB257" s="460">
        <v>7717.2679960000005</v>
      </c>
      <c r="AC257" s="460">
        <v>6724.635655000001</v>
      </c>
      <c r="AD257" s="460">
        <v>5578.0016299999997</v>
      </c>
      <c r="AE257" s="378">
        <f t="shared" ref="AE257:AE260" si="1196">SUM(AF257:AQ257)</f>
        <v>76476.631410000002</v>
      </c>
      <c r="AF257" s="460">
        <v>5005.4595890000001</v>
      </c>
      <c r="AG257" s="460">
        <v>6637.1368759999996</v>
      </c>
      <c r="AH257" s="460">
        <v>5748.0200789999999</v>
      </c>
      <c r="AI257" s="460">
        <v>6264.2949669999998</v>
      </c>
      <c r="AJ257" s="460">
        <v>6896.539205</v>
      </c>
      <c r="AK257" s="460">
        <v>7070.5253400000001</v>
      </c>
      <c r="AL257" s="460">
        <v>5505.800056</v>
      </c>
      <c r="AM257" s="460">
        <v>9313.2488620000004</v>
      </c>
      <c r="AN257" s="460">
        <v>4464.4279770000003</v>
      </c>
      <c r="AO257" s="460">
        <v>6824.0805460000001</v>
      </c>
      <c r="AP257" s="460">
        <v>5071.7682439999999</v>
      </c>
      <c r="AQ257" s="460">
        <v>7675.3296690000006</v>
      </c>
      <c r="AR257" s="378">
        <f t="shared" ref="AR257:AR260" si="1197">SUM(AS257:BD257)</f>
        <v>87611.982694000006</v>
      </c>
      <c r="AS257" s="923">
        <v>5454.0118780000003</v>
      </c>
      <c r="AT257" s="335">
        <v>8386.4812020000008</v>
      </c>
      <c r="AU257" s="335">
        <v>7255.3442420000001</v>
      </c>
      <c r="AV257" s="335">
        <v>7104.7043869999998</v>
      </c>
      <c r="AW257" s="335">
        <v>7150.9591200000004</v>
      </c>
      <c r="AX257" s="335">
        <v>7228.9413979999999</v>
      </c>
      <c r="AY257" s="335">
        <v>5784.3891089999997</v>
      </c>
      <c r="AZ257" s="335">
        <v>12166.180366000001</v>
      </c>
      <c r="BA257" s="335">
        <v>4725.2332029999998</v>
      </c>
      <c r="BB257" s="335">
        <v>8761.5998830000008</v>
      </c>
      <c r="BC257" s="335">
        <v>4991.1542989999998</v>
      </c>
      <c r="BD257" s="1516">
        <v>8602.9836070000001</v>
      </c>
      <c r="BE257" s="378">
        <f t="shared" ref="BE257:BE260" si="1198">SUM(BF257:BQ257)</f>
        <v>78861.770732476376</v>
      </c>
      <c r="BF257" s="1833">
        <v>10187.188346000001</v>
      </c>
      <c r="BG257" s="1834">
        <v>6146.5255129999996</v>
      </c>
      <c r="BH257" s="1834">
        <v>5711.8314719999998</v>
      </c>
      <c r="BI257" s="1834">
        <v>5440.1834090000002</v>
      </c>
      <c r="BJ257" s="1834">
        <v>5291.4501069999997</v>
      </c>
      <c r="BK257" s="1834">
        <v>4924.8585210000001</v>
      </c>
      <c r="BL257" s="1834">
        <v>9761.9864959999995</v>
      </c>
      <c r="BM257" s="1834">
        <v>6381.5598432390652</v>
      </c>
      <c r="BN257" s="1834">
        <v>8347.5051321482297</v>
      </c>
      <c r="BO257" s="1834">
        <v>6496.4788410000001</v>
      </c>
      <c r="BP257" s="1834">
        <v>5574.0940170000003</v>
      </c>
      <c r="BQ257" s="1835">
        <v>4598.1090350890727</v>
      </c>
      <c r="BR257" s="378">
        <f t="shared" ref="BR257:BR260" si="1199">SUM(BS257:CD257)</f>
        <v>90706.314576314006</v>
      </c>
      <c r="BS257" s="1859">
        <v>3715.4073751397073</v>
      </c>
      <c r="BT257" s="1860">
        <v>10019.739813</v>
      </c>
      <c r="BU257" s="1860">
        <v>7378.9083741742797</v>
      </c>
      <c r="BV257" s="1860">
        <v>7188.9812469999997</v>
      </c>
      <c r="BW257" s="1860">
        <v>9054.7692700000007</v>
      </c>
      <c r="BX257" s="1860">
        <v>6418.9110700000001</v>
      </c>
      <c r="BY257" s="1860">
        <v>13678.429635</v>
      </c>
      <c r="BZ257" s="1834">
        <v>7928.9357819999996</v>
      </c>
      <c r="CA257" s="1834">
        <v>8503.3418689999999</v>
      </c>
      <c r="CB257" s="1834">
        <v>6532.2647649999999</v>
      </c>
      <c r="CC257" s="1834">
        <v>5196.5851849999999</v>
      </c>
      <c r="CD257" s="1835">
        <v>5090.040191</v>
      </c>
      <c r="CE257" s="378">
        <f t="shared" ref="CE257:CE260" si="1200">SUM(CF257:CQ257)</f>
        <v>93143.132910778004</v>
      </c>
      <c r="CF257" s="2483">
        <f t="shared" ref="CF257:CQ257" si="1201">CF270*CF10/1000000</f>
        <v>8160.2392457419573</v>
      </c>
      <c r="CG257" s="2251">
        <f t="shared" si="1201"/>
        <v>6595.4362073711682</v>
      </c>
      <c r="CH257" s="2251">
        <f t="shared" si="1201"/>
        <v>9919.530092317098</v>
      </c>
      <c r="CI257" s="2251">
        <f t="shared" si="1201"/>
        <v>7273.1789358578153</v>
      </c>
      <c r="CJ257" s="2251">
        <f t="shared" si="1201"/>
        <v>7376.1083157527064</v>
      </c>
      <c r="CK257" s="2251">
        <f t="shared" si="1201"/>
        <v>6658.5861167752792</v>
      </c>
      <c r="CL257" s="2251">
        <f t="shared" si="1201"/>
        <v>10160.174006726109</v>
      </c>
      <c r="CM257" s="2484">
        <f t="shared" si="1201"/>
        <v>7406.9374053830606</v>
      </c>
      <c r="CN257" s="2484">
        <f t="shared" si="1201"/>
        <v>9561.4929758398812</v>
      </c>
      <c r="CO257" s="2484">
        <f t="shared" si="1201"/>
        <v>6956.8456245492189</v>
      </c>
      <c r="CP257" s="2484">
        <f t="shared" si="1201"/>
        <v>6755.0513327154185</v>
      </c>
      <c r="CQ257" s="2485">
        <f t="shared" si="1201"/>
        <v>6319.5526517482958</v>
      </c>
    </row>
    <row r="258" spans="1:95">
      <c r="A258" s="3155"/>
      <c r="B258" s="3313"/>
      <c r="C258" s="3314"/>
      <c r="D258" s="101" t="s">
        <v>574</v>
      </c>
      <c r="E258" s="378"/>
      <c r="F258" s="460"/>
      <c r="G258" s="460"/>
      <c r="H258" s="335"/>
      <c r="I258" s="460"/>
      <c r="J258" s="335"/>
      <c r="K258" s="335"/>
      <c r="L258" s="335"/>
      <c r="M258" s="335"/>
      <c r="N258" s="460"/>
      <c r="O258" s="460"/>
      <c r="P258" s="460"/>
      <c r="Q258" s="460"/>
      <c r="R258" s="378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378"/>
      <c r="AF258" s="460"/>
      <c r="AG258" s="460"/>
      <c r="AH258" s="460"/>
      <c r="AI258" s="460"/>
      <c r="AJ258" s="460"/>
      <c r="AK258" s="460"/>
      <c r="AL258" s="460"/>
      <c r="AM258" s="460"/>
      <c r="AN258" s="460"/>
      <c r="AO258" s="460"/>
      <c r="AP258" s="460"/>
      <c r="AQ258" s="460"/>
      <c r="AR258" s="378"/>
      <c r="AS258" s="923"/>
      <c r="AT258" s="335"/>
      <c r="AU258" s="335"/>
      <c r="AV258" s="335"/>
      <c r="AW258" s="335"/>
      <c r="AX258" s="335"/>
      <c r="AY258" s="335"/>
      <c r="AZ258" s="335"/>
      <c r="BA258" s="335"/>
      <c r="BB258" s="335"/>
      <c r="BC258" s="335"/>
      <c r="BD258" s="1516"/>
      <c r="BE258" s="378"/>
      <c r="BF258" s="1833"/>
      <c r="BG258" s="1834"/>
      <c r="BH258" s="1834"/>
      <c r="BI258" s="1834"/>
      <c r="BJ258" s="1834"/>
      <c r="BK258" s="1834"/>
      <c r="BL258" s="1834"/>
      <c r="BM258" s="1834"/>
      <c r="BN258" s="1834"/>
      <c r="BO258" s="1834"/>
      <c r="BP258" s="1834"/>
      <c r="BQ258" s="1835"/>
      <c r="BR258" s="378">
        <f t="shared" si="1199"/>
        <v>775.5731320000001</v>
      </c>
      <c r="BS258" s="1859">
        <v>37.162767000000002</v>
      </c>
      <c r="BT258" s="1860">
        <v>129.45291700000001</v>
      </c>
      <c r="BU258" s="1860">
        <v>209.727924</v>
      </c>
      <c r="BV258" s="1860">
        <v>57.732906999999997</v>
      </c>
      <c r="BW258" s="1860">
        <v>85.650416000000007</v>
      </c>
      <c r="BX258" s="1860">
        <v>28.663302999999999</v>
      </c>
      <c r="BY258" s="1860">
        <v>130.24707100000001</v>
      </c>
      <c r="BZ258" s="1834">
        <v>12.906801</v>
      </c>
      <c r="CA258" s="1834">
        <v>31.368124000000002</v>
      </c>
      <c r="CB258" s="1834">
        <v>28.992650999999999</v>
      </c>
      <c r="CC258" s="1834">
        <v>14.778803999999999</v>
      </c>
      <c r="CD258" s="1835">
        <v>8.8894470000000005</v>
      </c>
      <c r="CE258" s="378">
        <f t="shared" si="1200"/>
        <v>1000.1503053164585</v>
      </c>
      <c r="CF258" s="2483">
        <f t="shared" ref="CF258:CQ258" si="1202">CF271*CF11/1000000</f>
        <v>96.475677243410615</v>
      </c>
      <c r="CG258" s="2251">
        <f t="shared" si="1202"/>
        <v>68.300999284790095</v>
      </c>
      <c r="CH258" s="2251">
        <f t="shared" si="1202"/>
        <v>165.28144964315572</v>
      </c>
      <c r="CI258" s="2251">
        <f t="shared" si="1202"/>
        <v>67.366895079851446</v>
      </c>
      <c r="CJ258" s="2251">
        <f t="shared" si="1202"/>
        <v>75.611333582244967</v>
      </c>
      <c r="CK258" s="2251">
        <f t="shared" si="1202"/>
        <v>71.778109834176675</v>
      </c>
      <c r="CL258" s="2251">
        <f t="shared" si="1202"/>
        <v>147.98629410983759</v>
      </c>
      <c r="CM258" s="2484">
        <f t="shared" si="1202"/>
        <v>68.300999284790095</v>
      </c>
      <c r="CN258" s="2484">
        <f t="shared" si="1202"/>
        <v>83.478999125854358</v>
      </c>
      <c r="CO258" s="2484">
        <f t="shared" si="1202"/>
        <v>68.300999284790095</v>
      </c>
      <c r="CP258" s="2484">
        <f t="shared" si="1202"/>
        <v>50.327052104582158</v>
      </c>
      <c r="CQ258" s="2485">
        <f t="shared" si="1202"/>
        <v>36.941496738974628</v>
      </c>
    </row>
    <row r="259" spans="1:95" hidden="1">
      <c r="A259" s="3155"/>
      <c r="B259" s="3313"/>
      <c r="C259" s="3314"/>
      <c r="D259" s="101" t="s">
        <v>46</v>
      </c>
      <c r="E259" s="378">
        <f t="shared" si="1194"/>
        <v>0</v>
      </c>
      <c r="F259" s="460">
        <v>0</v>
      </c>
      <c r="G259" s="460">
        <v>0</v>
      </c>
      <c r="H259" s="335">
        <v>0</v>
      </c>
      <c r="I259" s="335">
        <v>0</v>
      </c>
      <c r="J259" s="335">
        <v>0</v>
      </c>
      <c r="K259" s="335">
        <v>0</v>
      </c>
      <c r="L259" s="335">
        <v>0</v>
      </c>
      <c r="M259" s="335">
        <v>0</v>
      </c>
      <c r="N259" s="460">
        <v>0</v>
      </c>
      <c r="O259" s="460">
        <v>0</v>
      </c>
      <c r="P259" s="460"/>
      <c r="Q259" s="460"/>
      <c r="R259" s="378">
        <f t="shared" si="1195"/>
        <v>0</v>
      </c>
      <c r="S259" s="460">
        <f>S272*S12/1000000</f>
        <v>0</v>
      </c>
      <c r="T259" s="460"/>
      <c r="U259" s="460"/>
      <c r="V259" s="460"/>
      <c r="W259" s="460"/>
      <c r="X259" s="460"/>
      <c r="Y259" s="460"/>
      <c r="Z259" s="460"/>
      <c r="AA259" s="460"/>
      <c r="AB259" s="460"/>
      <c r="AC259" s="460"/>
      <c r="AD259" s="460"/>
      <c r="AE259" s="378">
        <f t="shared" si="1196"/>
        <v>0</v>
      </c>
      <c r="AF259" s="460"/>
      <c r="AG259" s="460"/>
      <c r="AH259" s="460"/>
      <c r="AI259" s="460"/>
      <c r="AJ259" s="460"/>
      <c r="AK259" s="460"/>
      <c r="AL259" s="460"/>
      <c r="AM259" s="460">
        <v>0</v>
      </c>
      <c r="AN259" s="460"/>
      <c r="AO259" s="460"/>
      <c r="AP259" s="460"/>
      <c r="AQ259" s="460"/>
      <c r="AR259" s="378">
        <f t="shared" si="1197"/>
        <v>0</v>
      </c>
      <c r="AS259" s="923">
        <v>0</v>
      </c>
      <c r="AT259" s="335">
        <v>0</v>
      </c>
      <c r="AU259" s="335">
        <v>0</v>
      </c>
      <c r="AV259" s="335">
        <v>0</v>
      </c>
      <c r="AW259" s="335">
        <v>0</v>
      </c>
      <c r="AX259" s="335">
        <v>0</v>
      </c>
      <c r="AY259" s="335">
        <v>0</v>
      </c>
      <c r="AZ259" s="335">
        <v>0</v>
      </c>
      <c r="BA259" s="335">
        <v>0</v>
      </c>
      <c r="BB259" s="335">
        <v>0</v>
      </c>
      <c r="BC259" s="335">
        <v>0</v>
      </c>
      <c r="BD259" s="1516">
        <v>0</v>
      </c>
      <c r="BE259" s="378">
        <f t="shared" si="1198"/>
        <v>0</v>
      </c>
      <c r="BF259" s="1833">
        <v>0</v>
      </c>
      <c r="BG259" s="1834">
        <v>0</v>
      </c>
      <c r="BH259" s="1834">
        <v>0</v>
      </c>
      <c r="BI259" s="1834">
        <v>0</v>
      </c>
      <c r="BJ259" s="1834">
        <v>0</v>
      </c>
      <c r="BK259" s="1834">
        <v>0</v>
      </c>
      <c r="BL259" s="1834">
        <v>0</v>
      </c>
      <c r="BM259" s="1834">
        <v>0</v>
      </c>
      <c r="BN259" s="1834">
        <v>0</v>
      </c>
      <c r="BO259" s="1834">
        <v>0</v>
      </c>
      <c r="BP259" s="1834">
        <v>0</v>
      </c>
      <c r="BQ259" s="1835">
        <v>0</v>
      </c>
      <c r="BR259" s="378">
        <f t="shared" si="1199"/>
        <v>0</v>
      </c>
      <c r="BS259" s="1859"/>
      <c r="BT259" s="1860"/>
      <c r="BU259" s="1860"/>
      <c r="BV259" s="1860"/>
      <c r="BW259" s="1860"/>
      <c r="BX259" s="1860"/>
      <c r="BY259" s="1860">
        <f t="shared" ref="BY259:CC260" si="1203">BY272*BY12/1000000</f>
        <v>0</v>
      </c>
      <c r="BZ259" s="1834">
        <f t="shared" si="1203"/>
        <v>0</v>
      </c>
      <c r="CA259" s="1834">
        <f t="shared" si="1203"/>
        <v>0</v>
      </c>
      <c r="CB259" s="1834">
        <f t="shared" si="1203"/>
        <v>0</v>
      </c>
      <c r="CC259" s="1834">
        <f t="shared" si="1203"/>
        <v>0</v>
      </c>
      <c r="CD259" s="1835"/>
      <c r="CE259" s="378">
        <f t="shared" si="1200"/>
        <v>0</v>
      </c>
      <c r="CF259" s="2483"/>
      <c r="CG259" s="2251"/>
      <c r="CH259" s="2251"/>
      <c r="CI259" s="2251"/>
      <c r="CJ259" s="2251"/>
      <c r="CK259" s="2251"/>
      <c r="CL259" s="2251"/>
      <c r="CM259" s="2484"/>
      <c r="CN259" s="2484"/>
      <c r="CO259" s="2484"/>
      <c r="CP259" s="2484"/>
      <c r="CQ259" s="2485"/>
    </row>
    <row r="260" spans="1:95" hidden="1">
      <c r="A260" s="3155"/>
      <c r="B260" s="3313"/>
      <c r="C260" s="3314"/>
      <c r="D260" s="101" t="s">
        <v>47</v>
      </c>
      <c r="E260" s="378">
        <f t="shared" si="1194"/>
        <v>587.53880099999992</v>
      </c>
      <c r="F260" s="460">
        <v>212.26233299999998</v>
      </c>
      <c r="G260" s="460">
        <v>212.27007900000001</v>
      </c>
      <c r="H260" s="335">
        <v>118.24096800000001</v>
      </c>
      <c r="I260" s="335">
        <v>48.327278999999997</v>
      </c>
      <c r="J260" s="335">
        <v>-1.445454</v>
      </c>
      <c r="K260" s="335">
        <v>-1.6</v>
      </c>
      <c r="L260" s="335">
        <v>-0.18181800000000001</v>
      </c>
      <c r="M260" s="335">
        <v>-0.272727</v>
      </c>
      <c r="N260" s="460">
        <v>0</v>
      </c>
      <c r="O260" s="460">
        <v>0</v>
      </c>
      <c r="P260" s="460">
        <v>9.9999999999999995E-7</v>
      </c>
      <c r="Q260" s="460">
        <v>-6.1859999999999998E-2</v>
      </c>
      <c r="R260" s="378">
        <f t="shared" si="1195"/>
        <v>-0.16706200000000002</v>
      </c>
      <c r="S260" s="460">
        <f>S273*S13/1000000</f>
        <v>0</v>
      </c>
      <c r="T260" s="460">
        <v>-1.4944000000000001E-2</v>
      </c>
      <c r="U260" s="460">
        <v>-2.3009000000000002E-2</v>
      </c>
      <c r="V260" s="460"/>
      <c r="W260" s="460"/>
      <c r="X260" s="460">
        <v>-0.11705399999999999</v>
      </c>
      <c r="Y260" s="460"/>
      <c r="Z260" s="460"/>
      <c r="AA260" s="460"/>
      <c r="AB260" s="460">
        <v>-1.2055E-2</v>
      </c>
      <c r="AC260" s="460"/>
      <c r="AD260" s="460"/>
      <c r="AE260" s="378">
        <f t="shared" si="1196"/>
        <v>0</v>
      </c>
      <c r="AF260" s="460"/>
      <c r="AG260" s="460"/>
      <c r="AH260" s="460"/>
      <c r="AI260" s="460"/>
      <c r="AJ260" s="460"/>
      <c r="AK260" s="460"/>
      <c r="AL260" s="460"/>
      <c r="AM260" s="460">
        <v>0</v>
      </c>
      <c r="AN260" s="460"/>
      <c r="AO260" s="460"/>
      <c r="AP260" s="460"/>
      <c r="AQ260" s="460"/>
      <c r="AR260" s="378">
        <f t="shared" si="1197"/>
        <v>-0.56841599999999992</v>
      </c>
      <c r="AS260" s="923">
        <v>-0.31003399999999998</v>
      </c>
      <c r="AT260" s="335">
        <v>-9.9226999999999996E-2</v>
      </c>
      <c r="AU260" s="335">
        <v>0</v>
      </c>
      <c r="AV260" s="335">
        <v>-0.11283700000000001</v>
      </c>
      <c r="AW260" s="335">
        <v>0</v>
      </c>
      <c r="AX260" s="335">
        <v>-4.6317999999999998E-2</v>
      </c>
      <c r="AY260" s="335">
        <v>0</v>
      </c>
      <c r="AZ260" s="335">
        <v>0</v>
      </c>
      <c r="BA260" s="335">
        <v>0</v>
      </c>
      <c r="BB260" s="335">
        <v>0</v>
      </c>
      <c r="BC260" s="335">
        <v>0</v>
      </c>
      <c r="BD260" s="1516">
        <v>0</v>
      </c>
      <c r="BE260" s="378">
        <f t="shared" si="1198"/>
        <v>0</v>
      </c>
      <c r="BF260" s="1833">
        <v>0</v>
      </c>
      <c r="BG260" s="1834">
        <v>0</v>
      </c>
      <c r="BH260" s="1834">
        <v>0</v>
      </c>
      <c r="BI260" s="1834">
        <v>0</v>
      </c>
      <c r="BJ260" s="1834">
        <v>0</v>
      </c>
      <c r="BK260" s="1834">
        <v>0</v>
      </c>
      <c r="BL260" s="1834">
        <v>0</v>
      </c>
      <c r="BM260" s="1834">
        <v>0</v>
      </c>
      <c r="BN260" s="1834">
        <v>0</v>
      </c>
      <c r="BO260" s="1834">
        <v>0</v>
      </c>
      <c r="BP260" s="1834">
        <v>0</v>
      </c>
      <c r="BQ260" s="1835">
        <v>0</v>
      </c>
      <c r="BR260" s="378">
        <f t="shared" si="1199"/>
        <v>0</v>
      </c>
      <c r="BS260" s="1859"/>
      <c r="BT260" s="1860"/>
      <c r="BU260" s="1860"/>
      <c r="BV260" s="1860"/>
      <c r="BW260" s="1860"/>
      <c r="BX260" s="1860"/>
      <c r="BY260" s="1860">
        <f t="shared" si="1203"/>
        <v>0</v>
      </c>
      <c r="BZ260" s="1834">
        <f t="shared" si="1203"/>
        <v>0</v>
      </c>
      <c r="CA260" s="1834">
        <f t="shared" si="1203"/>
        <v>0</v>
      </c>
      <c r="CB260" s="1834">
        <f t="shared" si="1203"/>
        <v>0</v>
      </c>
      <c r="CC260" s="1834">
        <f t="shared" si="1203"/>
        <v>0</v>
      </c>
      <c r="CD260" s="1835"/>
      <c r="CE260" s="378">
        <f t="shared" si="1200"/>
        <v>0</v>
      </c>
      <c r="CF260" s="2483"/>
      <c r="CG260" s="2251"/>
      <c r="CH260" s="2251"/>
      <c r="CI260" s="2251"/>
      <c r="CJ260" s="2251"/>
      <c r="CK260" s="2251"/>
      <c r="CL260" s="2251"/>
      <c r="CM260" s="2484"/>
      <c r="CN260" s="2484"/>
      <c r="CO260" s="2484"/>
      <c r="CP260" s="2484"/>
      <c r="CQ260" s="2485"/>
    </row>
    <row r="261" spans="1:95">
      <c r="A261" s="3155"/>
      <c r="B261" s="3313"/>
      <c r="C261" s="3314"/>
      <c r="D261" s="201" t="s">
        <v>680</v>
      </c>
      <c r="E261" s="378">
        <f>SUM(F261:Q261)</f>
        <v>7274.528100700556</v>
      </c>
      <c r="F261" s="460">
        <v>254.56454574161873</v>
      </c>
      <c r="G261" s="460">
        <v>420.52477500000003</v>
      </c>
      <c r="H261" s="335">
        <v>511.36071500000003</v>
      </c>
      <c r="I261" s="335">
        <v>365.08377295893757</v>
      </c>
      <c r="J261" s="335">
        <v>977.47495800000002</v>
      </c>
      <c r="K261" s="335">
        <v>704.64586800000006</v>
      </c>
      <c r="L261" s="335">
        <v>625.76528400000007</v>
      </c>
      <c r="M261" s="335">
        <v>659.8435300000001</v>
      </c>
      <c r="N261" s="460">
        <v>602.53620699999999</v>
      </c>
      <c r="O261" s="460">
        <v>595.31556399999999</v>
      </c>
      <c r="P261" s="460">
        <v>800.73273700000004</v>
      </c>
      <c r="Q261" s="460">
        <v>756.68014400000004</v>
      </c>
      <c r="R261" s="378">
        <f>SUM(S261:AD261)</f>
        <v>5937.0451519672779</v>
      </c>
      <c r="S261" s="460">
        <v>458.44707299999999</v>
      </c>
      <c r="T261" s="335">
        <v>343.07974999999999</v>
      </c>
      <c r="U261" s="335">
        <v>497.03615100000002</v>
      </c>
      <c r="V261" s="335">
        <v>450.5921779578743</v>
      </c>
      <c r="W261" s="335">
        <v>574.21641285712894</v>
      </c>
      <c r="X261" s="335">
        <v>469.93301528069475</v>
      </c>
      <c r="Y261" s="335">
        <v>357.02799415178617</v>
      </c>
      <c r="Z261" s="335">
        <v>715.10392856715407</v>
      </c>
      <c r="AA261" s="335">
        <v>387.13682008449234</v>
      </c>
      <c r="AB261" s="335">
        <v>630.15551424566581</v>
      </c>
      <c r="AC261" s="335">
        <v>624.71716582248212</v>
      </c>
      <c r="AD261" s="335">
        <v>429.59914900000001</v>
      </c>
      <c r="AE261" s="378">
        <f>SUM(AF261:AQ261)</f>
        <v>5360.6312939999998</v>
      </c>
      <c r="AF261" s="335">
        <v>413.41520900000006</v>
      </c>
      <c r="AG261" s="335">
        <v>525.461231</v>
      </c>
      <c r="AH261" s="335">
        <v>255.58647400000001</v>
      </c>
      <c r="AI261" s="335">
        <v>557.50649199999998</v>
      </c>
      <c r="AJ261" s="335">
        <v>649.04875300000003</v>
      </c>
      <c r="AK261" s="335">
        <v>269.72050300000001</v>
      </c>
      <c r="AL261" s="335">
        <v>292.86529000000002</v>
      </c>
      <c r="AM261" s="335">
        <v>690.80685500000004</v>
      </c>
      <c r="AN261" s="335">
        <v>89.332993000000002</v>
      </c>
      <c r="AO261" s="335">
        <v>520.77374899999995</v>
      </c>
      <c r="AP261" s="335">
        <v>649.74821499999996</v>
      </c>
      <c r="AQ261" s="460">
        <v>446.36552999999998</v>
      </c>
      <c r="AR261" s="378">
        <f>SUM(AS261:BD261)</f>
        <v>5268.9454819999992</v>
      </c>
      <c r="AS261" s="923">
        <v>-398.73551800000001</v>
      </c>
      <c r="AT261" s="335">
        <v>506.23541599999999</v>
      </c>
      <c r="AU261" s="335">
        <v>502.53033399999998</v>
      </c>
      <c r="AV261" s="335">
        <v>272.815315</v>
      </c>
      <c r="AW261" s="335">
        <v>332.43408899999997</v>
      </c>
      <c r="AX261" s="335">
        <v>427.99007799999998</v>
      </c>
      <c r="AY261" s="335">
        <v>83.090215999999998</v>
      </c>
      <c r="AZ261" s="335">
        <v>977.67329099999995</v>
      </c>
      <c r="BA261" s="335">
        <v>-97.314356000000004</v>
      </c>
      <c r="BB261" s="335">
        <v>1349.113063</v>
      </c>
      <c r="BC261" s="335">
        <v>640.31061399999999</v>
      </c>
      <c r="BD261" s="1516">
        <v>672.80294000000004</v>
      </c>
      <c r="BE261" s="378">
        <f>SUM(BF261:BQ261)</f>
        <v>12881.106680000001</v>
      </c>
      <c r="BF261" s="1833">
        <v>941.31816000000003</v>
      </c>
      <c r="BG261" s="1834">
        <v>517.81977300000005</v>
      </c>
      <c r="BH261" s="1834">
        <v>829.75853400000005</v>
      </c>
      <c r="BI261" s="1834">
        <v>693.99702100000002</v>
      </c>
      <c r="BJ261" s="1834">
        <v>1175.2539919999999</v>
      </c>
      <c r="BK261" s="1834">
        <v>722.11329999999998</v>
      </c>
      <c r="BL261" s="1834">
        <v>1304.1356490000001</v>
      </c>
      <c r="BM261" s="1834">
        <v>678.78409299999998</v>
      </c>
      <c r="BN261" s="1834">
        <v>1913.968539</v>
      </c>
      <c r="BO261" s="1834">
        <v>1797.2214260000001</v>
      </c>
      <c r="BP261" s="1834">
        <v>1420.8785680000001</v>
      </c>
      <c r="BQ261" s="1835">
        <v>885.85762499999998</v>
      </c>
      <c r="BR261" s="378">
        <f>SUM(BS261:CD261)</f>
        <v>35447.358124999999</v>
      </c>
      <c r="BS261" s="1859">
        <v>2433.759708</v>
      </c>
      <c r="BT261" s="1860">
        <v>2450.7040489999999</v>
      </c>
      <c r="BU261" s="1860">
        <v>842.36040000000003</v>
      </c>
      <c r="BV261" s="1860">
        <v>993.38273800000002</v>
      </c>
      <c r="BW261" s="1860">
        <v>1277.1164100000001</v>
      </c>
      <c r="BX261" s="1860">
        <v>2166.1937560000001</v>
      </c>
      <c r="BY261" s="1860">
        <v>4476.0991119999999</v>
      </c>
      <c r="BZ261" s="1860">
        <v>3470.512682</v>
      </c>
      <c r="CA261" s="1860">
        <v>5337.6590960000003</v>
      </c>
      <c r="CB261" s="1860">
        <v>4503.5169660000001</v>
      </c>
      <c r="CC261" s="1860">
        <v>3663.6387319999999</v>
      </c>
      <c r="CD261" s="1861">
        <v>3832.4144759999999</v>
      </c>
      <c r="CE261" s="378">
        <f>SUM(CF261:CQ261)</f>
        <v>34362.369730228464</v>
      </c>
      <c r="CF261" s="2483">
        <f t="shared" ref="CF261:CQ261" si="1204">CF274*(CF14+CF15)/1000000</f>
        <v>2401.9707763974234</v>
      </c>
      <c r="CG261" s="2251">
        <f t="shared" si="1204"/>
        <v>2434.6558005887259</v>
      </c>
      <c r="CH261" s="2251">
        <f t="shared" si="1204"/>
        <v>3418.8170648209712</v>
      </c>
      <c r="CI261" s="2251">
        <f t="shared" si="1204"/>
        <v>2346.1386546608846</v>
      </c>
      <c r="CJ261" s="2251">
        <f t="shared" si="1204"/>
        <v>2286.7767702488254</v>
      </c>
      <c r="CK261" s="2251">
        <f t="shared" si="1204"/>
        <v>2453.5596155011708</v>
      </c>
      <c r="CL261" s="2251">
        <f t="shared" si="1204"/>
        <v>3273.6863971478756</v>
      </c>
      <c r="CM261" s="2251">
        <f t="shared" si="1204"/>
        <v>2841.2210305112208</v>
      </c>
      <c r="CN261" s="2251">
        <f t="shared" si="1204"/>
        <v>4730.6497920136753</v>
      </c>
      <c r="CO261" s="2251">
        <f t="shared" si="1204"/>
        <v>3157.8767940340736</v>
      </c>
      <c r="CP261" s="2251">
        <f t="shared" si="1204"/>
        <v>2571.5004254825249</v>
      </c>
      <c r="CQ261" s="2252">
        <f t="shared" si="1204"/>
        <v>2445.5166088210958</v>
      </c>
    </row>
    <row r="262" spans="1:95">
      <c r="A262" s="3155"/>
      <c r="B262" s="3313"/>
      <c r="C262" s="3314"/>
      <c r="D262" s="201" t="s">
        <v>331</v>
      </c>
      <c r="E262" s="378">
        <f>SUM(F262:Q262)</f>
        <v>6294.9290262994436</v>
      </c>
      <c r="F262" s="460">
        <v>374.13072425838129</v>
      </c>
      <c r="G262" s="460">
        <v>308.66083300000003</v>
      </c>
      <c r="H262" s="335">
        <v>288.407511</v>
      </c>
      <c r="I262" s="335">
        <v>465.6970670410625</v>
      </c>
      <c r="J262" s="335">
        <v>397.60577799999999</v>
      </c>
      <c r="K262" s="335">
        <v>495.05795199999994</v>
      </c>
      <c r="L262" s="335">
        <v>553.98663499999998</v>
      </c>
      <c r="M262" s="335">
        <v>610.79101300000002</v>
      </c>
      <c r="N262" s="460">
        <v>563.87529199999994</v>
      </c>
      <c r="O262" s="460">
        <v>914.65615500000001</v>
      </c>
      <c r="P262" s="460">
        <v>838.32169199999998</v>
      </c>
      <c r="Q262" s="460">
        <v>483.73837400000002</v>
      </c>
      <c r="R262" s="378">
        <f>SUM(S262:AD262)</f>
        <v>6352.8885800327207</v>
      </c>
      <c r="S262" s="460">
        <v>690.33579199999997</v>
      </c>
      <c r="T262" s="460">
        <v>604.02139699999998</v>
      </c>
      <c r="U262" s="460">
        <v>449.59381500000001</v>
      </c>
      <c r="V262" s="460">
        <v>259.8766850421257</v>
      </c>
      <c r="W262" s="460">
        <v>542.0170901428711</v>
      </c>
      <c r="X262" s="460">
        <v>660.60142171930522</v>
      </c>
      <c r="Y262" s="460">
        <v>540.69327684821383</v>
      </c>
      <c r="Z262" s="460">
        <v>630.05311943284596</v>
      </c>
      <c r="AA262" s="460">
        <v>630.06284191550765</v>
      </c>
      <c r="AB262" s="460">
        <v>587.19242875433417</v>
      </c>
      <c r="AC262" s="460">
        <v>401.91190517751784</v>
      </c>
      <c r="AD262" s="460">
        <v>356.52880700000003</v>
      </c>
      <c r="AE262" s="378">
        <f>SUM(AF262:AQ262)</f>
        <v>9667.1924789999994</v>
      </c>
      <c r="AF262" s="460">
        <v>492.13198600000004</v>
      </c>
      <c r="AG262" s="460">
        <v>849.04603100000008</v>
      </c>
      <c r="AH262" s="460">
        <v>901.38604899999996</v>
      </c>
      <c r="AI262" s="460">
        <v>1043.6873330000001</v>
      </c>
      <c r="AJ262" s="460">
        <v>893.97827899999993</v>
      </c>
      <c r="AK262" s="460">
        <v>799.05830300000002</v>
      </c>
      <c r="AL262" s="460">
        <v>672.76671699999997</v>
      </c>
      <c r="AM262" s="460">
        <v>873.79733999999996</v>
      </c>
      <c r="AN262" s="460">
        <v>566.08066299999996</v>
      </c>
      <c r="AO262" s="460">
        <v>1013.1688810000001</v>
      </c>
      <c r="AP262" s="460">
        <v>712.70051999999998</v>
      </c>
      <c r="AQ262" s="460">
        <v>849.39037700000006</v>
      </c>
      <c r="AR262" s="378">
        <f>SUM(AS262:BD262)</f>
        <v>5981.656586000001</v>
      </c>
      <c r="AS262" s="923">
        <v>484.95859799999999</v>
      </c>
      <c r="AT262" s="335">
        <v>830.34792300000004</v>
      </c>
      <c r="AU262" s="335">
        <v>334.59302500000001</v>
      </c>
      <c r="AV262" s="335">
        <v>400.23734400000001</v>
      </c>
      <c r="AW262" s="335">
        <v>566.87514699999997</v>
      </c>
      <c r="AX262" s="335">
        <v>561.69977600000004</v>
      </c>
      <c r="AY262" s="335">
        <v>691.95603900000003</v>
      </c>
      <c r="AZ262" s="335">
        <v>1098.7930040000001</v>
      </c>
      <c r="BA262" s="335">
        <v>189.92282599999999</v>
      </c>
      <c r="BB262" s="335">
        <v>375.35677500000003</v>
      </c>
      <c r="BC262" s="335">
        <v>225.296142</v>
      </c>
      <c r="BD262" s="1516">
        <v>221.61998700000001</v>
      </c>
      <c r="BE262" s="378">
        <f>SUM(BF262:BQ262)</f>
        <v>5144.3672370000004</v>
      </c>
      <c r="BF262" s="1833">
        <v>505.54968000000002</v>
      </c>
      <c r="BG262" s="1834">
        <v>408.52610199999998</v>
      </c>
      <c r="BH262" s="1834">
        <v>424.17774500000002</v>
      </c>
      <c r="BI262" s="1834">
        <v>559.658906</v>
      </c>
      <c r="BJ262" s="1834">
        <v>604.26155400000005</v>
      </c>
      <c r="BK262" s="1834">
        <v>376.04555900000003</v>
      </c>
      <c r="BL262" s="1834">
        <v>450.23266999999998</v>
      </c>
      <c r="BM262" s="1834">
        <v>567.71337600000004</v>
      </c>
      <c r="BN262" s="1834">
        <v>361.08370300000001</v>
      </c>
      <c r="BO262" s="1834">
        <v>359.58339000000001</v>
      </c>
      <c r="BP262" s="1834">
        <v>294.29745800000001</v>
      </c>
      <c r="BQ262" s="1835">
        <v>233.23709400000001</v>
      </c>
      <c r="BR262" s="378">
        <f>SUM(BS262:CD262)</f>
        <v>407.34526299999999</v>
      </c>
      <c r="BS262" s="1859">
        <v>-4.1897760000000002</v>
      </c>
      <c r="BT262" s="1860">
        <v>29.846208000000001</v>
      </c>
      <c r="BU262" s="1860">
        <v>-4.8918150000000002</v>
      </c>
      <c r="BV262" s="1860">
        <v>-0.40180100000000002</v>
      </c>
      <c r="BW262" s="1860">
        <v>-3.8236349999999999</v>
      </c>
      <c r="BX262" s="1860">
        <v>-1.409972</v>
      </c>
      <c r="BY262" s="1860">
        <v>-1.8339909999999999</v>
      </c>
      <c r="BZ262" s="1860">
        <v>47.584544999999999</v>
      </c>
      <c r="CA262" s="1860">
        <v>-3.3890910000000001</v>
      </c>
      <c r="CB262" s="1860">
        <v>0.18912699999999999</v>
      </c>
      <c r="CC262" s="1860">
        <v>-3.8182000000000001E-2</v>
      </c>
      <c r="CD262" s="1861">
        <v>349.70364599999999</v>
      </c>
      <c r="CE262" s="378">
        <f>SUM(CF262:CQ262)</f>
        <v>0</v>
      </c>
      <c r="CF262" s="2483"/>
      <c r="CG262" s="2251"/>
      <c r="CH262" s="2251"/>
      <c r="CI262" s="2251"/>
      <c r="CJ262" s="2251"/>
      <c r="CK262" s="2251"/>
      <c r="CL262" s="2251"/>
      <c r="CM262" s="2251"/>
      <c r="CN262" s="2251"/>
      <c r="CO262" s="2251"/>
      <c r="CP262" s="2251"/>
      <c r="CQ262" s="2252"/>
    </row>
    <row r="263" spans="1:95">
      <c r="A263" s="3155"/>
      <c r="B263" s="3313"/>
      <c r="C263" s="3314"/>
      <c r="D263" s="101" t="s">
        <v>18</v>
      </c>
      <c r="E263" s="378">
        <f t="shared" ref="E263:E265" si="1205">SUM(F263:Q263)</f>
        <v>4226.4234590000005</v>
      </c>
      <c r="F263" s="460">
        <v>143.04589999999999</v>
      </c>
      <c r="G263" s="460">
        <v>81.278040999999988</v>
      </c>
      <c r="H263" s="335">
        <v>109.18783400000001</v>
      </c>
      <c r="I263" s="335">
        <v>96.091030000000018</v>
      </c>
      <c r="J263" s="335">
        <v>126.136653</v>
      </c>
      <c r="K263" s="335">
        <v>121.04622400000001</v>
      </c>
      <c r="L263" s="335">
        <v>155.741446</v>
      </c>
      <c r="M263" s="335">
        <v>188.01182500000002</v>
      </c>
      <c r="N263" s="460">
        <v>668.17649500000005</v>
      </c>
      <c r="O263" s="460">
        <v>563.880268</v>
      </c>
      <c r="P263" s="460">
        <v>2093.3354899999999</v>
      </c>
      <c r="Q263" s="460">
        <v>-119.50774699999999</v>
      </c>
      <c r="R263" s="378">
        <f t="shared" ref="R263:R265" si="1206">SUM(S263:AD263)</f>
        <v>3365.1886641700003</v>
      </c>
      <c r="S263" s="460">
        <v>154.57017636999998</v>
      </c>
      <c r="T263" s="460">
        <v>459.19948320000003</v>
      </c>
      <c r="U263" s="460">
        <v>222.75670399999998</v>
      </c>
      <c r="V263" s="460">
        <v>199.87634699999998</v>
      </c>
      <c r="W263" s="460">
        <v>444.16787399999998</v>
      </c>
      <c r="X263" s="460">
        <v>239.11117300000001</v>
      </c>
      <c r="Y263" s="460">
        <v>216.91386699999998</v>
      </c>
      <c r="Z263" s="460">
        <v>355.6577916</v>
      </c>
      <c r="AA263" s="460">
        <v>261.65167299999996</v>
      </c>
      <c r="AB263" s="460">
        <v>274.656969</v>
      </c>
      <c r="AC263" s="460">
        <v>290.23373600000002</v>
      </c>
      <c r="AD263" s="460">
        <v>246.39287000000002</v>
      </c>
      <c r="AE263" s="378">
        <f t="shared" ref="AE263:AE265" si="1207">SUM(AF263:AQ263)</f>
        <v>6685.7169639999993</v>
      </c>
      <c r="AF263" s="460">
        <v>212.76011600000001</v>
      </c>
      <c r="AG263" s="460">
        <v>206.01896500000001</v>
      </c>
      <c r="AH263" s="460">
        <v>256.10724900000002</v>
      </c>
      <c r="AI263" s="460">
        <v>85.768303000000003</v>
      </c>
      <c r="AJ263" s="460">
        <v>146.135772</v>
      </c>
      <c r="AK263" s="460">
        <v>151.65750399999999</v>
      </c>
      <c r="AL263" s="460">
        <v>293.13720899999998</v>
      </c>
      <c r="AM263" s="460">
        <v>270.51000499999998</v>
      </c>
      <c r="AN263" s="460">
        <v>1653.007719</v>
      </c>
      <c r="AO263" s="460">
        <v>1207.599991</v>
      </c>
      <c r="AP263" s="460">
        <v>179.75082900000001</v>
      </c>
      <c r="AQ263" s="460">
        <v>2023.2633019999998</v>
      </c>
      <c r="AR263" s="378">
        <f t="shared" ref="AR263:AR265" si="1208">SUM(AS263:BD263)</f>
        <v>5613.5795440000002</v>
      </c>
      <c r="AS263" s="923">
        <v>138.675972</v>
      </c>
      <c r="AT263" s="335">
        <v>152.23290600000001</v>
      </c>
      <c r="AU263" s="335">
        <v>84.092348999999999</v>
      </c>
      <c r="AV263" s="335">
        <v>92.728364999999997</v>
      </c>
      <c r="AW263" s="335">
        <v>90.201460999999995</v>
      </c>
      <c r="AX263" s="335">
        <v>147.85172299999999</v>
      </c>
      <c r="AY263" s="335">
        <v>78.295222999999993</v>
      </c>
      <c r="AZ263" s="335">
        <v>198.93018000000001</v>
      </c>
      <c r="BA263" s="335">
        <v>2096.5374149999998</v>
      </c>
      <c r="BB263" s="335">
        <v>2277.6623829999999</v>
      </c>
      <c r="BC263" s="335">
        <v>137.45350199999999</v>
      </c>
      <c r="BD263" s="1516">
        <v>118.918065</v>
      </c>
      <c r="BE263" s="378">
        <f t="shared" ref="BE263:BE265" si="1209">SUM(BF263:BQ263)</f>
        <v>5334.7428829999999</v>
      </c>
      <c r="BF263" s="1833">
        <v>305.95137299999999</v>
      </c>
      <c r="BG263" s="1834">
        <v>124.6358</v>
      </c>
      <c r="BH263" s="1834">
        <v>184.58133000000001</v>
      </c>
      <c r="BI263" s="1834">
        <v>291.33555999999999</v>
      </c>
      <c r="BJ263" s="1834">
        <v>92.948999000000001</v>
      </c>
      <c r="BK263" s="1834">
        <v>111.70146099999999</v>
      </c>
      <c r="BL263" s="1834">
        <v>305.62751800000001</v>
      </c>
      <c r="BM263" s="1834">
        <v>419.491938</v>
      </c>
      <c r="BN263" s="1834">
        <v>283.54588699999999</v>
      </c>
      <c r="BO263" s="1834">
        <v>2734.269366</v>
      </c>
      <c r="BP263" s="1834">
        <v>408.58546100000001</v>
      </c>
      <c r="BQ263" s="1835">
        <v>72.068190000000001</v>
      </c>
      <c r="BR263" s="378">
        <f t="shared" ref="BR263:BR265" si="1210">SUM(BS263:CD263)</f>
        <v>8039.0113579999997</v>
      </c>
      <c r="BS263" s="1859">
        <v>137.23621800000001</v>
      </c>
      <c r="BT263" s="1860">
        <v>299.41607299999998</v>
      </c>
      <c r="BU263" s="1860">
        <v>461.589381</v>
      </c>
      <c r="BV263" s="1860">
        <v>139.140691</v>
      </c>
      <c r="BW263" s="1860">
        <v>146.85879199999999</v>
      </c>
      <c r="BX263" s="1860">
        <v>1796.401754</v>
      </c>
      <c r="BY263" s="1860">
        <v>348.978835</v>
      </c>
      <c r="BZ263" s="1860">
        <v>628.54147599999999</v>
      </c>
      <c r="CA263" s="1860">
        <v>350.71315299999998</v>
      </c>
      <c r="CB263" s="1860">
        <v>274.29878200000002</v>
      </c>
      <c r="CC263" s="1860">
        <v>3298.8316410000002</v>
      </c>
      <c r="CD263" s="1861">
        <v>157.00456199999999</v>
      </c>
      <c r="CE263" s="378">
        <f t="shared" ref="CE263:CE265" si="1211">SUM(CF263:CQ263)</f>
        <v>7760.6007017524007</v>
      </c>
      <c r="CF263" s="2483">
        <f t="shared" ref="CF263:CQ263" si="1212">CF276*CF16/1000000</f>
        <v>627.28319305482842</v>
      </c>
      <c r="CG263" s="2251">
        <f t="shared" si="1212"/>
        <v>627.28319305482592</v>
      </c>
      <c r="CH263" s="2251">
        <f t="shared" si="1212"/>
        <v>465.7856964519957</v>
      </c>
      <c r="CI263" s="2251">
        <f t="shared" si="1212"/>
        <v>465.7856964519957</v>
      </c>
      <c r="CJ263" s="2251">
        <f t="shared" si="1212"/>
        <v>465.7856964519957</v>
      </c>
      <c r="CK263" s="2251">
        <f t="shared" si="1212"/>
        <v>465.7856964519957</v>
      </c>
      <c r="CL263" s="2251">
        <f t="shared" si="1212"/>
        <v>627.28319305482592</v>
      </c>
      <c r="CM263" s="2251">
        <f t="shared" si="1212"/>
        <v>465.7856964519957</v>
      </c>
      <c r="CN263" s="2251">
        <f t="shared" si="1212"/>
        <v>1131.4783774488619</v>
      </c>
      <c r="CO263" s="2251">
        <f t="shared" si="1212"/>
        <v>1486.772869975088</v>
      </c>
      <c r="CP263" s="2251">
        <f t="shared" si="1212"/>
        <v>465.7856964519957</v>
      </c>
      <c r="CQ263" s="2252">
        <f t="shared" si="1212"/>
        <v>465.7856964519957</v>
      </c>
    </row>
    <row r="264" spans="1:95">
      <c r="A264" s="3155"/>
      <c r="B264" s="3313"/>
      <c r="C264" s="3314"/>
      <c r="D264" s="101" t="s">
        <v>244</v>
      </c>
      <c r="E264" s="378">
        <f t="shared" si="1205"/>
        <v>7706.8452279999992</v>
      </c>
      <c r="F264" s="460">
        <v>452.417778</v>
      </c>
      <c r="G264" s="460">
        <v>770.66869400000007</v>
      </c>
      <c r="H264" s="335">
        <v>554.70831499999997</v>
      </c>
      <c r="I264" s="335">
        <v>353.74219699999998</v>
      </c>
      <c r="J264" s="335">
        <v>454.49110300000001</v>
      </c>
      <c r="K264" s="335">
        <v>637.29291799999999</v>
      </c>
      <c r="L264" s="335">
        <v>1098.802645</v>
      </c>
      <c r="M264" s="335">
        <v>742.49006300000008</v>
      </c>
      <c r="N264" s="460">
        <v>470.29272900000001</v>
      </c>
      <c r="O264" s="460">
        <v>838.41937099999996</v>
      </c>
      <c r="P264" s="460">
        <v>776.255088</v>
      </c>
      <c r="Q264" s="460">
        <v>557.26432699999998</v>
      </c>
      <c r="R264" s="378">
        <f t="shared" si="1206"/>
        <v>8045.7914148300006</v>
      </c>
      <c r="S264" s="460">
        <v>611.24272862999999</v>
      </c>
      <c r="T264" s="460">
        <v>688.79922480000005</v>
      </c>
      <c r="U264" s="460">
        <v>334.13505600000002</v>
      </c>
      <c r="V264" s="460">
        <v>611.03025300000002</v>
      </c>
      <c r="W264" s="460">
        <v>916.09158699999989</v>
      </c>
      <c r="X264" s="460">
        <v>674.55351600000006</v>
      </c>
      <c r="Y264" s="460">
        <v>674.68491900000004</v>
      </c>
      <c r="Z264" s="460">
        <v>225.44886639999999</v>
      </c>
      <c r="AA264" s="460">
        <v>948.82959900000003</v>
      </c>
      <c r="AB264" s="460">
        <v>531.51889800000004</v>
      </c>
      <c r="AC264" s="460">
        <v>767.87469899999996</v>
      </c>
      <c r="AD264" s="460">
        <v>1061.5820680000002</v>
      </c>
      <c r="AE264" s="378">
        <f t="shared" si="1207"/>
        <v>9899.4497269999993</v>
      </c>
      <c r="AF264" s="460">
        <v>-142.354141</v>
      </c>
      <c r="AG264" s="460">
        <v>709.45277199999998</v>
      </c>
      <c r="AH264" s="460">
        <v>738.53615200000002</v>
      </c>
      <c r="AI264" s="460">
        <v>649.97410100000002</v>
      </c>
      <c r="AJ264" s="460">
        <v>551.29705799999999</v>
      </c>
      <c r="AK264" s="460">
        <v>762.08056999999997</v>
      </c>
      <c r="AL264" s="460">
        <v>836.66482399999995</v>
      </c>
      <c r="AM264" s="460">
        <v>445.30691000000002</v>
      </c>
      <c r="AN264" s="460">
        <v>539.10375399999998</v>
      </c>
      <c r="AO264" s="460">
        <v>373.41347100000002</v>
      </c>
      <c r="AP264" s="460">
        <v>487.54235599999998</v>
      </c>
      <c r="AQ264" s="460">
        <v>3948.4319</v>
      </c>
      <c r="AR264" s="378">
        <f t="shared" si="1208"/>
        <v>9064.6982950000001</v>
      </c>
      <c r="AS264" s="923">
        <v>509.44547299999999</v>
      </c>
      <c r="AT264" s="335">
        <v>508.47921500000001</v>
      </c>
      <c r="AU264" s="335">
        <v>550.76662599999997</v>
      </c>
      <c r="AV264" s="335">
        <v>1186.0794989999999</v>
      </c>
      <c r="AW264" s="335">
        <v>328.80653899999999</v>
      </c>
      <c r="AX264" s="335">
        <v>773.23052700000005</v>
      </c>
      <c r="AY264" s="335">
        <v>1081.395043</v>
      </c>
      <c r="AZ264" s="335">
        <v>472.93134199999997</v>
      </c>
      <c r="BA264" s="335">
        <v>1315.313124</v>
      </c>
      <c r="BB264" s="335">
        <v>425.67012199999999</v>
      </c>
      <c r="BC264" s="335">
        <v>1469.29027</v>
      </c>
      <c r="BD264" s="1516">
        <v>443.29051500000003</v>
      </c>
      <c r="BE264" s="378">
        <f t="shared" si="1209"/>
        <v>7028.1517870000007</v>
      </c>
      <c r="BF264" s="1833">
        <v>734.11536599999999</v>
      </c>
      <c r="BG264" s="1834">
        <v>364.28485899999998</v>
      </c>
      <c r="BH264" s="1834">
        <v>311.499527</v>
      </c>
      <c r="BI264" s="1834">
        <v>735.69178699999998</v>
      </c>
      <c r="BJ264" s="1834">
        <v>383.23698300000001</v>
      </c>
      <c r="BK264" s="1834">
        <v>543.89724200000001</v>
      </c>
      <c r="BL264" s="1834">
        <v>975.84239100000002</v>
      </c>
      <c r="BM264" s="1834">
        <v>369.08407299999999</v>
      </c>
      <c r="BN264" s="1834">
        <v>689.63374699999997</v>
      </c>
      <c r="BO264" s="1834">
        <v>771.93488100000002</v>
      </c>
      <c r="BP264" s="1834">
        <v>471.93061799999998</v>
      </c>
      <c r="BQ264" s="1835">
        <v>677.00031300000001</v>
      </c>
      <c r="BR264" s="378">
        <f t="shared" si="1210"/>
        <v>7108.0630029999993</v>
      </c>
      <c r="BS264" s="1859">
        <v>592.15897600000005</v>
      </c>
      <c r="BT264" s="1860">
        <v>636.34275000000002</v>
      </c>
      <c r="BU264" s="1860">
        <v>-52.977553</v>
      </c>
      <c r="BV264" s="1860">
        <v>454.999258</v>
      </c>
      <c r="BW264" s="1860">
        <v>1044.851703</v>
      </c>
      <c r="BX264" s="1860">
        <v>813.41648499999997</v>
      </c>
      <c r="BY264" s="1860">
        <v>583.848072</v>
      </c>
      <c r="BZ264" s="1860">
        <v>594.79038400000002</v>
      </c>
      <c r="CA264" s="1860">
        <v>1108.683164</v>
      </c>
      <c r="CB264" s="1860">
        <v>423.62614600000001</v>
      </c>
      <c r="CC264" s="1860">
        <v>509.43265600000001</v>
      </c>
      <c r="CD264" s="1861">
        <v>398.890962</v>
      </c>
      <c r="CE264" s="378">
        <f t="shared" si="1211"/>
        <v>7899.9251249404788</v>
      </c>
      <c r="CF264" s="2483">
        <f t="shared" ref="CF264:CQ264" si="1213">CF277*CF20/1000000</f>
        <v>550.76466867634656</v>
      </c>
      <c r="CG264" s="2251">
        <f t="shared" si="1213"/>
        <v>303.01000988707699</v>
      </c>
      <c r="CH264" s="2251">
        <f t="shared" si="1213"/>
        <v>670.86507078397347</v>
      </c>
      <c r="CI264" s="2251">
        <f t="shared" si="1213"/>
        <v>746.59369307938459</v>
      </c>
      <c r="CJ264" s="2251">
        <f t="shared" si="1213"/>
        <v>763.14000194255948</v>
      </c>
      <c r="CK264" s="2251">
        <f t="shared" si="1213"/>
        <v>763.73628270980203</v>
      </c>
      <c r="CL264" s="2251">
        <f t="shared" si="1213"/>
        <v>763.14000194255948</v>
      </c>
      <c r="CM264" s="2251">
        <f t="shared" si="1213"/>
        <v>763.73628270980203</v>
      </c>
      <c r="CN264" s="2251">
        <f t="shared" si="1213"/>
        <v>763.14000194255948</v>
      </c>
      <c r="CO264" s="2251">
        <f t="shared" si="1213"/>
        <v>763.73628270980203</v>
      </c>
      <c r="CP264" s="2251">
        <f t="shared" si="1213"/>
        <v>763.14000194255948</v>
      </c>
      <c r="CQ264" s="2252">
        <f t="shared" si="1213"/>
        <v>284.92282661405375</v>
      </c>
    </row>
    <row r="265" spans="1:95">
      <c r="A265" s="3155"/>
      <c r="B265" s="3313"/>
      <c r="C265" s="3314"/>
      <c r="D265" s="101" t="s">
        <v>678</v>
      </c>
      <c r="E265" s="378">
        <f t="shared" si="1205"/>
        <v>7352.3745670000017</v>
      </c>
      <c r="F265" s="460">
        <v>326.44169599999998</v>
      </c>
      <c r="G265" s="460">
        <v>365.61643700000002</v>
      </c>
      <c r="H265" s="335">
        <v>541.59999499999992</v>
      </c>
      <c r="I265" s="335">
        <v>413.48124200000001</v>
      </c>
      <c r="J265" s="335">
        <v>892.75634600000024</v>
      </c>
      <c r="K265" s="335">
        <v>600.14373899999998</v>
      </c>
      <c r="L265" s="335">
        <v>719.05489799999998</v>
      </c>
      <c r="M265" s="335">
        <v>499.44474100000002</v>
      </c>
      <c r="N265" s="460">
        <v>813.87503599999991</v>
      </c>
      <c r="O265" s="460">
        <v>441.098613</v>
      </c>
      <c r="P265" s="460">
        <v>849.73815300000001</v>
      </c>
      <c r="Q265" s="460">
        <v>889.12367099999994</v>
      </c>
      <c r="R265" s="378">
        <f t="shared" si="1206"/>
        <v>13785.755277</v>
      </c>
      <c r="S265" s="460">
        <v>489.81530400000003</v>
      </c>
      <c r="T265" s="460">
        <v>783.16418900000008</v>
      </c>
      <c r="U265" s="460">
        <v>1421.6768830000001</v>
      </c>
      <c r="V265" s="460">
        <v>1219.2666479999998</v>
      </c>
      <c r="W265" s="460">
        <v>919.01892899999996</v>
      </c>
      <c r="X265" s="460">
        <v>1126.7267160000001</v>
      </c>
      <c r="Y265" s="460">
        <v>831.49155999999994</v>
      </c>
      <c r="Z265" s="460">
        <v>1078.2824100000003</v>
      </c>
      <c r="AA265" s="460">
        <v>1112.4593139999999</v>
      </c>
      <c r="AB265" s="460">
        <v>1294.760683</v>
      </c>
      <c r="AC265" s="460">
        <v>1296.8057200000001</v>
      </c>
      <c r="AD265" s="460">
        <v>2212.2869209999999</v>
      </c>
      <c r="AE265" s="378">
        <f t="shared" si="1207"/>
        <v>20519.542670999999</v>
      </c>
      <c r="AF265" s="460">
        <v>1417.5698120000002</v>
      </c>
      <c r="AG265" s="460">
        <v>1980.0574529999999</v>
      </c>
      <c r="AH265" s="460">
        <v>1846.096376</v>
      </c>
      <c r="AI265" s="460">
        <v>1857.822858</v>
      </c>
      <c r="AJ265" s="460">
        <v>1396.6493069999999</v>
      </c>
      <c r="AK265" s="460">
        <v>1975.616436</v>
      </c>
      <c r="AL265" s="460">
        <v>1777.4502660000001</v>
      </c>
      <c r="AM265" s="460">
        <v>2047.4040520000001</v>
      </c>
      <c r="AN265" s="460">
        <v>1410.55285</v>
      </c>
      <c r="AO265" s="460">
        <v>943.94807900000001</v>
      </c>
      <c r="AP265" s="460">
        <v>993.83277399999997</v>
      </c>
      <c r="AQ265" s="460">
        <v>2872.5424079999998</v>
      </c>
      <c r="AR265" s="378">
        <f t="shared" si="1208"/>
        <v>18261.442973000001</v>
      </c>
      <c r="AS265" s="923">
        <v>-91.193808000000004</v>
      </c>
      <c r="AT265" s="335">
        <v>1794.518372</v>
      </c>
      <c r="AU265" s="335">
        <v>1718.385708</v>
      </c>
      <c r="AV265" s="335">
        <v>1655.8475559999999</v>
      </c>
      <c r="AW265" s="335">
        <v>1916.0182010000001</v>
      </c>
      <c r="AX265" s="335">
        <v>2841.603685</v>
      </c>
      <c r="AY265" s="335">
        <v>1646.245447</v>
      </c>
      <c r="AZ265" s="335">
        <v>1538.6845969999999</v>
      </c>
      <c r="BA265" s="335">
        <v>1434.467392</v>
      </c>
      <c r="BB265" s="335">
        <v>1332.587031</v>
      </c>
      <c r="BC265" s="335">
        <v>1206.4926270000001</v>
      </c>
      <c r="BD265" s="1516">
        <v>1267.786165</v>
      </c>
      <c r="BE265" s="378">
        <f t="shared" si="1209"/>
        <v>8451.2351620000009</v>
      </c>
      <c r="BF265" s="1833">
        <v>547.36425399999996</v>
      </c>
      <c r="BG265" s="1834">
        <v>687.57907699999998</v>
      </c>
      <c r="BH265" s="1834">
        <v>552.29722000000004</v>
      </c>
      <c r="BI265" s="1834">
        <v>560.58630100000005</v>
      </c>
      <c r="BJ265" s="1834">
        <v>650.19095900000002</v>
      </c>
      <c r="BK265" s="1834">
        <v>423.36990400000002</v>
      </c>
      <c r="BL265" s="1834">
        <v>1104.2396040000001</v>
      </c>
      <c r="BM265" s="1834">
        <v>631.92545500000006</v>
      </c>
      <c r="BN265" s="1834">
        <v>2068.4607070000002</v>
      </c>
      <c r="BO265" s="1910">
        <v>-508.66560399999997</v>
      </c>
      <c r="BP265" s="1834">
        <v>1023.8688</v>
      </c>
      <c r="BQ265" s="1835">
        <v>710.01848500000006</v>
      </c>
      <c r="BR265" s="378">
        <f t="shared" si="1210"/>
        <v>10816.933010999999</v>
      </c>
      <c r="BS265" s="1859">
        <v>538.71058600000003</v>
      </c>
      <c r="BT265" s="1860">
        <v>982.35516399999995</v>
      </c>
      <c r="BU265" s="1860">
        <v>812.19949199999996</v>
      </c>
      <c r="BV265" s="1860">
        <v>660.20429300000001</v>
      </c>
      <c r="BW265" s="1860">
        <v>662.12052900000003</v>
      </c>
      <c r="BX265" s="1860">
        <v>971.25983699999995</v>
      </c>
      <c r="BY265" s="1860">
        <v>1442.3682449999999</v>
      </c>
      <c r="BZ265" s="1860">
        <v>404.20417400000002</v>
      </c>
      <c r="CA265" s="1860">
        <v>911.42868899999996</v>
      </c>
      <c r="CB265" s="1860">
        <v>662.79863799999998</v>
      </c>
      <c r="CC265" s="1860">
        <v>393.34933000000001</v>
      </c>
      <c r="CD265" s="1861">
        <v>2375.9340339999999</v>
      </c>
      <c r="CE265" s="378">
        <f t="shared" si="1211"/>
        <v>12845.45416495145</v>
      </c>
      <c r="CF265" s="2483">
        <f t="shared" ref="CF265:CQ265" si="1214">CF278*CF17/1000000</f>
        <v>1070.4545137459545</v>
      </c>
      <c r="CG265" s="2251">
        <f t="shared" si="1214"/>
        <v>1070.4545137459545</v>
      </c>
      <c r="CH265" s="2251">
        <f t="shared" si="1214"/>
        <v>1070.4545137459545</v>
      </c>
      <c r="CI265" s="2251">
        <f t="shared" si="1214"/>
        <v>1070.4545137459545</v>
      </c>
      <c r="CJ265" s="2251">
        <f t="shared" si="1214"/>
        <v>1070.4545137459545</v>
      </c>
      <c r="CK265" s="2251">
        <f t="shared" si="1214"/>
        <v>1070.4545137459545</v>
      </c>
      <c r="CL265" s="2251">
        <f t="shared" si="1214"/>
        <v>1070.4545137459545</v>
      </c>
      <c r="CM265" s="2251">
        <f t="shared" si="1214"/>
        <v>1070.4545137459545</v>
      </c>
      <c r="CN265" s="2251">
        <f t="shared" si="1214"/>
        <v>1070.4545137459545</v>
      </c>
      <c r="CO265" s="2251">
        <f t="shared" si="1214"/>
        <v>1070.4545137459545</v>
      </c>
      <c r="CP265" s="2251">
        <f t="shared" si="1214"/>
        <v>1070.4545137459545</v>
      </c>
      <c r="CQ265" s="2252">
        <f t="shared" si="1214"/>
        <v>1070.4545137459545</v>
      </c>
    </row>
    <row r="266" spans="1:95">
      <c r="B266" s="3315"/>
      <c r="C266" s="3316"/>
      <c r="D266" s="229" t="s">
        <v>205</v>
      </c>
      <c r="E266" s="381">
        <f>SUM(F266:Q266)</f>
        <v>-7331.7259589999912</v>
      </c>
      <c r="F266" s="336">
        <v>305.04343700000118</v>
      </c>
      <c r="G266" s="336">
        <v>-219.73383399999784</v>
      </c>
      <c r="H266" s="336">
        <v>-1003.3537249999981</v>
      </c>
      <c r="I266" s="336">
        <v>-753.00501799999893</v>
      </c>
      <c r="J266" s="336">
        <v>-115.12889299999915</v>
      </c>
      <c r="K266" s="336">
        <v>-232.22997599999781</v>
      </c>
      <c r="L266" s="336">
        <v>-866.96513600000162</v>
      </c>
      <c r="M266" s="336">
        <v>-536.41443600000184</v>
      </c>
      <c r="N266" s="336">
        <v>-1352.7417439999972</v>
      </c>
      <c r="O266" s="336">
        <v>-1016.3019699999986</v>
      </c>
      <c r="P266" s="336">
        <v>-736.65904600000067</v>
      </c>
      <c r="Q266" s="336">
        <v>-804.23561800000061</v>
      </c>
      <c r="R266" s="381">
        <f>SUM(S266:AD266)</f>
        <v>-7599.1389630000012</v>
      </c>
      <c r="S266" s="336">
        <f t="shared" ref="S266:AL266" si="1215">S253-SUM(S256:S265)</f>
        <v>-1156.899900999998</v>
      </c>
      <c r="T266" s="336">
        <f t="shared" si="1215"/>
        <v>25.410833999996612</v>
      </c>
      <c r="U266" s="336">
        <f t="shared" si="1215"/>
        <v>-1481.3699959999985</v>
      </c>
      <c r="V266" s="336">
        <f t="shared" si="1215"/>
        <v>-2459.5227689999992</v>
      </c>
      <c r="W266" s="336">
        <f t="shared" si="1215"/>
        <v>148.32711400000062</v>
      </c>
      <c r="X266" s="336">
        <f t="shared" si="1215"/>
        <v>-496.37988900000164</v>
      </c>
      <c r="Y266" s="336">
        <f t="shared" si="1215"/>
        <v>-1084.9288290000004</v>
      </c>
      <c r="Z266" s="336">
        <f t="shared" si="1215"/>
        <v>-1688.8764200000023</v>
      </c>
      <c r="AA266" s="336">
        <f t="shared" si="1215"/>
        <v>-1318.6864889999997</v>
      </c>
      <c r="AB266" s="336">
        <f t="shared" si="1215"/>
        <v>-1739.6693449999966</v>
      </c>
      <c r="AC266" s="336">
        <f t="shared" si="1215"/>
        <v>-2511.7864350000036</v>
      </c>
      <c r="AD266" s="336">
        <f t="shared" si="1215"/>
        <v>6165.2431620000025</v>
      </c>
      <c r="AE266" s="381">
        <f>SUM(AF266:AQ266)</f>
        <v>-12118.630359999996</v>
      </c>
      <c r="AF266" s="336">
        <f t="shared" si="1215"/>
        <v>-441.32487700000001</v>
      </c>
      <c r="AG266" s="336">
        <f t="shared" si="1215"/>
        <v>-1490.8802229999983</v>
      </c>
      <c r="AH266" s="336">
        <f t="shared" si="1215"/>
        <v>-3366.2629909999996</v>
      </c>
      <c r="AI266" s="336">
        <f t="shared" si="1215"/>
        <v>-1769.0643510000009</v>
      </c>
      <c r="AJ266" s="336">
        <f t="shared" si="1215"/>
        <v>-1032.2660989999986</v>
      </c>
      <c r="AK266" s="336">
        <f t="shared" si="1215"/>
        <v>-1456.191318000001</v>
      </c>
      <c r="AL266" s="336">
        <f t="shared" si="1215"/>
        <v>-259.78736000000026</v>
      </c>
      <c r="AM266" s="336">
        <f t="shared" ref="AM266:AQ266" si="1216">AM253-SUM(AM256:AM265)</f>
        <v>-1648.8695709999993</v>
      </c>
      <c r="AN266" s="336">
        <f t="shared" si="1216"/>
        <v>-1419.9067269999996</v>
      </c>
      <c r="AO266" s="336">
        <f t="shared" si="1216"/>
        <v>-422.56467100000191</v>
      </c>
      <c r="AP266" s="336">
        <f t="shared" si="1216"/>
        <v>-735.52573000000029</v>
      </c>
      <c r="AQ266" s="336">
        <f t="shared" si="1216"/>
        <v>1924.0135580000024</v>
      </c>
      <c r="AR266" s="381">
        <f>SUM(AS266:BD266)</f>
        <v>-6590.0435729999963</v>
      </c>
      <c r="AS266" s="1519">
        <f t="shared" ref="AS266:BD266" si="1217">AS253-SUM(AS256:AS265)</f>
        <v>-2159.5332409999996</v>
      </c>
      <c r="AT266" s="336">
        <f t="shared" si="1217"/>
        <v>-393.95837599999868</v>
      </c>
      <c r="AU266" s="336">
        <f t="shared" si="1217"/>
        <v>-2562.4263629999996</v>
      </c>
      <c r="AV266" s="336">
        <f t="shared" si="1217"/>
        <v>-730.5061080000014</v>
      </c>
      <c r="AW266" s="336">
        <f t="shared" si="1217"/>
        <v>199.40450599999895</v>
      </c>
      <c r="AX266" s="336">
        <f t="shared" si="1217"/>
        <v>826.95388099999946</v>
      </c>
      <c r="AY266" s="336">
        <f t="shared" si="1217"/>
        <v>-63.096016999996209</v>
      </c>
      <c r="AZ266" s="336">
        <f t="shared" si="1217"/>
        <v>976.1760600000016</v>
      </c>
      <c r="BA266" s="336">
        <f t="shared" si="1217"/>
        <v>-374.57162600000083</v>
      </c>
      <c r="BB266" s="336">
        <f t="shared" si="1217"/>
        <v>-161.41363600000113</v>
      </c>
      <c r="BC266" s="336">
        <f t="shared" si="1217"/>
        <v>-752.7065479999992</v>
      </c>
      <c r="BD266" s="1518">
        <f t="shared" si="1217"/>
        <v>-1394.3661049999992</v>
      </c>
      <c r="BE266" s="381">
        <f>SUM(BF266:BQ266)</f>
        <v>5066.2906560000074</v>
      </c>
      <c r="BF266" s="1833">
        <f t="shared" ref="BF266:BQ266" si="1218">BF253-SUM(BF256:BF265)</f>
        <v>-838.88525300000219</v>
      </c>
      <c r="BG266" s="1834">
        <f t="shared" si="1218"/>
        <v>-467.65902199999982</v>
      </c>
      <c r="BH266" s="1834">
        <f t="shared" si="1218"/>
        <v>-266.74123700000018</v>
      </c>
      <c r="BI266" s="1834">
        <f t="shared" si="1218"/>
        <v>128.12231800000154</v>
      </c>
      <c r="BJ266" s="1834">
        <f t="shared" si="1218"/>
        <v>-127.33917699999802</v>
      </c>
      <c r="BK266" s="1834">
        <f t="shared" si="1218"/>
        <v>-47.706760000000031</v>
      </c>
      <c r="BL266" s="1834">
        <f t="shared" si="1218"/>
        <v>1211.7694870000014</v>
      </c>
      <c r="BM266" s="1834">
        <f t="shared" si="1218"/>
        <v>243.13610900000094</v>
      </c>
      <c r="BN266" s="1834">
        <f t="shared" si="1218"/>
        <v>501.61024500000167</v>
      </c>
      <c r="BO266" s="1834">
        <f t="shared" si="1218"/>
        <v>361.7625020000014</v>
      </c>
      <c r="BP266" s="1834">
        <f t="shared" si="1218"/>
        <v>657.04513899999984</v>
      </c>
      <c r="BQ266" s="1835">
        <f t="shared" si="1218"/>
        <v>3711.1763050000009</v>
      </c>
      <c r="BR266" s="381">
        <f>SUM(BS266:CD266)</f>
        <v>7587.3931999999922</v>
      </c>
      <c r="BS266" s="1859">
        <f t="shared" ref="BS266:CD266" si="1219">BS253-SUM(BS256:BS265)</f>
        <v>1914.6193450000001</v>
      </c>
      <c r="BT266" s="1860">
        <f t="shared" si="1219"/>
        <v>368.67236099999718</v>
      </c>
      <c r="BU266" s="1860">
        <f t="shared" si="1219"/>
        <v>558.34380000000237</v>
      </c>
      <c r="BV266" s="1860">
        <f t="shared" si="1219"/>
        <v>-187.82193500000176</v>
      </c>
      <c r="BW266" s="1860">
        <f t="shared" si="1219"/>
        <v>156.92528099999799</v>
      </c>
      <c r="BX266" s="1860">
        <f t="shared" si="1219"/>
        <v>134.22181799999998</v>
      </c>
      <c r="BY266" s="1860">
        <f t="shared" si="1219"/>
        <v>-251.55075000000215</v>
      </c>
      <c r="BZ266" s="1860">
        <f t="shared" si="1219"/>
        <v>40.213513000000603</v>
      </c>
      <c r="CA266" s="1860">
        <f t="shared" si="1219"/>
        <v>947.75551699999778</v>
      </c>
      <c r="CB266" s="1860">
        <f t="shared" si="1219"/>
        <v>-338.68218999999954</v>
      </c>
      <c r="CC266" s="1860">
        <f t="shared" si="1219"/>
        <v>214.571262999998</v>
      </c>
      <c r="CD266" s="1861">
        <f t="shared" si="1219"/>
        <v>4030.1251770000017</v>
      </c>
      <c r="CE266" s="381">
        <f>SUM(CF266:CQ266)</f>
        <v>7637.1658254358945</v>
      </c>
      <c r="CF266" s="2483">
        <f>-520.449409531366-150</f>
        <v>-670.44940953136597</v>
      </c>
      <c r="CG266" s="2251">
        <v>139.916719519883</v>
      </c>
      <c r="CH266" s="2251">
        <v>739.91671951988269</v>
      </c>
      <c r="CI266" s="2251">
        <v>539.91671951988292</v>
      </c>
      <c r="CJ266" s="2251">
        <v>539.91671951988292</v>
      </c>
      <c r="CK266" s="2251">
        <v>639.91671951988269</v>
      </c>
      <c r="CL266" s="2251">
        <f>(560.366129051249+1000)-20.4494095313663+250</f>
        <v>1789.9167195198829</v>
      </c>
      <c r="CM266" s="2251">
        <v>539.91671951988292</v>
      </c>
      <c r="CN266" s="2251">
        <f>(560.366129051249-400)-20.4494095313663</f>
        <v>139.91671951988266</v>
      </c>
      <c r="CO266" s="2251">
        <v>439.91671951988269</v>
      </c>
      <c r="CP266" s="2251">
        <v>539.91671951988292</v>
      </c>
      <c r="CQ266" s="2252">
        <f>(560.366129051249+658.165191197302+560.366129051249+200+300)-20.4494095313663</f>
        <v>2258.4480397684338</v>
      </c>
    </row>
    <row r="267" spans="1:95" ht="16.5" customHeight="1">
      <c r="B267" s="3311" t="s">
        <v>208</v>
      </c>
      <c r="C267" s="3312"/>
      <c r="D267" s="228" t="s">
        <v>14</v>
      </c>
      <c r="E267" s="382">
        <f>E253/E8*1000000</f>
        <v>126070.59778469043</v>
      </c>
      <c r="F267" s="321">
        <v>120505.80001536277</v>
      </c>
      <c r="G267" s="321">
        <v>115296.16182934295</v>
      </c>
      <c r="H267" s="321">
        <v>111007.90905544725</v>
      </c>
      <c r="I267" s="321">
        <v>116498.28667272911</v>
      </c>
      <c r="J267" s="321">
        <v>115116.16285316832</v>
      </c>
      <c r="K267" s="321">
        <v>122059.26378299683</v>
      </c>
      <c r="L267" s="395">
        <v>128298.51806283805</v>
      </c>
      <c r="M267" s="395">
        <v>112387.90178923825</v>
      </c>
      <c r="N267" s="395">
        <v>139046.8959971852</v>
      </c>
      <c r="O267" s="395">
        <v>142992.4208833857</v>
      </c>
      <c r="P267" s="395">
        <v>169356.88071607304</v>
      </c>
      <c r="Q267" s="395">
        <v>119473.49729441354</v>
      </c>
      <c r="R267" s="382">
        <f t="shared" ref="R267:AZ267" si="1220">R253/R8*1000000</f>
        <v>157920.91211786316</v>
      </c>
      <c r="S267" s="235">
        <f t="shared" si="1220"/>
        <v>107886.23934166522</v>
      </c>
      <c r="T267" s="235">
        <f t="shared" si="1220"/>
        <v>133487.7708273498</v>
      </c>
      <c r="U267" s="235">
        <f t="shared" si="1220"/>
        <v>117735.14125289202</v>
      </c>
      <c r="V267" s="235">
        <f t="shared" si="1220"/>
        <v>103555.44462016161</v>
      </c>
      <c r="W267" s="235">
        <f t="shared" si="1220"/>
        <v>154379.93959953345</v>
      </c>
      <c r="X267" s="235">
        <f t="shared" si="1220"/>
        <v>172588.37731147543</v>
      </c>
      <c r="Y267" s="235">
        <f t="shared" si="1220"/>
        <v>171684.70913428089</v>
      </c>
      <c r="Z267" s="235">
        <f t="shared" si="1220"/>
        <v>159427.56631101022</v>
      </c>
      <c r="AA267" s="235">
        <f t="shared" si="1220"/>
        <v>167134.78575137004</v>
      </c>
      <c r="AB267" s="235">
        <f t="shared" si="1220"/>
        <v>144328.28061332289</v>
      </c>
      <c r="AC267" s="235">
        <f t="shared" si="1220"/>
        <v>144871.58086551947</v>
      </c>
      <c r="AD267" s="235">
        <f t="shared" si="1220"/>
        <v>355028.12374478602</v>
      </c>
      <c r="AE267" s="382">
        <f t="shared" si="1220"/>
        <v>197855.40339313549</v>
      </c>
      <c r="AF267" s="235">
        <f t="shared" si="1220"/>
        <v>133091.55575158045</v>
      </c>
      <c r="AG267" s="235">
        <f t="shared" si="1220"/>
        <v>158697.46022917883</v>
      </c>
      <c r="AH267" s="235">
        <f t="shared" si="1220"/>
        <v>135367.57426483624</v>
      </c>
      <c r="AI267" s="235">
        <f t="shared" si="1220"/>
        <v>177876.51083410997</v>
      </c>
      <c r="AJ267" s="235">
        <f t="shared" si="1220"/>
        <v>187834.88431320954</v>
      </c>
      <c r="AK267" s="235">
        <f t="shared" si="1220"/>
        <v>206160.68026503336</v>
      </c>
      <c r="AL267" s="235">
        <f t="shared" si="1220"/>
        <v>229801.36324879754</v>
      </c>
      <c r="AM267" s="235">
        <f t="shared" si="1220"/>
        <v>206883.5798364213</v>
      </c>
      <c r="AN267" s="235">
        <f t="shared" si="1220"/>
        <v>155856.18570429002</v>
      </c>
      <c r="AO267" s="235">
        <f t="shared" si="1220"/>
        <v>153006.0600678066</v>
      </c>
      <c r="AP267" s="235">
        <f t="shared" si="1220"/>
        <v>179919.1450777202</v>
      </c>
      <c r="AQ267" s="235">
        <f t="shared" si="1220"/>
        <v>581995.8752881512</v>
      </c>
      <c r="AR267" s="382">
        <f t="shared" si="1220"/>
        <v>240810.09874287137</v>
      </c>
      <c r="AS267" s="927">
        <f t="shared" si="1220"/>
        <v>99345.246403907251</v>
      </c>
      <c r="AT267" s="211">
        <f t="shared" si="1220"/>
        <v>229123.71872857603</v>
      </c>
      <c r="AU267" s="211">
        <f t="shared" si="1220"/>
        <v>185437.15525521501</v>
      </c>
      <c r="AV267" s="211">
        <f t="shared" si="1220"/>
        <v>261152.74836351949</v>
      </c>
      <c r="AW267" s="211">
        <f t="shared" si="1220"/>
        <v>243539.44579509506</v>
      </c>
      <c r="AX267" s="211">
        <f t="shared" si="1220"/>
        <v>311767.15505846043</v>
      </c>
      <c r="AY267" s="211">
        <f t="shared" si="1220"/>
        <v>243024.28722501438</v>
      </c>
      <c r="AZ267" s="211">
        <f t="shared" si="1220"/>
        <v>293233.32282335707</v>
      </c>
      <c r="BA267" s="211">
        <f>BA253*1000000/BA8</f>
        <v>280542.10045223351</v>
      </c>
      <c r="BB267" s="211">
        <f>BB253*1000000/BB8</f>
        <v>214594.03776929853</v>
      </c>
      <c r="BC267" s="211">
        <f>BC253*1000000/BC8</f>
        <v>213242.53779638608</v>
      </c>
      <c r="BD267" s="925">
        <f>BD253*1000000/BD8</f>
        <v>335566.11784369027</v>
      </c>
      <c r="BE267" s="382">
        <f>BE253/BE8*1000000</f>
        <v>241060.55400354299</v>
      </c>
      <c r="BF267" s="235">
        <f t="shared" ref="BF267:BQ267" si="1221">BF253*1000000/BF8</f>
        <v>263175.9321965233</v>
      </c>
      <c r="BG267" s="235">
        <f t="shared" si="1221"/>
        <v>242515.20815484275</v>
      </c>
      <c r="BH267" s="235">
        <f t="shared" si="1221"/>
        <v>222987.14238132769</v>
      </c>
      <c r="BI267" s="235">
        <f t="shared" si="1221"/>
        <v>228772.13220938458</v>
      </c>
      <c r="BJ267" s="235">
        <f t="shared" si="1221"/>
        <v>201542.8451660756</v>
      </c>
      <c r="BK267" s="235">
        <f t="shared" si="1221"/>
        <v>203437.32638363386</v>
      </c>
      <c r="BL267" s="235">
        <f t="shared" si="1221"/>
        <v>286019.21965894056</v>
      </c>
      <c r="BM267" s="235">
        <f t="shared" si="1221"/>
        <v>243531.43620769249</v>
      </c>
      <c r="BN267" s="235">
        <f t="shared" si="1221"/>
        <v>235993.48515452715</v>
      </c>
      <c r="BO267" s="235">
        <f t="shared" si="1221"/>
        <v>217360.96376563766</v>
      </c>
      <c r="BP267" s="235">
        <f t="shared" si="1221"/>
        <v>232026.5262426782</v>
      </c>
      <c r="BQ267" s="235">
        <f t="shared" si="1221"/>
        <v>312681.79928475636</v>
      </c>
      <c r="BR267" s="382">
        <f>BR253/BR8*1000000</f>
        <v>252298.16339468746</v>
      </c>
      <c r="BS267" s="1767">
        <f t="shared" ref="BS267:CD267" si="1222">BS253*1000000/BS8</f>
        <v>279199.37399555225</v>
      </c>
      <c r="BT267" s="1767">
        <f t="shared" si="1222"/>
        <v>224437.73446494903</v>
      </c>
      <c r="BU267" s="1767">
        <f t="shared" si="1222"/>
        <v>238782.28265415176</v>
      </c>
      <c r="BV267" s="1767">
        <f t="shared" si="1222"/>
        <v>207223.4828035825</v>
      </c>
      <c r="BW267" s="1767">
        <f t="shared" si="1222"/>
        <v>196792.849031544</v>
      </c>
      <c r="BX267" s="1767">
        <f t="shared" si="1222"/>
        <v>242635.96067711891</v>
      </c>
      <c r="BY267" s="1767">
        <f t="shared" si="1222"/>
        <v>298318.56130101153</v>
      </c>
      <c r="BZ267" s="1767">
        <f t="shared" si="1222"/>
        <v>265111.09164891695</v>
      </c>
      <c r="CA267" s="1767">
        <f t="shared" si="1222"/>
        <v>251376.59935763563</v>
      </c>
      <c r="CB267" s="1767">
        <f t="shared" si="1222"/>
        <v>212136.68806622375</v>
      </c>
      <c r="CC267" s="1767">
        <f t="shared" si="1222"/>
        <v>285875.27137809189</v>
      </c>
      <c r="CD267" s="1767">
        <f t="shared" si="1222"/>
        <v>352047.5716966886</v>
      </c>
      <c r="CE267" s="382">
        <f>CE253/CE8*1000000</f>
        <v>247338.26114462008</v>
      </c>
      <c r="CF267" s="1767">
        <f t="shared" ref="CF267:CQ267" si="1223">CF253*1000000/CF8</f>
        <v>209281.48952679476</v>
      </c>
      <c r="CG267" s="1767">
        <f t="shared" si="1223"/>
        <v>235735.79673388606</v>
      </c>
      <c r="CH267" s="1767">
        <f t="shared" si="1223"/>
        <v>259675.85900321443</v>
      </c>
      <c r="CI267" s="1767">
        <f t="shared" si="1223"/>
        <v>246302.07527079678</v>
      </c>
      <c r="CJ267" s="1767">
        <f t="shared" si="1223"/>
        <v>247913.88834231975</v>
      </c>
      <c r="CK267" s="1767">
        <f t="shared" si="1223"/>
        <v>241941.02366525438</v>
      </c>
      <c r="CL267" s="1767">
        <f t="shared" si="1223"/>
        <v>269656.72951253888</v>
      </c>
      <c r="CM267" s="1767">
        <f t="shared" si="1223"/>
        <v>251464.80414574221</v>
      </c>
      <c r="CN267" s="1767">
        <f t="shared" si="1223"/>
        <v>249635.10007856798</v>
      </c>
      <c r="CO267" s="1767">
        <f t="shared" si="1223"/>
        <v>245069.39090343547</v>
      </c>
      <c r="CP267" s="1767">
        <f t="shared" si="1223"/>
        <v>230967.20223950091</v>
      </c>
      <c r="CQ267" s="1767">
        <f t="shared" si="1223"/>
        <v>278510.39709273167</v>
      </c>
    </row>
    <row r="268" spans="1:95" ht="16.5" customHeight="1">
      <c r="B268" s="3313"/>
      <c r="C268" s="3314"/>
      <c r="D268" s="104" t="s">
        <v>725</v>
      </c>
      <c r="E268" s="974">
        <f>E255/(E8-E9)*1000000</f>
        <v>241380.33625422817</v>
      </c>
      <c r="F268" s="2257">
        <f t="shared" ref="F268:Q268" si="1224">F255*1000000/(F8-F9)</f>
        <v>266134.93152985896</v>
      </c>
      <c r="G268" s="2256">
        <f t="shared" si="1224"/>
        <v>262004.92970548547</v>
      </c>
      <c r="H268" s="2256">
        <f t="shared" si="1224"/>
        <v>213483.41928745969</v>
      </c>
      <c r="I268" s="2256">
        <f t="shared" si="1224"/>
        <v>225811.89650674793</v>
      </c>
      <c r="J268" s="2256">
        <f t="shared" si="1224"/>
        <v>213946.35790515767</v>
      </c>
      <c r="K268" s="2256">
        <f t="shared" si="1224"/>
        <v>249439.48784157119</v>
      </c>
      <c r="L268" s="2256">
        <f t="shared" si="1224"/>
        <v>236333.14083392086</v>
      </c>
      <c r="M268" s="2256">
        <f t="shared" si="1224"/>
        <v>240383.80990831854</v>
      </c>
      <c r="N268" s="2256">
        <f t="shared" si="1224"/>
        <v>234840.60825899124</v>
      </c>
      <c r="O268" s="2256">
        <f t="shared" si="1224"/>
        <v>234182.45752889451</v>
      </c>
      <c r="P268" s="2256">
        <f t="shared" si="1224"/>
        <v>289448.61682750843</v>
      </c>
      <c r="Q268" s="2257">
        <f t="shared" si="1224"/>
        <v>229598.06376493833</v>
      </c>
      <c r="R268" s="974">
        <f>R255/(R8-R9)*1000000</f>
        <v>297323.38115123071</v>
      </c>
      <c r="S268" s="2257">
        <f t="shared" ref="S268:AD268" si="1225">S255*1000000/(S8-S9)</f>
        <v>217078.68852459019</v>
      </c>
      <c r="T268" s="2256">
        <f t="shared" si="1225"/>
        <v>273767.84741821035</v>
      </c>
      <c r="U268" s="2256">
        <f t="shared" si="1225"/>
        <v>220207.21143077151</v>
      </c>
      <c r="V268" s="2256">
        <f t="shared" si="1225"/>
        <v>183426.17849400203</v>
      </c>
      <c r="W268" s="2256">
        <f t="shared" si="1225"/>
        <v>282267.89634895237</v>
      </c>
      <c r="X268" s="2256">
        <f t="shared" si="1225"/>
        <v>338696.73547603696</v>
      </c>
      <c r="Y268" s="2256">
        <f t="shared" si="1225"/>
        <v>330358.38971897494</v>
      </c>
      <c r="Z268" s="2256">
        <f t="shared" si="1225"/>
        <v>299832.83801755536</v>
      </c>
      <c r="AA268" s="2256">
        <f t="shared" si="1225"/>
        <v>315186.42644659453</v>
      </c>
      <c r="AB268" s="2256">
        <f t="shared" si="1225"/>
        <v>246627.16462379295</v>
      </c>
      <c r="AC268" s="2256">
        <f t="shared" si="1225"/>
        <v>260868.1109508106</v>
      </c>
      <c r="AD268" s="2257">
        <f t="shared" si="1225"/>
        <v>680184.5485251738</v>
      </c>
      <c r="AE268" s="974">
        <f>AE255/(AE8-AE9)*1000000</f>
        <v>360712.11343382485</v>
      </c>
      <c r="AF268" s="2257">
        <f t="shared" ref="AF268:AQ268" si="1226">AF255*1000000/(AF8-AF9)</f>
        <v>279143.73897693079</v>
      </c>
      <c r="AG268" s="2256">
        <f t="shared" si="1226"/>
        <v>326286.18819085899</v>
      </c>
      <c r="AH268" s="2256">
        <f t="shared" si="1226"/>
        <v>242086.72540983607</v>
      </c>
      <c r="AI268" s="2256">
        <f t="shared" si="1226"/>
        <v>342462.64839408867</v>
      </c>
      <c r="AJ268" s="2256">
        <f t="shared" si="1226"/>
        <v>366678.84667335596</v>
      </c>
      <c r="AK268" s="2256">
        <f t="shared" si="1226"/>
        <v>359407.79972966883</v>
      </c>
      <c r="AL268" s="2256">
        <f t="shared" si="1226"/>
        <v>406766.75002230349</v>
      </c>
      <c r="AM268" s="2256">
        <f t="shared" si="1226"/>
        <v>357687.96650460822</v>
      </c>
      <c r="AN268" s="2256">
        <f t="shared" si="1226"/>
        <v>280685.67586578004</v>
      </c>
      <c r="AO268" s="2256">
        <f t="shared" si="1226"/>
        <v>258511.7646797153</v>
      </c>
      <c r="AP268" s="2256">
        <f t="shared" si="1226"/>
        <v>305792.63785939832</v>
      </c>
      <c r="AQ268" s="2257">
        <f t="shared" si="1226"/>
        <v>1073081.6387061703</v>
      </c>
      <c r="AR268" s="974">
        <f>AR255/(AR8-AR9)*1000000</f>
        <v>402030.81601101952</v>
      </c>
      <c r="AS268" s="2257">
        <f t="shared" ref="AS268:BD268" si="1227">AS255*1000000/(AS8-AS9)</f>
        <v>182639.00024939133</v>
      </c>
      <c r="AT268" s="2256">
        <f t="shared" si="1227"/>
        <v>376545.65218312322</v>
      </c>
      <c r="AU268" s="2256">
        <f t="shared" si="1227"/>
        <v>325854.07429915323</v>
      </c>
      <c r="AV268" s="2256">
        <f t="shared" si="1227"/>
        <v>451214.11829584051</v>
      </c>
      <c r="AW268" s="2256">
        <f t="shared" si="1227"/>
        <v>413812.78106876096</v>
      </c>
      <c r="AX268" s="2256">
        <f t="shared" si="1227"/>
        <v>520879.10924193409</v>
      </c>
      <c r="AY268" s="2256">
        <f t="shared" si="1227"/>
        <v>426624.2419559462</v>
      </c>
      <c r="AZ268" s="2256">
        <f t="shared" si="1227"/>
        <v>505686.74928200751</v>
      </c>
      <c r="BA268" s="2256">
        <f t="shared" si="1227"/>
        <v>450648.31707364111</v>
      </c>
      <c r="BB268" s="2256">
        <f t="shared" si="1227"/>
        <v>313092.4079604267</v>
      </c>
      <c r="BC268" s="2256">
        <f t="shared" si="1227"/>
        <v>367300.67313400173</v>
      </c>
      <c r="BD268" s="2257">
        <f t="shared" si="1227"/>
        <v>557898.08830196422</v>
      </c>
      <c r="BE268" s="974">
        <f>BE255/(BE8-BE9)*1000000</f>
        <v>385826.4616475369</v>
      </c>
      <c r="BF268" s="2257">
        <f t="shared" ref="BF268:BQ268" si="1228">BF255*1000000/(BF8-BF9)</f>
        <v>371749.43486745324</v>
      </c>
      <c r="BG268" s="2256">
        <f t="shared" si="1228"/>
        <v>360397.92988143757</v>
      </c>
      <c r="BH268" s="2256">
        <f t="shared" si="1228"/>
        <v>369822.16769296862</v>
      </c>
      <c r="BI268" s="2256">
        <f t="shared" si="1228"/>
        <v>350720.46467595291</v>
      </c>
      <c r="BJ268" s="2256">
        <f t="shared" si="1228"/>
        <v>350915.48536765669</v>
      </c>
      <c r="BK268" s="2256">
        <f t="shared" si="1228"/>
        <v>358176.14760091394</v>
      </c>
      <c r="BL268" s="2256">
        <f t="shared" si="1228"/>
        <v>458217.12997210771</v>
      </c>
      <c r="BM268" s="2256">
        <f t="shared" si="1228"/>
        <v>398323.61157624493</v>
      </c>
      <c r="BN268" s="2256">
        <f t="shared" si="1228"/>
        <v>336144.65284391417</v>
      </c>
      <c r="BO268" s="2256">
        <f t="shared" si="1228"/>
        <v>337726.24481992749</v>
      </c>
      <c r="BP268" s="2256">
        <f t="shared" si="1228"/>
        <v>430857.72037790326</v>
      </c>
      <c r="BQ268" s="2257">
        <f t="shared" si="1228"/>
        <v>579459.63314115047</v>
      </c>
      <c r="BR268" s="974">
        <f>BR255/(BR8-BR9)*1000000</f>
        <v>456965.60052804614</v>
      </c>
      <c r="BS268" s="2257">
        <f t="shared" ref="BS268:CD268" si="1229">BS255*1000000/(BS8-BS9)</f>
        <v>540104.11206757638</v>
      </c>
      <c r="BT268" s="2256">
        <f t="shared" si="1229"/>
        <v>349906.857494722</v>
      </c>
      <c r="BU268" s="2256">
        <f t="shared" si="1229"/>
        <v>411104.57634443603</v>
      </c>
      <c r="BV268" s="2256">
        <f t="shared" si="1229"/>
        <v>369514.29017272178</v>
      </c>
      <c r="BW268" s="2256">
        <f t="shared" si="1229"/>
        <v>404745.37466201908</v>
      </c>
      <c r="BX268" s="2256">
        <f t="shared" si="1229"/>
        <v>512477.9900644357</v>
      </c>
      <c r="BY268" s="2256">
        <f t="shared" si="1229"/>
        <v>517565.84734199045</v>
      </c>
      <c r="BZ268" s="2256">
        <f t="shared" si="1229"/>
        <v>500445.61440225685</v>
      </c>
      <c r="CA268" s="2256">
        <f t="shared" si="1229"/>
        <v>397078.90772785031</v>
      </c>
      <c r="CB268" s="2256">
        <f t="shared" si="1229"/>
        <v>398542.76196913741</v>
      </c>
      <c r="CC268" s="2256">
        <f t="shared" si="1229"/>
        <v>531880.00436191936</v>
      </c>
      <c r="CD268" s="2257">
        <f t="shared" si="1229"/>
        <v>703556.22189977043</v>
      </c>
      <c r="CE268" s="974">
        <f>CE255/(CE8-CE9)*1000000</f>
        <v>435269.23454348516</v>
      </c>
      <c r="CF268" s="2257">
        <f t="shared" ref="CF268:CQ268" si="1230">CF255*1000000/(CF8-CF9)</f>
        <v>400569.97835644736</v>
      </c>
      <c r="CG268" s="2256">
        <f t="shared" si="1230"/>
        <v>413870.14366911445</v>
      </c>
      <c r="CH268" s="2256">
        <f t="shared" si="1230"/>
        <v>428183.52855182183</v>
      </c>
      <c r="CI268" s="2256">
        <f t="shared" si="1230"/>
        <v>445977.71031850297</v>
      </c>
      <c r="CJ268" s="2256">
        <f t="shared" si="1230"/>
        <v>448308.14746375947</v>
      </c>
      <c r="CK268" s="2256">
        <f t="shared" si="1230"/>
        <v>446895.89453445922</v>
      </c>
      <c r="CL268" s="2256">
        <f t="shared" si="1230"/>
        <v>462177.92142489721</v>
      </c>
      <c r="CM268" s="2256">
        <f t="shared" si="1230"/>
        <v>433695.59676690545</v>
      </c>
      <c r="CN268" s="2256">
        <f t="shared" si="1230"/>
        <v>399511.45674475766</v>
      </c>
      <c r="CO268" s="2256">
        <f t="shared" si="1230"/>
        <v>433165.68106639048</v>
      </c>
      <c r="CP268" s="2256">
        <f t="shared" si="1230"/>
        <v>439879.30403856112</v>
      </c>
      <c r="CQ268" s="2257">
        <f t="shared" si="1230"/>
        <v>490286.29738127772</v>
      </c>
    </row>
    <row r="269" spans="1:95">
      <c r="B269" s="3313"/>
      <c r="C269" s="3314"/>
      <c r="D269" s="101" t="s">
        <v>15</v>
      </c>
      <c r="E269" s="378">
        <f>E256/E9*1000000</f>
        <v>10526.000983901202</v>
      </c>
      <c r="F269" s="335">
        <v>8639.7227258836647</v>
      </c>
      <c r="G269" s="335">
        <v>-13369.577644724475</v>
      </c>
      <c r="H269" s="335">
        <v>19647.324514247564</v>
      </c>
      <c r="I269" s="335">
        <v>5855.6495000215846</v>
      </c>
      <c r="J269" s="335">
        <v>11558.04000252289</v>
      </c>
      <c r="K269" s="335">
        <v>3988.8785504524203</v>
      </c>
      <c r="L269" s="335">
        <v>5816.7687123160813</v>
      </c>
      <c r="M269" s="335">
        <v>-11727.332256265343</v>
      </c>
      <c r="N269" s="335">
        <v>30307.973072221143</v>
      </c>
      <c r="O269" s="335">
        <v>40536.490616745017</v>
      </c>
      <c r="P269" s="335">
        <v>29010.762277736274</v>
      </c>
      <c r="Q269" s="335">
        <v>3357.106054090762</v>
      </c>
      <c r="R269" s="378">
        <f>R256/R9*1000000</f>
        <v>7587.7998814502862</v>
      </c>
      <c r="S269" s="335">
        <f t="shared" ref="S269:AD269" si="1231">S256*1000000/S9</f>
        <v>5357.3656780094962</v>
      </c>
      <c r="T269" s="335">
        <f t="shared" si="1231"/>
        <v>974.62553524220914</v>
      </c>
      <c r="U269" s="335">
        <f t="shared" si="1231"/>
        <v>11723.410167282171</v>
      </c>
      <c r="V269" s="335">
        <f t="shared" si="1231"/>
        <v>12117.908707342283</v>
      </c>
      <c r="W269" s="335">
        <f t="shared" si="1231"/>
        <v>14531.276138537283</v>
      </c>
      <c r="X269" s="335">
        <f t="shared" si="1231"/>
        <v>10592.464251350788</v>
      </c>
      <c r="Y269" s="335">
        <f t="shared" si="1231"/>
        <v>4173.12954108945</v>
      </c>
      <c r="Z269" s="335">
        <f t="shared" si="1231"/>
        <v>-3019.5867534423378</v>
      </c>
      <c r="AA269" s="335">
        <f t="shared" si="1231"/>
        <v>15013.889434697856</v>
      </c>
      <c r="AB269" s="335">
        <f t="shared" si="1231"/>
        <v>9366.7987749387012</v>
      </c>
      <c r="AC269" s="335">
        <f t="shared" si="1231"/>
        <v>10076.315663420037</v>
      </c>
      <c r="AD269" s="335">
        <f t="shared" si="1231"/>
        <v>1705.9501726917042</v>
      </c>
      <c r="AE269" s="378">
        <f>AE256/AE9*1000000</f>
        <v>13497.739464810258</v>
      </c>
      <c r="AF269" s="335">
        <f t="shared" ref="AF269:AQ269" si="1232">AF256*1000000/AF9</f>
        <v>-27361.135842736239</v>
      </c>
      <c r="AG269" s="335">
        <f t="shared" si="1232"/>
        <v>-15413.098495212009</v>
      </c>
      <c r="AH269" s="335">
        <f t="shared" si="1232"/>
        <v>20200.5702526721</v>
      </c>
      <c r="AI269" s="335">
        <f t="shared" si="1232"/>
        <v>18039.806766428108</v>
      </c>
      <c r="AJ269" s="335">
        <f t="shared" si="1232"/>
        <v>18034.035981239922</v>
      </c>
      <c r="AK269" s="335">
        <f t="shared" si="1232"/>
        <v>44731.168327796237</v>
      </c>
      <c r="AL269" s="335">
        <f t="shared" si="1232"/>
        <v>59695.452919989708</v>
      </c>
      <c r="AM269" s="335">
        <f t="shared" si="1232"/>
        <v>15244.316984421786</v>
      </c>
      <c r="AN269" s="335">
        <f t="shared" si="1232"/>
        <v>-8858.9761119845825</v>
      </c>
      <c r="AO269" s="335">
        <f t="shared" si="1232"/>
        <v>-2940.1275204558738</v>
      </c>
      <c r="AP269" s="335">
        <f t="shared" si="1232"/>
        <v>16910.093462469733</v>
      </c>
      <c r="AQ269" s="335">
        <f t="shared" si="1232"/>
        <v>28097.866944631754</v>
      </c>
      <c r="AR269" s="378">
        <f>AR256/AR9*1000000</f>
        <v>11330.966573434245</v>
      </c>
      <c r="AS269" s="923">
        <f t="shared" ref="AS269:BD269" si="1233">AS256*1000000/AS9</f>
        <v>1281.7239364316531</v>
      </c>
      <c r="AT269" s="335">
        <f t="shared" si="1233"/>
        <v>16874.380825320881</v>
      </c>
      <c r="AU269" s="335">
        <f t="shared" si="1233"/>
        <v>-10223.638348116576</v>
      </c>
      <c r="AV269" s="335">
        <f t="shared" si="1233"/>
        <v>15301.252485089464</v>
      </c>
      <c r="AW269" s="335">
        <f t="shared" si="1233"/>
        <v>-5949.6941055164116</v>
      </c>
      <c r="AX269" s="335">
        <f t="shared" si="1233"/>
        <v>-6543.2110313235116</v>
      </c>
      <c r="AY269" s="335">
        <f t="shared" si="1233"/>
        <v>25655.4265081175</v>
      </c>
      <c r="AZ269" s="335">
        <f t="shared" si="1233"/>
        <v>-15358.483248345907</v>
      </c>
      <c r="BA269" s="335">
        <f t="shared" si="1233"/>
        <v>67495.092775988815</v>
      </c>
      <c r="BB269" s="335">
        <f t="shared" si="1233"/>
        <v>10205.054107853783</v>
      </c>
      <c r="BC269" s="335">
        <f t="shared" si="1233"/>
        <v>11125.952708460134</v>
      </c>
      <c r="BD269" s="335">
        <f t="shared" si="1233"/>
        <v>43340.728554554851</v>
      </c>
      <c r="BE269" s="378">
        <f>BE256/BE9*1000000</f>
        <v>41700.035963089751</v>
      </c>
      <c r="BF269" s="1834">
        <f t="shared" ref="BF269:BQ269" si="1234">BF256*1000000/BF9</f>
        <v>90921.833579423677</v>
      </c>
      <c r="BG269" s="1834">
        <f t="shared" si="1234"/>
        <v>90027.565720105442</v>
      </c>
      <c r="BH269" s="1834">
        <f t="shared" si="1234"/>
        <v>55646.975628332068</v>
      </c>
      <c r="BI269" s="1834">
        <f t="shared" si="1234"/>
        <v>70130.795627170141</v>
      </c>
      <c r="BJ269" s="1834">
        <f t="shared" si="1234"/>
        <v>31031.448029385487</v>
      </c>
      <c r="BK269" s="1834">
        <f t="shared" si="1234"/>
        <v>39835.163839381574</v>
      </c>
      <c r="BL269" s="1834">
        <f t="shared" si="1234"/>
        <v>30138.881155111052</v>
      </c>
      <c r="BM269" s="1834">
        <f t="shared" si="1234"/>
        <v>41016.737675879689</v>
      </c>
      <c r="BN269" s="1834">
        <f t="shared" si="1234"/>
        <v>29467.232034242021</v>
      </c>
      <c r="BO269" s="1834">
        <f t="shared" si="1234"/>
        <v>3147.3801661162815</v>
      </c>
      <c r="BP269" s="1834">
        <f t="shared" si="1234"/>
        <v>8422.119380226266</v>
      </c>
      <c r="BQ269" s="1835">
        <f t="shared" si="1234"/>
        <v>17881.545192667607</v>
      </c>
      <c r="BR269" s="378">
        <f>BR256/BR9*1000000</f>
        <v>4548.9185872204798</v>
      </c>
      <c r="BS269" s="1860">
        <f t="shared" ref="BS269:BX271" si="1235">BS256*1000000/BS9</f>
        <v>3120.5717600569515</v>
      </c>
      <c r="BT269" s="1860">
        <f t="shared" si="1235"/>
        <v>9998.8652527763297</v>
      </c>
      <c r="BU269" s="1860">
        <f t="shared" si="1235"/>
        <v>3974.4761678405562</v>
      </c>
      <c r="BV269" s="1860">
        <f t="shared" si="1235"/>
        <v>17979.386887674784</v>
      </c>
      <c r="BW269" s="1860">
        <f t="shared" si="1235"/>
        <v>666.55312154356648</v>
      </c>
      <c r="BX269" s="1860">
        <f t="shared" si="1235"/>
        <v>3660.5532361387232</v>
      </c>
      <c r="BY269" s="1860">
        <f t="shared" ref="BY269:CC269" si="1236">BY256*1000000/BY9</f>
        <v>4088.4049353301571</v>
      </c>
      <c r="BZ269" s="1860">
        <f t="shared" si="1236"/>
        <v>2797.1968216197838</v>
      </c>
      <c r="CA269" s="1860">
        <f t="shared" si="1236"/>
        <v>10164.772775950432</v>
      </c>
      <c r="CB269" s="1860">
        <f t="shared" si="1236"/>
        <v>-5583.5387429715784</v>
      </c>
      <c r="CC269" s="1860">
        <f t="shared" si="1236"/>
        <v>2662.6908688841795</v>
      </c>
      <c r="CD269" s="1861">
        <f t="shared" ref="CD269" si="1237">CD256*1000000/CD9</f>
        <v>3273.2805140106584</v>
      </c>
      <c r="CE269" s="378">
        <f>CE256/CE9*1000000</f>
        <v>3660.5532361387245</v>
      </c>
      <c r="CF269" s="2252">
        <v>3660.5532361387232</v>
      </c>
      <c r="CG269" s="2251">
        <f>CF269</f>
        <v>3660.5532361387232</v>
      </c>
      <c r="CH269" s="2251">
        <f>CG269</f>
        <v>3660.5532361387232</v>
      </c>
      <c r="CI269" s="2251">
        <f t="shared" ref="CI269:CQ269" si="1238">CH269</f>
        <v>3660.5532361387232</v>
      </c>
      <c r="CJ269" s="2251">
        <f t="shared" si="1238"/>
        <v>3660.5532361387232</v>
      </c>
      <c r="CK269" s="2251">
        <f t="shared" si="1238"/>
        <v>3660.5532361387232</v>
      </c>
      <c r="CL269" s="2251">
        <f t="shared" si="1238"/>
        <v>3660.5532361387232</v>
      </c>
      <c r="CM269" s="2251">
        <f t="shared" si="1238"/>
        <v>3660.5532361387232</v>
      </c>
      <c r="CN269" s="2251">
        <f t="shared" si="1238"/>
        <v>3660.5532361387232</v>
      </c>
      <c r="CO269" s="2251">
        <f t="shared" si="1238"/>
        <v>3660.5532361387232</v>
      </c>
      <c r="CP269" s="2251">
        <f t="shared" si="1238"/>
        <v>3660.5532361387232</v>
      </c>
      <c r="CQ269" s="2252">
        <f t="shared" si="1238"/>
        <v>3660.5532361387232</v>
      </c>
    </row>
    <row r="270" spans="1:95">
      <c r="B270" s="3313"/>
      <c r="C270" s="3314"/>
      <c r="D270" s="101" t="s">
        <v>16</v>
      </c>
      <c r="E270" s="378">
        <f>E257/E10*1000000</f>
        <v>230359.88388532167</v>
      </c>
      <c r="F270" s="335">
        <v>238757.19630345493</v>
      </c>
      <c r="G270" s="335">
        <v>270241.57530434785</v>
      </c>
      <c r="H270" s="335">
        <v>241881.14546273364</v>
      </c>
      <c r="I270" s="335">
        <v>243724.26237151865</v>
      </c>
      <c r="J270" s="335">
        <v>189796.89599718389</v>
      </c>
      <c r="K270" s="335">
        <v>213675.32296537713</v>
      </c>
      <c r="L270" s="335">
        <v>214144.09238151659</v>
      </c>
      <c r="M270" s="335">
        <v>238268.7369514879</v>
      </c>
      <c r="N270" s="335">
        <v>246111.144467765</v>
      </c>
      <c r="O270" s="335">
        <v>221591.2311936029</v>
      </c>
      <c r="P270" s="335">
        <v>221871.0798011563</v>
      </c>
      <c r="Q270" s="335">
        <v>235697.32156909077</v>
      </c>
      <c r="R270" s="378">
        <f t="shared" ref="R270:AW270" si="1239">R257*1000000/(R10+R18)</f>
        <v>293342.12499390496</v>
      </c>
      <c r="S270" s="335">
        <f t="shared" si="1239"/>
        <v>246519.20829637354</v>
      </c>
      <c r="T270" s="335">
        <f t="shared" si="1239"/>
        <v>227120.15930546192</v>
      </c>
      <c r="U270" s="335">
        <f t="shared" si="1239"/>
        <v>252616.06174769427</v>
      </c>
      <c r="V270" s="335">
        <f t="shared" si="1239"/>
        <v>243581.22486920303</v>
      </c>
      <c r="W270" s="335">
        <f t="shared" si="1239"/>
        <v>209315.50018131899</v>
      </c>
      <c r="X270" s="335">
        <f t="shared" si="1239"/>
        <v>320330.31878042535</v>
      </c>
      <c r="Y270" s="335">
        <f t="shared" si="1239"/>
        <v>345592.60540220235</v>
      </c>
      <c r="Z270" s="335">
        <f t="shared" si="1239"/>
        <v>361831.33521230327</v>
      </c>
      <c r="AA270" s="335">
        <f t="shared" si="1239"/>
        <v>331467.38266005693</v>
      </c>
      <c r="AB270" s="335">
        <f t="shared" si="1239"/>
        <v>315376.706007356</v>
      </c>
      <c r="AC270" s="335">
        <f t="shared" si="1239"/>
        <v>313678.31210933859</v>
      </c>
      <c r="AD270" s="335">
        <f t="shared" si="1239"/>
        <v>316841.8988923601</v>
      </c>
      <c r="AE270" s="378">
        <f t="shared" si="1239"/>
        <v>347777.55176192924</v>
      </c>
      <c r="AF270" s="335">
        <f t="shared" si="1239"/>
        <v>277849.5469886206</v>
      </c>
      <c r="AG270" s="335">
        <f t="shared" si="1239"/>
        <v>351766.84736061055</v>
      </c>
      <c r="AH270" s="335">
        <f t="shared" si="1239"/>
        <v>336554.83804672403</v>
      </c>
      <c r="AI270" s="335">
        <f t="shared" si="1239"/>
        <v>360804.91688745539</v>
      </c>
      <c r="AJ270" s="335">
        <f t="shared" si="1239"/>
        <v>405917.55179517361</v>
      </c>
      <c r="AK270" s="335">
        <f t="shared" si="1239"/>
        <v>366367.44598165707</v>
      </c>
      <c r="AL270" s="335">
        <f t="shared" si="1239"/>
        <v>346953.18268321885</v>
      </c>
      <c r="AM270" s="335">
        <f t="shared" si="1239"/>
        <v>362736.08031158714</v>
      </c>
      <c r="AN270" s="335">
        <f t="shared" si="1239"/>
        <v>280781.63377358491</v>
      </c>
      <c r="AO270" s="335">
        <f t="shared" si="1239"/>
        <v>280180.67605518148</v>
      </c>
      <c r="AP270" s="335">
        <f t="shared" si="1239"/>
        <v>305436.2086118639</v>
      </c>
      <c r="AQ270" s="335">
        <f t="shared" si="1239"/>
        <v>552858.14802276168</v>
      </c>
      <c r="AR270" s="378">
        <f t="shared" si="1239"/>
        <v>436867.26583427243</v>
      </c>
      <c r="AS270" s="923">
        <f t="shared" si="1239"/>
        <v>359218.32826187182</v>
      </c>
      <c r="AT270" s="335">
        <f t="shared" si="1239"/>
        <v>383399.52464112651</v>
      </c>
      <c r="AU270" s="335">
        <f t="shared" si="1239"/>
        <v>434633.9329060085</v>
      </c>
      <c r="AV270" s="335">
        <f t="shared" si="1239"/>
        <v>452183.32401985745</v>
      </c>
      <c r="AW270" s="335">
        <f t="shared" si="1239"/>
        <v>416989.86063327309</v>
      </c>
      <c r="AX270" s="335">
        <f t="shared" ref="AX270:BR270" si="1240">AX257*1000000/(AX10+AX18)</f>
        <v>452799.33592233009</v>
      </c>
      <c r="AY270" s="335">
        <f t="shared" si="1240"/>
        <v>406578.27433752723</v>
      </c>
      <c r="AZ270" s="335">
        <f t="shared" si="1240"/>
        <v>501346.69988049613</v>
      </c>
      <c r="BA270" s="335">
        <f t="shared" si="1240"/>
        <v>410318.96517888154</v>
      </c>
      <c r="BB270" s="335">
        <f t="shared" si="1240"/>
        <v>406043.18671795347</v>
      </c>
      <c r="BC270" s="335">
        <f t="shared" si="1240"/>
        <v>352956.24771939748</v>
      </c>
      <c r="BD270" s="335">
        <f t="shared" si="1240"/>
        <v>702800.71946736379</v>
      </c>
      <c r="BE270" s="378">
        <f t="shared" si="1240"/>
        <v>410214.93787862558</v>
      </c>
      <c r="BF270" s="1834">
        <f t="shared" si="1240"/>
        <v>451159.80274579272</v>
      </c>
      <c r="BG270" s="1834">
        <f t="shared" si="1240"/>
        <v>445077.87929036928</v>
      </c>
      <c r="BH270" s="1834">
        <f t="shared" si="1240"/>
        <v>378542.7445158725</v>
      </c>
      <c r="BI270" s="1834">
        <f t="shared" si="1240"/>
        <v>357459.9782508706</v>
      </c>
      <c r="BJ270" s="1834">
        <f t="shared" si="1240"/>
        <v>345214.646855428</v>
      </c>
      <c r="BK270" s="1834">
        <f t="shared" si="1240"/>
        <v>352985.84582855506</v>
      </c>
      <c r="BL270" s="1834">
        <f t="shared" si="1240"/>
        <v>462916.65857359633</v>
      </c>
      <c r="BM270" s="1834">
        <f t="shared" si="1240"/>
        <v>423545.486376788</v>
      </c>
      <c r="BN270" s="1834">
        <f t="shared" si="1240"/>
        <v>429442.59348432091</v>
      </c>
      <c r="BO270" s="1834">
        <f t="shared" si="1240"/>
        <v>431086.8507631055</v>
      </c>
      <c r="BP270" s="1834">
        <f t="shared" si="1240"/>
        <v>406541.75603530015</v>
      </c>
      <c r="BQ270" s="1835">
        <f t="shared" si="1240"/>
        <v>386623.14261238312</v>
      </c>
      <c r="BR270" s="378">
        <f t="shared" si="1240"/>
        <v>460671.98870652111</v>
      </c>
      <c r="BS270" s="1860">
        <f t="shared" si="1235"/>
        <v>349948.89094279998</v>
      </c>
      <c r="BT270" s="1860">
        <f t="shared" si="1235"/>
        <v>432762.05299529218</v>
      </c>
      <c r="BU270" s="1860">
        <f t="shared" si="1235"/>
        <v>478714.69924576877</v>
      </c>
      <c r="BV270" s="1860">
        <f t="shared" si="1235"/>
        <v>445855.94436864299</v>
      </c>
      <c r="BW270" s="1860">
        <f t="shared" si="1235"/>
        <v>475266.07547764014</v>
      </c>
      <c r="BX270" s="1860">
        <f t="shared" si="1235"/>
        <v>425318.78279883385</v>
      </c>
      <c r="BY270" s="1860">
        <f t="shared" ref="BY270:CC270" si="1241">BY257*1000000/BY10</f>
        <v>593012.64350125729</v>
      </c>
      <c r="BZ270" s="1860">
        <f t="shared" si="1241"/>
        <v>507939.5119795003</v>
      </c>
      <c r="CA270" s="1860">
        <f t="shared" si="1241"/>
        <v>396315.3369220731</v>
      </c>
      <c r="CB270" s="1860">
        <f t="shared" si="1241"/>
        <v>471745.84855925472</v>
      </c>
      <c r="CC270" s="1860">
        <f t="shared" si="1241"/>
        <v>425775.10733306024</v>
      </c>
      <c r="CD270" s="1861">
        <f t="shared" ref="CD270" si="1242">CD257*1000000/CD10</f>
        <v>451965.91999644821</v>
      </c>
      <c r="CE270" s="378">
        <f>CE257*1000000/(CE10+CE18)</f>
        <v>451583.51097723545</v>
      </c>
      <c r="CF270" s="2251">
        <v>451583.51097723551</v>
      </c>
      <c r="CG270" s="2251">
        <v>451583.51097723551</v>
      </c>
      <c r="CH270" s="2251">
        <v>451583.51097723551</v>
      </c>
      <c r="CI270" s="2251">
        <v>451583.51097723551</v>
      </c>
      <c r="CJ270" s="2251">
        <v>451583.51097723551</v>
      </c>
      <c r="CK270" s="2251">
        <v>451583.51097723551</v>
      </c>
      <c r="CL270" s="2251">
        <v>451583.51097723551</v>
      </c>
      <c r="CM270" s="2251">
        <v>451583.51097723551</v>
      </c>
      <c r="CN270" s="2251">
        <v>451583.51097723551</v>
      </c>
      <c r="CO270" s="2251">
        <v>451583.51097723551</v>
      </c>
      <c r="CP270" s="2251">
        <v>451583.51097723551</v>
      </c>
      <c r="CQ270" s="2252">
        <v>451583.51097723551</v>
      </c>
    </row>
    <row r="271" spans="1:95">
      <c r="B271" s="3313"/>
      <c r="C271" s="3314"/>
      <c r="D271" s="101" t="s">
        <v>574</v>
      </c>
      <c r="E271" s="378"/>
      <c r="F271" s="335"/>
      <c r="G271" s="335"/>
      <c r="H271" s="335"/>
      <c r="I271" s="335"/>
      <c r="J271" s="335"/>
      <c r="K271" s="335"/>
      <c r="L271" s="335"/>
      <c r="M271" s="335"/>
      <c r="N271" s="335"/>
      <c r="O271" s="335"/>
      <c r="P271" s="335"/>
      <c r="Q271" s="335"/>
      <c r="R271" s="378"/>
      <c r="S271" s="335"/>
      <c r="T271" s="335"/>
      <c r="U271" s="335"/>
      <c r="V271" s="335"/>
      <c r="W271" s="335"/>
      <c r="X271" s="335"/>
      <c r="Y271" s="335"/>
      <c r="Z271" s="335"/>
      <c r="AA271" s="335"/>
      <c r="AB271" s="335"/>
      <c r="AC271" s="335"/>
      <c r="AD271" s="335"/>
      <c r="AE271" s="378"/>
      <c r="AF271" s="335"/>
      <c r="AG271" s="335"/>
      <c r="AH271" s="335"/>
      <c r="AI271" s="335"/>
      <c r="AJ271" s="335"/>
      <c r="AK271" s="335"/>
      <c r="AL271" s="335"/>
      <c r="AM271" s="335"/>
      <c r="AN271" s="335"/>
      <c r="AO271" s="335"/>
      <c r="AP271" s="335"/>
      <c r="AQ271" s="335"/>
      <c r="AR271" s="378"/>
      <c r="AS271" s="923"/>
      <c r="AT271" s="335"/>
      <c r="AU271" s="335"/>
      <c r="AV271" s="335"/>
      <c r="AW271" s="335"/>
      <c r="AX271" s="335"/>
      <c r="AY271" s="335"/>
      <c r="AZ271" s="335"/>
      <c r="BA271" s="335"/>
      <c r="BB271" s="335"/>
      <c r="BC271" s="335"/>
      <c r="BD271" s="335"/>
      <c r="BE271" s="378"/>
      <c r="BF271" s="1834"/>
      <c r="BG271" s="1834"/>
      <c r="BH271" s="1834"/>
      <c r="BI271" s="1834"/>
      <c r="BJ271" s="1834"/>
      <c r="BK271" s="1834"/>
      <c r="BL271" s="1834"/>
      <c r="BM271" s="1834"/>
      <c r="BN271" s="1834"/>
      <c r="BO271" s="1834"/>
      <c r="BP271" s="1834"/>
      <c r="BQ271" s="1835"/>
      <c r="BR271" s="378">
        <f>BR258*1000000/(BR11+BR19)</f>
        <v>10411.914940461009</v>
      </c>
      <c r="BS271" s="1860">
        <f t="shared" si="1235"/>
        <v>334799.70270270266</v>
      </c>
      <c r="BT271" s="1860">
        <f t="shared" si="1235"/>
        <v>377413.75218658894</v>
      </c>
      <c r="BU271" s="1860">
        <f t="shared" si="1235"/>
        <v>1792546.358974359</v>
      </c>
      <c r="BV271" s="1860">
        <f t="shared" si="1235"/>
        <v>473220.54918032786</v>
      </c>
      <c r="BW271" s="1860">
        <f t="shared" si="1235"/>
        <v>500879.62573099416</v>
      </c>
      <c r="BX271" s="1860">
        <f t="shared" si="1235"/>
        <v>233034.98373983739</v>
      </c>
      <c r="BY271" s="1860">
        <f t="shared" ref="BY271:CC271" si="1243">BY258*1000000/BY11</f>
        <v>485996.53358208953</v>
      </c>
      <c r="BZ271" s="1860">
        <f t="shared" si="1243"/>
        <v>135861.06315789474</v>
      </c>
      <c r="CA271" s="1860">
        <f t="shared" si="1243"/>
        <v>158424.86868686869</v>
      </c>
      <c r="CB271" s="1860">
        <f t="shared" si="1243"/>
        <v>155874.46774193548</v>
      </c>
      <c r="CC271" s="1860">
        <f t="shared" si="1243"/>
        <v>113683.10769230769</v>
      </c>
      <c r="CD271" s="1861">
        <f t="shared" ref="CD271" si="1244">CD258*1000000/CD11</f>
        <v>120127.66216216216</v>
      </c>
      <c r="CE271" s="378">
        <f>CE258*1000000/(CE11+CE19)</f>
        <v>11865.002139840781</v>
      </c>
      <c r="CF271" s="2251">
        <v>482378.38621705311</v>
      </c>
      <c r="CG271" s="2251">
        <f t="shared" ref="CG271:CQ273" si="1245">CF271</f>
        <v>482378.38621705311</v>
      </c>
      <c r="CH271" s="2251">
        <f t="shared" si="1245"/>
        <v>482378.38621705311</v>
      </c>
      <c r="CI271" s="2251">
        <f t="shared" si="1245"/>
        <v>482378.38621705311</v>
      </c>
      <c r="CJ271" s="2251">
        <f t="shared" si="1245"/>
        <v>482378.38621705311</v>
      </c>
      <c r="CK271" s="2251">
        <f t="shared" si="1245"/>
        <v>482378.38621705311</v>
      </c>
      <c r="CL271" s="2251">
        <f t="shared" si="1245"/>
        <v>482378.38621705311</v>
      </c>
      <c r="CM271" s="2251">
        <f t="shared" si="1245"/>
        <v>482378.38621705311</v>
      </c>
      <c r="CN271" s="2251">
        <f t="shared" si="1245"/>
        <v>482378.38621705311</v>
      </c>
      <c r="CO271" s="2251">
        <f t="shared" si="1245"/>
        <v>482378.38621705311</v>
      </c>
      <c r="CP271" s="2251">
        <f t="shared" si="1245"/>
        <v>482378.38621705311</v>
      </c>
      <c r="CQ271" s="2252">
        <f t="shared" si="1245"/>
        <v>482378.38621705311</v>
      </c>
    </row>
    <row r="272" spans="1:95" hidden="1">
      <c r="B272" s="3313"/>
      <c r="C272" s="3314"/>
      <c r="D272" s="101" t="s">
        <v>46</v>
      </c>
      <c r="E272" s="378"/>
      <c r="F272" s="335"/>
      <c r="G272" s="335"/>
      <c r="H272" s="335"/>
      <c r="I272" s="335"/>
      <c r="J272" s="335"/>
      <c r="K272" s="335"/>
      <c r="L272" s="335"/>
      <c r="M272" s="335"/>
      <c r="N272" s="335"/>
      <c r="O272" s="335"/>
      <c r="P272" s="335"/>
      <c r="Q272" s="335"/>
      <c r="R272" s="378"/>
      <c r="S272" s="335"/>
      <c r="T272" s="335"/>
      <c r="U272" s="335"/>
      <c r="V272" s="335"/>
      <c r="W272" s="335"/>
      <c r="X272" s="335"/>
      <c r="Y272" s="335"/>
      <c r="Z272" s="335"/>
      <c r="AA272" s="335"/>
      <c r="AB272" s="335"/>
      <c r="AC272" s="335"/>
      <c r="AD272" s="335"/>
      <c r="AE272" s="378"/>
      <c r="AF272" s="335"/>
      <c r="AG272" s="335"/>
      <c r="AH272" s="335"/>
      <c r="AI272" s="335"/>
      <c r="AJ272" s="335"/>
      <c r="AK272" s="335"/>
      <c r="AL272" s="335"/>
      <c r="AM272" s="335"/>
      <c r="AN272" s="335"/>
      <c r="AO272" s="335"/>
      <c r="AP272" s="335"/>
      <c r="AQ272" s="335"/>
      <c r="AR272" s="378"/>
      <c r="AS272" s="923"/>
      <c r="AT272" s="335"/>
      <c r="AU272" s="335"/>
      <c r="AV272" s="335"/>
      <c r="AW272" s="335"/>
      <c r="AX272" s="335"/>
      <c r="AY272" s="335"/>
      <c r="AZ272" s="335"/>
      <c r="BA272" s="335"/>
      <c r="BB272" s="335"/>
      <c r="BC272" s="335"/>
      <c r="BD272" s="335"/>
      <c r="BE272" s="378"/>
      <c r="BF272" s="1834"/>
      <c r="BG272" s="1834"/>
      <c r="BH272" s="1834"/>
      <c r="BI272" s="1834"/>
      <c r="BJ272" s="1834"/>
      <c r="BK272" s="1834"/>
      <c r="BL272" s="1834"/>
      <c r="BM272" s="1834"/>
      <c r="BN272" s="1834"/>
      <c r="BO272" s="1834"/>
      <c r="BP272" s="1834"/>
      <c r="BQ272" s="1835"/>
      <c r="BR272" s="378" t="e">
        <f>BR259/BR12*1000000</f>
        <v>#DIV/0!</v>
      </c>
      <c r="BS272" s="1860"/>
      <c r="BT272" s="1860"/>
      <c r="BU272" s="1860"/>
      <c r="BV272" s="1860"/>
      <c r="BW272" s="1860"/>
      <c r="BX272" s="1860"/>
      <c r="BY272" s="1860"/>
      <c r="BZ272" s="1860"/>
      <c r="CA272" s="1860"/>
      <c r="CB272" s="1860"/>
      <c r="CC272" s="1860"/>
      <c r="CD272" s="1861"/>
      <c r="CE272" s="378" t="e">
        <f>CE259/CE12*1000000</f>
        <v>#DIV/0!</v>
      </c>
      <c r="CF272" s="2251"/>
      <c r="CG272" s="2251">
        <f t="shared" si="1245"/>
        <v>0</v>
      </c>
      <c r="CH272" s="2251">
        <f t="shared" si="1245"/>
        <v>0</v>
      </c>
      <c r="CI272" s="2251">
        <f t="shared" si="1245"/>
        <v>0</v>
      </c>
      <c r="CJ272" s="2251">
        <f t="shared" si="1245"/>
        <v>0</v>
      </c>
      <c r="CK272" s="2251">
        <f t="shared" si="1245"/>
        <v>0</v>
      </c>
      <c r="CL272" s="2251">
        <f t="shared" si="1245"/>
        <v>0</v>
      </c>
      <c r="CM272" s="2251">
        <f t="shared" si="1245"/>
        <v>0</v>
      </c>
      <c r="CN272" s="2251">
        <f t="shared" si="1245"/>
        <v>0</v>
      </c>
      <c r="CO272" s="2251">
        <f t="shared" si="1245"/>
        <v>0</v>
      </c>
      <c r="CP272" s="2251">
        <f t="shared" si="1245"/>
        <v>0</v>
      </c>
      <c r="CQ272" s="2252">
        <f t="shared" si="1245"/>
        <v>0</v>
      </c>
    </row>
    <row r="273" spans="1:95" hidden="1">
      <c r="B273" s="3313"/>
      <c r="C273" s="3314"/>
      <c r="D273" s="101" t="s">
        <v>47</v>
      </c>
      <c r="E273" s="378">
        <f>E260/E13*1000000</f>
        <v>191943.41751061741</v>
      </c>
      <c r="F273" s="335">
        <v>189519.94017857141</v>
      </c>
      <c r="G273" s="335">
        <v>214197.85973763873</v>
      </c>
      <c r="H273" s="335">
        <v>160218.11382113825</v>
      </c>
      <c r="I273" s="335">
        <v>227958.86320754717</v>
      </c>
      <c r="J273" s="335"/>
      <c r="K273" s="335"/>
      <c r="L273" s="335"/>
      <c r="M273" s="335"/>
      <c r="N273" s="335"/>
      <c r="O273" s="335"/>
      <c r="P273" s="335"/>
      <c r="Q273" s="335"/>
      <c r="R273" s="378" t="e">
        <f>R260/R13*1000000</f>
        <v>#DIV/0!</v>
      </c>
      <c r="S273" s="923"/>
      <c r="T273" s="335"/>
      <c r="U273" s="335"/>
      <c r="V273" s="335"/>
      <c r="W273" s="335"/>
      <c r="X273" s="335"/>
      <c r="Y273" s="335"/>
      <c r="Z273" s="335"/>
      <c r="AA273" s="335"/>
      <c r="AB273" s="335"/>
      <c r="AC273" s="335"/>
      <c r="AD273" s="335"/>
      <c r="AE273" s="378" t="e">
        <f>AE260/AE13*1000000</f>
        <v>#DIV/0!</v>
      </c>
      <c r="AF273" s="335"/>
      <c r="AG273" s="335"/>
      <c r="AH273" s="335"/>
      <c r="AI273" s="335"/>
      <c r="AJ273" s="335"/>
      <c r="AK273" s="335"/>
      <c r="AL273" s="335"/>
      <c r="AM273" s="335"/>
      <c r="AN273" s="335"/>
      <c r="AO273" s="335"/>
      <c r="AP273" s="335"/>
      <c r="AQ273" s="335"/>
      <c r="AR273" s="378" t="e">
        <f>AR260/AR13*1000000</f>
        <v>#DIV/0!</v>
      </c>
      <c r="AS273" s="923"/>
      <c r="AT273" s="335"/>
      <c r="AU273" s="335"/>
      <c r="AV273" s="335"/>
      <c r="AW273" s="335"/>
      <c r="AX273" s="335"/>
      <c r="AY273" s="335"/>
      <c r="AZ273" s="335"/>
      <c r="BA273" s="335"/>
      <c r="BB273" s="335"/>
      <c r="BC273" s="335"/>
      <c r="BD273" s="335"/>
      <c r="BE273" s="378" t="e">
        <f>BE260/BE13*1000000</f>
        <v>#DIV/0!</v>
      </c>
      <c r="BF273" s="1834"/>
      <c r="BG273" s="1834"/>
      <c r="BH273" s="1834"/>
      <c r="BI273" s="1834"/>
      <c r="BJ273" s="1834"/>
      <c r="BK273" s="1834"/>
      <c r="BL273" s="1834"/>
      <c r="BM273" s="1834"/>
      <c r="BN273" s="1834"/>
      <c r="BO273" s="1834"/>
      <c r="BP273" s="1834"/>
      <c r="BQ273" s="1835"/>
      <c r="BR273" s="378" t="e">
        <f>BR260/BR13*1000000</f>
        <v>#DIV/0!</v>
      </c>
      <c r="BS273" s="1860"/>
      <c r="BT273" s="1860"/>
      <c r="BU273" s="1860"/>
      <c r="BV273" s="1860"/>
      <c r="BW273" s="1860"/>
      <c r="BX273" s="1860"/>
      <c r="BY273" s="1860"/>
      <c r="BZ273" s="1860"/>
      <c r="CA273" s="1860"/>
      <c r="CB273" s="1860"/>
      <c r="CC273" s="1860"/>
      <c r="CD273" s="1861"/>
      <c r="CE273" s="378" t="e">
        <f>CE260/CE13*1000000</f>
        <v>#DIV/0!</v>
      </c>
      <c r="CF273" s="2251"/>
      <c r="CG273" s="2251">
        <f t="shared" si="1245"/>
        <v>0</v>
      </c>
      <c r="CH273" s="2251">
        <f t="shared" si="1245"/>
        <v>0</v>
      </c>
      <c r="CI273" s="2251">
        <f t="shared" si="1245"/>
        <v>0</v>
      </c>
      <c r="CJ273" s="2251">
        <f t="shared" si="1245"/>
        <v>0</v>
      </c>
      <c r="CK273" s="2251">
        <f t="shared" si="1245"/>
        <v>0</v>
      </c>
      <c r="CL273" s="2251">
        <f t="shared" si="1245"/>
        <v>0</v>
      </c>
      <c r="CM273" s="2251">
        <f t="shared" si="1245"/>
        <v>0</v>
      </c>
      <c r="CN273" s="2251">
        <f t="shared" si="1245"/>
        <v>0</v>
      </c>
      <c r="CO273" s="2251">
        <f t="shared" si="1245"/>
        <v>0</v>
      </c>
      <c r="CP273" s="2251">
        <f t="shared" si="1245"/>
        <v>0</v>
      </c>
      <c r="CQ273" s="2252">
        <f t="shared" si="1245"/>
        <v>0</v>
      </c>
    </row>
    <row r="274" spans="1:95">
      <c r="B274" s="3313"/>
      <c r="C274" s="3314"/>
      <c r="D274" s="201" t="s">
        <v>683</v>
      </c>
      <c r="E274" s="378">
        <f>E261/E14*1000000</f>
        <v>156697.57239144744</v>
      </c>
      <c r="F274" s="335">
        <v>139870.62952836193</v>
      </c>
      <c r="G274" s="335">
        <v>149228.09616749469</v>
      </c>
      <c r="H274" s="335">
        <v>174347.32867371294</v>
      </c>
      <c r="I274" s="335">
        <v>157499.47064665123</v>
      </c>
      <c r="J274" s="335">
        <v>153787.75298930146</v>
      </c>
      <c r="K274" s="335">
        <v>254017.97692862293</v>
      </c>
      <c r="L274" s="335">
        <v>162409.88424604206</v>
      </c>
      <c r="M274" s="335">
        <v>137610.74661105321</v>
      </c>
      <c r="N274" s="335">
        <v>203490.78250591015</v>
      </c>
      <c r="O274" s="335">
        <v>121816.15797012483</v>
      </c>
      <c r="P274" s="335">
        <v>116929.4300525701</v>
      </c>
      <c r="Q274" s="335">
        <v>186328.52597882296</v>
      </c>
      <c r="R274" s="378">
        <f>R261/R14*1000000</f>
        <v>138933.49757721848</v>
      </c>
      <c r="S274" s="335">
        <f t="shared" ref="S274:AD274" si="1246">S261*1000000/S14</f>
        <v>116091.94049126361</v>
      </c>
      <c r="T274" s="335">
        <f t="shared" si="1246"/>
        <v>99357.008398494057</v>
      </c>
      <c r="U274" s="335">
        <f t="shared" si="1246"/>
        <v>120522.83001939864</v>
      </c>
      <c r="V274" s="335">
        <f t="shared" si="1246"/>
        <v>118389.95742455972</v>
      </c>
      <c r="W274" s="335">
        <f t="shared" si="1246"/>
        <v>204493.02452176958</v>
      </c>
      <c r="X274" s="335">
        <f t="shared" si="1246"/>
        <v>200997.86795581467</v>
      </c>
      <c r="Y274" s="335">
        <f t="shared" si="1246"/>
        <v>191641.43540085139</v>
      </c>
      <c r="Z274" s="335">
        <f t="shared" si="1246"/>
        <v>149384.56832403468</v>
      </c>
      <c r="AA274" s="335">
        <f t="shared" si="1246"/>
        <v>146920.99433946577</v>
      </c>
      <c r="AB274" s="335">
        <f t="shared" si="1246"/>
        <v>73487.523527191341</v>
      </c>
      <c r="AC274" s="335">
        <f t="shared" si="1246"/>
        <v>234151.8612528044</v>
      </c>
      <c r="AD274" s="335">
        <f t="shared" si="1246"/>
        <v>248754.57382744644</v>
      </c>
      <c r="AE274" s="378">
        <f>AE261/AE14*1000000</f>
        <v>150132.50697361788</v>
      </c>
      <c r="AF274" s="335">
        <f t="shared" ref="AF274:AQ274" si="1247">AF261*1000000/AF14</f>
        <v>251469.10523114359</v>
      </c>
      <c r="AG274" s="335">
        <f t="shared" si="1247"/>
        <v>150864.55096181453</v>
      </c>
      <c r="AH274" s="335">
        <f t="shared" si="1247"/>
        <v>78690.416871921188</v>
      </c>
      <c r="AI274" s="335">
        <f t="shared" si="1247"/>
        <v>278058.10074812965</v>
      </c>
      <c r="AJ274" s="335">
        <f t="shared" si="1247"/>
        <v>201693.21100062149</v>
      </c>
      <c r="AK274" s="335">
        <f t="shared" si="1247"/>
        <v>162189.11785929045</v>
      </c>
      <c r="AL274" s="335">
        <f t="shared" si="1247"/>
        <v>198552.73898305086</v>
      </c>
      <c r="AM274" s="335">
        <f t="shared" si="1247"/>
        <v>227388.69486504278</v>
      </c>
      <c r="AN274" s="335">
        <f t="shared" si="1247"/>
        <v>60564.741016949156</v>
      </c>
      <c r="AO274" s="335">
        <f t="shared" si="1247"/>
        <v>57139.976848804028</v>
      </c>
      <c r="AP274" s="335">
        <f t="shared" si="1247"/>
        <v>193147.50743162903</v>
      </c>
      <c r="AQ274" s="335">
        <f t="shared" si="1247"/>
        <v>225551.05103587671</v>
      </c>
      <c r="AR274" s="378">
        <f>AR261/AR14*1000000</f>
        <v>117781.27823851569</v>
      </c>
      <c r="AS274" s="923">
        <f t="shared" ref="AS274:BD274" si="1248">AS261*1000000/AS14</f>
        <v>-176744.46719858155</v>
      </c>
      <c r="AT274" s="335">
        <f t="shared" si="1248"/>
        <v>186664.97640117994</v>
      </c>
      <c r="AU274" s="335">
        <f t="shared" si="1248"/>
        <v>289809.88119953865</v>
      </c>
      <c r="AV274" s="335">
        <f t="shared" si="1248"/>
        <v>124346.0870556062</v>
      </c>
      <c r="AW274" s="335">
        <f t="shared" si="1248"/>
        <v>100737.60272727272</v>
      </c>
      <c r="AX274" s="335">
        <f t="shared" si="1248"/>
        <v>167314.33854573886</v>
      </c>
      <c r="AY274" s="335">
        <f t="shared" si="1248"/>
        <v>38972.896810506565</v>
      </c>
      <c r="AZ274" s="335">
        <f t="shared" si="1248"/>
        <v>214637.38551042811</v>
      </c>
      <c r="BA274" s="335">
        <f t="shared" si="1248"/>
        <v>-53177.243715846991</v>
      </c>
      <c r="BB274" s="335">
        <f t="shared" si="1248"/>
        <v>90277.908391327626</v>
      </c>
      <c r="BC274" s="335">
        <f t="shared" si="1248"/>
        <v>160077.65349999999</v>
      </c>
      <c r="BD274" s="335">
        <f t="shared" si="1248"/>
        <v>266985.29365079367</v>
      </c>
      <c r="BE274" s="378">
        <f>BE261/BE14*1000000</f>
        <v>143504.49170575195</v>
      </c>
      <c r="BF274" s="1834">
        <f t="shared" ref="BF274:BQ274" si="1249">BF261*1000000/BF14</f>
        <v>127033.4898785425</v>
      </c>
      <c r="BG274" s="1834">
        <f t="shared" si="1249"/>
        <v>92286.53947602924</v>
      </c>
      <c r="BH274" s="1834">
        <f t="shared" si="1249"/>
        <v>235125.68262964013</v>
      </c>
      <c r="BI274" s="1834">
        <f t="shared" si="1249"/>
        <v>132518.04869199923</v>
      </c>
      <c r="BJ274" s="1834">
        <f t="shared" si="1249"/>
        <v>233139.05812338821</v>
      </c>
      <c r="BK274" s="1834">
        <f t="shared" si="1249"/>
        <v>226367.80564263323</v>
      </c>
      <c r="BL274" s="1834">
        <f t="shared" si="1249"/>
        <v>154335.57976331361</v>
      </c>
      <c r="BM274" s="1834">
        <f t="shared" si="1249"/>
        <v>120823.08526165895</v>
      </c>
      <c r="BN274" s="1834">
        <f t="shared" si="1249"/>
        <v>98928.44053341604</v>
      </c>
      <c r="BO274" s="1834">
        <f t="shared" si="1249"/>
        <v>125451.72595281307</v>
      </c>
      <c r="BP274" s="1834">
        <f t="shared" si="1249"/>
        <v>223478.85624410192</v>
      </c>
      <c r="BQ274" s="1835">
        <f t="shared" si="1249"/>
        <v>156955.63873139617</v>
      </c>
      <c r="BR274" s="378">
        <f>BR261/BR14*1000000</f>
        <v>281936.86469998723</v>
      </c>
      <c r="BS274" s="1860">
        <f t="shared" ref="BS274:BX274" si="1250">(BS261+BS262)*1000000/(BS14+BS15)</f>
        <v>451257.41679049033</v>
      </c>
      <c r="BT274" s="1860">
        <f t="shared" si="1250"/>
        <v>146647.96080402011</v>
      </c>
      <c r="BU274" s="1860">
        <f t="shared" si="1250"/>
        <v>113049.215037797</v>
      </c>
      <c r="BV274" s="1860">
        <f t="shared" si="1250"/>
        <v>127093.42595673876</v>
      </c>
      <c r="BW274" s="1860">
        <f t="shared" si="1250"/>
        <v>130033.98437500003</v>
      </c>
      <c r="BX274" s="1860">
        <f t="shared" si="1250"/>
        <v>286271.32822004758</v>
      </c>
      <c r="BY274" s="1860">
        <f t="shared" ref="BY274:CC274" si="1251">(BY261+BY262)*1000000/(BY14+BY15)</f>
        <v>351336.09116607765</v>
      </c>
      <c r="BZ274" s="1860">
        <f t="shared" si="1251"/>
        <v>371420.73764780408</v>
      </c>
      <c r="CA274" s="1860">
        <f t="shared" si="1251"/>
        <v>268242.48239967815</v>
      </c>
      <c r="CB274" s="1860">
        <f t="shared" si="1251"/>
        <v>377669.27404612157</v>
      </c>
      <c r="CC274" s="1860">
        <f t="shared" si="1251"/>
        <v>425752.53341080766</v>
      </c>
      <c r="CD274" s="1861">
        <f t="shared" ref="CD274" si="1252">(CD261+CD262)*1000000/(CD14+CD15)</f>
        <v>475619.02900034119</v>
      </c>
      <c r="CE274" s="378">
        <f>CE261/CE14*1000000</f>
        <v>249053.46761253497</v>
      </c>
      <c r="CF274" s="2251">
        <v>249053.46761253499</v>
      </c>
      <c r="CG274" s="2251">
        <v>249053.46761253499</v>
      </c>
      <c r="CH274" s="2251">
        <v>249053.46761253499</v>
      </c>
      <c r="CI274" s="2251">
        <v>249053.46761253499</v>
      </c>
      <c r="CJ274" s="2251">
        <v>249053.46761253499</v>
      </c>
      <c r="CK274" s="2251">
        <v>249053.46761253499</v>
      </c>
      <c r="CL274" s="2251">
        <v>249053.46761253499</v>
      </c>
      <c r="CM274" s="2251">
        <v>249053.46761253499</v>
      </c>
      <c r="CN274" s="2251">
        <v>249053.46761253499</v>
      </c>
      <c r="CO274" s="2251">
        <v>249053.46761253499</v>
      </c>
      <c r="CP274" s="2251">
        <v>249053.46761253499</v>
      </c>
      <c r="CQ274" s="2252">
        <v>249053.46761253499</v>
      </c>
    </row>
    <row r="275" spans="1:95">
      <c r="B275" s="3313"/>
      <c r="C275" s="3314"/>
      <c r="D275" s="201" t="s">
        <v>684</v>
      </c>
      <c r="E275" s="378">
        <f>E262/E15*1000000</f>
        <v>448708.32035779057</v>
      </c>
      <c r="F275" s="335">
        <v>422746.58108291676</v>
      </c>
      <c r="G275" s="335">
        <v>418807.10040705564</v>
      </c>
      <c r="H275" s="335">
        <v>433044.31081081077</v>
      </c>
      <c r="I275" s="335">
        <v>413585.31708797737</v>
      </c>
      <c r="J275" s="335">
        <v>454406.60342857143</v>
      </c>
      <c r="K275" s="335">
        <v>396046.36159999995</v>
      </c>
      <c r="L275" s="335">
        <v>411885.97397769516</v>
      </c>
      <c r="M275" s="335">
        <v>446811.2750548647</v>
      </c>
      <c r="N275" s="335">
        <v>540628.27612655796</v>
      </c>
      <c r="O275" s="335">
        <v>488859.5163014431</v>
      </c>
      <c r="P275" s="335">
        <v>501989.03712574847</v>
      </c>
      <c r="Q275" s="335">
        <v>405141.01675041881</v>
      </c>
      <c r="R275" s="378">
        <f>R262/R15*1000000</f>
        <v>359875.8613285402</v>
      </c>
      <c r="S275" s="335">
        <f t="shared" ref="S275:AD275" si="1253">S262*1000000/S15</f>
        <v>421450.42246642249</v>
      </c>
      <c r="T275" s="335">
        <f t="shared" si="1253"/>
        <v>410340.62296195654</v>
      </c>
      <c r="U275" s="335">
        <f t="shared" si="1253"/>
        <v>254007.80508474575</v>
      </c>
      <c r="V275" s="335">
        <f t="shared" si="1253"/>
        <v>233073.26012746699</v>
      </c>
      <c r="W275" s="335">
        <f t="shared" si="1253"/>
        <v>468467.66650204937</v>
      </c>
      <c r="X275" s="335">
        <f t="shared" si="1253"/>
        <v>472871.45434452774</v>
      </c>
      <c r="Y275" s="335">
        <f t="shared" si="1253"/>
        <v>381576.0598787677</v>
      </c>
      <c r="Z275" s="335">
        <f t="shared" si="1253"/>
        <v>378637.69196685456</v>
      </c>
      <c r="AA275" s="335">
        <f t="shared" si="1253"/>
        <v>339656.51855283434</v>
      </c>
      <c r="AB275" s="335">
        <f t="shared" si="1253"/>
        <v>321045.61440914939</v>
      </c>
      <c r="AC275" s="335">
        <f t="shared" si="1253"/>
        <v>370084.62723528343</v>
      </c>
      <c r="AD275" s="335">
        <f t="shared" si="1253"/>
        <v>284540.14924181963</v>
      </c>
      <c r="AE275" s="378">
        <f>AE262/AE15*1000000</f>
        <v>410583.66867700149</v>
      </c>
      <c r="AF275" s="335">
        <f t="shared" ref="AF275:AQ275" si="1254">AF262*1000000/AF15</f>
        <v>342471.80654140573</v>
      </c>
      <c r="AG275" s="335">
        <f t="shared" si="1254"/>
        <v>391085.2284661447</v>
      </c>
      <c r="AH275" s="335">
        <f t="shared" si="1254"/>
        <v>376204.52796327212</v>
      </c>
      <c r="AI275" s="335">
        <f t="shared" si="1254"/>
        <v>390309.39902767394</v>
      </c>
      <c r="AJ275" s="335">
        <f t="shared" si="1254"/>
        <v>455182.42311608954</v>
      </c>
      <c r="AK275" s="335">
        <f t="shared" si="1254"/>
        <v>425257.21287919104</v>
      </c>
      <c r="AL275" s="335">
        <f t="shared" si="1254"/>
        <v>407243.7754237288</v>
      </c>
      <c r="AM275" s="335">
        <f t="shared" si="1254"/>
        <v>363174.28927680798</v>
      </c>
      <c r="AN275" s="335">
        <f t="shared" si="1254"/>
        <v>233339.10263808738</v>
      </c>
      <c r="AO275" s="335">
        <f t="shared" si="1254"/>
        <v>460740.73715325148</v>
      </c>
      <c r="AP275" s="335">
        <f t="shared" si="1254"/>
        <v>478322.49664429529</v>
      </c>
      <c r="AQ275" s="335">
        <f t="shared" si="1254"/>
        <v>998108.55111633369</v>
      </c>
      <c r="AR275" s="378">
        <f>AR262/AR15*1000000</f>
        <v>423180.51545808284</v>
      </c>
      <c r="AS275" s="923">
        <f t="shared" ref="AS275:BD275" si="1255">AS262*1000000/AS15</f>
        <v>442884.56438356166</v>
      </c>
      <c r="AT275" s="335">
        <f t="shared" si="1255"/>
        <v>466487.59719101124</v>
      </c>
      <c r="AU275" s="335">
        <f t="shared" si="1255"/>
        <v>271805.86921202275</v>
      </c>
      <c r="AV275" s="335">
        <f t="shared" si="1255"/>
        <v>529414.47619047621</v>
      </c>
      <c r="AW275" s="335">
        <f t="shared" si="1255"/>
        <v>432069.47179878049</v>
      </c>
      <c r="AX275" s="335">
        <f t="shared" si="1255"/>
        <v>365214.4187256177</v>
      </c>
      <c r="AY275" s="335">
        <f t="shared" si="1255"/>
        <v>445274.15637065639</v>
      </c>
      <c r="AZ275" s="335">
        <f t="shared" si="1255"/>
        <v>509171.92029657093</v>
      </c>
      <c r="BA275" s="335">
        <f t="shared" si="1255"/>
        <v>389985.26899383985</v>
      </c>
      <c r="BB275" s="335">
        <f t="shared" si="1255"/>
        <v>375356.77500000002</v>
      </c>
      <c r="BC275" s="335">
        <f t="shared" si="1255"/>
        <v>419545.88826815644</v>
      </c>
      <c r="BD275" s="335">
        <f t="shared" si="1255"/>
        <v>322590.95633187774</v>
      </c>
      <c r="BE275" s="378">
        <f>BE262/BE15*1000000</f>
        <v>417088.31173990597</v>
      </c>
      <c r="BF275" s="1834">
        <f t="shared" ref="BF275:BQ275" si="1256">BF262*1000000/BF15</f>
        <v>365017.81949458487</v>
      </c>
      <c r="BG275" s="1834">
        <f t="shared" si="1256"/>
        <v>404882.16253716551</v>
      </c>
      <c r="BH275" s="1834">
        <f t="shared" si="1256"/>
        <v>359472.6652542373</v>
      </c>
      <c r="BI275" s="1834">
        <f t="shared" si="1256"/>
        <v>404670.2140274765</v>
      </c>
      <c r="BJ275" s="1834">
        <f t="shared" si="1256"/>
        <v>409114.11916046037</v>
      </c>
      <c r="BK275" s="1834">
        <f t="shared" si="1256"/>
        <v>490281.04172099085</v>
      </c>
      <c r="BL275" s="1834">
        <f t="shared" si="1256"/>
        <v>415343.79151291511</v>
      </c>
      <c r="BM275" s="1834">
        <f t="shared" si="1256"/>
        <v>442144.37383177568</v>
      </c>
      <c r="BN275" s="1834">
        <f t="shared" si="1256"/>
        <v>414562.23076923075</v>
      </c>
      <c r="BO275" s="1834">
        <f t="shared" si="1256"/>
        <v>446687.44099378883</v>
      </c>
      <c r="BP275" s="1834">
        <f t="shared" si="1256"/>
        <v>492136.21739130432</v>
      </c>
      <c r="BQ275" s="1835">
        <f t="shared" si="1256"/>
        <v>475024.63136456214</v>
      </c>
      <c r="BR275" s="378">
        <f>BR262/BR15*1000000</f>
        <v>724813.63523131667</v>
      </c>
      <c r="BS275" s="1860"/>
      <c r="BT275" s="1860"/>
      <c r="BU275" s="1860"/>
      <c r="BV275" s="1860"/>
      <c r="BW275" s="1860"/>
      <c r="BX275" s="1860"/>
      <c r="BY275" s="1860"/>
      <c r="BZ275" s="1860"/>
      <c r="CA275" s="1860"/>
      <c r="CB275" s="1860"/>
      <c r="CC275" s="1860"/>
      <c r="CD275" s="1861"/>
      <c r="CE275" s="378" t="e">
        <f>CE262/CE15*1000000</f>
        <v>#DIV/0!</v>
      </c>
      <c r="CF275" s="2251"/>
      <c r="CG275" s="2251"/>
      <c r="CH275" s="2251"/>
      <c r="CI275" s="2251"/>
      <c r="CJ275" s="2251"/>
      <c r="CK275" s="2251"/>
      <c r="CL275" s="2251"/>
      <c r="CM275" s="2251"/>
      <c r="CN275" s="2251"/>
      <c r="CO275" s="2251"/>
      <c r="CP275" s="2251"/>
      <c r="CQ275" s="2252"/>
    </row>
    <row r="276" spans="1:95">
      <c r="B276" s="3313"/>
      <c r="C276" s="3314"/>
      <c r="D276" s="101" t="s">
        <v>18</v>
      </c>
      <c r="E276" s="378">
        <f>E263/E16*1000000</f>
        <v>957504.18192116008</v>
      </c>
      <c r="F276" s="335">
        <v>1375441.346153846</v>
      </c>
      <c r="G276" s="335">
        <v>677317.00833333319</v>
      </c>
      <c r="H276" s="335">
        <v>357992.89836065576</v>
      </c>
      <c r="I276" s="335">
        <v>508418.1481481482</v>
      </c>
      <c r="J276" s="335">
        <v>360390.43714285712</v>
      </c>
      <c r="K276" s="335">
        <v>332544.57142857148</v>
      </c>
      <c r="L276" s="335">
        <v>558213.06810035848</v>
      </c>
      <c r="M276" s="335">
        <v>683679.36363636376</v>
      </c>
      <c r="N276" s="335">
        <v>445154.22718187881</v>
      </c>
      <c r="O276" s="335">
        <v>3048001.4486486488</v>
      </c>
      <c r="P276" s="335">
        <v>6267471.5269461079</v>
      </c>
      <c r="Q276" s="335">
        <v>-292911.14460784313</v>
      </c>
      <c r="R276" s="378">
        <f>R263/R16*1000000</f>
        <v>604923.36224519147</v>
      </c>
      <c r="S276" s="335">
        <f t="shared" ref="S276:AD276" si="1257">S263*1000000/S16</f>
        <v>663391.31489270378</v>
      </c>
      <c r="T276" s="335">
        <f t="shared" si="1257"/>
        <v>4332070.5962264156</v>
      </c>
      <c r="U276" s="335">
        <f t="shared" si="1257"/>
        <v>1302670.7836257308</v>
      </c>
      <c r="V276" s="335">
        <f t="shared" si="1257"/>
        <v>519159.34285714279</v>
      </c>
      <c r="W276" s="335">
        <f t="shared" si="1257"/>
        <v>428320.03278688522</v>
      </c>
      <c r="X276" s="335">
        <f t="shared" si="1257"/>
        <v>542202.20634920639</v>
      </c>
      <c r="Y276" s="335">
        <f t="shared" si="1257"/>
        <v>559056.35824742261</v>
      </c>
      <c r="Z276" s="335">
        <f t="shared" si="1257"/>
        <v>581140.18235294125</v>
      </c>
      <c r="AA276" s="335">
        <f t="shared" si="1257"/>
        <v>491826.45300751872</v>
      </c>
      <c r="AB276" s="335">
        <f t="shared" si="1257"/>
        <v>527172.68522072933</v>
      </c>
      <c r="AC276" s="335">
        <f t="shared" si="1257"/>
        <v>372094.53333333333</v>
      </c>
      <c r="AD276" s="335">
        <f t="shared" si="1257"/>
        <v>690176.10644257709</v>
      </c>
      <c r="AE276" s="378">
        <f>AE263/AE16*1000000</f>
        <v>763296.83342847356</v>
      </c>
      <c r="AF276" s="335">
        <f t="shared" ref="AF276:AQ276" si="1258">AF263*1000000/AF16</f>
        <v>994206.14953271032</v>
      </c>
      <c r="AG276" s="335">
        <f t="shared" si="1258"/>
        <v>540732.19160104985</v>
      </c>
      <c r="AH276" s="335">
        <f t="shared" si="1258"/>
        <v>1123277.4078947371</v>
      </c>
      <c r="AI276" s="335">
        <f t="shared" si="1258"/>
        <v>612630.73571428575</v>
      </c>
      <c r="AJ276" s="335">
        <f t="shared" si="1258"/>
        <v>598917.09836065571</v>
      </c>
      <c r="AK276" s="335">
        <f t="shared" si="1258"/>
        <v>570140.99248120305</v>
      </c>
      <c r="AL276" s="335">
        <f t="shared" si="1258"/>
        <v>652866.83518930955</v>
      </c>
      <c r="AM276" s="335">
        <f t="shared" si="1258"/>
        <v>468010.38927335641</v>
      </c>
      <c r="AN276" s="335">
        <f t="shared" si="1258"/>
        <v>487038.22009428404</v>
      </c>
      <c r="AO276" s="335">
        <f t="shared" si="1258"/>
        <v>480159.04214711732</v>
      </c>
      <c r="AP276" s="335">
        <f t="shared" si="1258"/>
        <v>707680.4291338583</v>
      </c>
      <c r="AQ276" s="335">
        <f t="shared" si="1258"/>
        <v>21075659.395833332</v>
      </c>
      <c r="AR276" s="378">
        <f>AR263/AR16*1000000</f>
        <v>475282.95048844063</v>
      </c>
      <c r="AS276" s="923">
        <f t="shared" ref="AS276:BD276" si="1259">AS263*1000000/AS16</f>
        <v>435229.06972836837</v>
      </c>
      <c r="AT276" s="335">
        <f t="shared" si="1259"/>
        <v>553547.76989897108</v>
      </c>
      <c r="AU276" s="335">
        <f t="shared" si="1259"/>
        <v>420673.3158210332</v>
      </c>
      <c r="AV276" s="335">
        <f t="shared" si="1259"/>
        <v>455591.63912180415</v>
      </c>
      <c r="AW276" s="335">
        <f t="shared" si="1259"/>
        <v>535637.77396367036</v>
      </c>
      <c r="AX276" s="335">
        <f t="shared" si="1259"/>
        <v>1025538.2271872771</v>
      </c>
      <c r="AY276" s="335">
        <f t="shared" si="1259"/>
        <v>543076.14793675765</v>
      </c>
      <c r="AZ276" s="335">
        <f t="shared" si="1259"/>
        <v>497575.69762663537</v>
      </c>
      <c r="BA276" s="335">
        <f t="shared" si="1259"/>
        <v>472430.7128508708</v>
      </c>
      <c r="BB276" s="335">
        <f t="shared" si="1259"/>
        <v>464660.6500313849</v>
      </c>
      <c r="BC276" s="335">
        <f t="shared" si="1259"/>
        <v>418657.56496541441</v>
      </c>
      <c r="BD276" s="335">
        <f t="shared" si="1259"/>
        <v>410697.78234475601</v>
      </c>
      <c r="BE276" s="378">
        <f>BE263/BE16*1000000</f>
        <v>558728.83148303314</v>
      </c>
      <c r="BF276" s="1834">
        <f t="shared" ref="BF276:BQ276" si="1260">BF263*1000000/BF16</f>
        <v>487960.7224880383</v>
      </c>
      <c r="BG276" s="1834">
        <f t="shared" si="1260"/>
        <v>681069.94535519124</v>
      </c>
      <c r="BH276" s="1834">
        <f t="shared" si="1260"/>
        <v>1272974.6896551724</v>
      </c>
      <c r="BI276" s="1834">
        <f t="shared" si="1260"/>
        <v>200921.07586206897</v>
      </c>
      <c r="BJ276" s="1834">
        <f t="shared" si="1260"/>
        <v>430319.43981481483</v>
      </c>
      <c r="BK276" s="1834">
        <f t="shared" si="1260"/>
        <v>591013.02116402122</v>
      </c>
      <c r="BL276" s="1834">
        <f t="shared" si="1260"/>
        <v>461672.98791540787</v>
      </c>
      <c r="BM276" s="1834">
        <f t="shared" si="1260"/>
        <v>1302769.9937888198</v>
      </c>
      <c r="BN276" s="1834">
        <f t="shared" si="1260"/>
        <v>516477.02550091076</v>
      </c>
      <c r="BO276" s="1834">
        <f t="shared" si="1260"/>
        <v>635138.0641114983</v>
      </c>
      <c r="BP276" s="1834">
        <f t="shared" si="1260"/>
        <v>521154.92474489799</v>
      </c>
      <c r="BQ276" s="1835">
        <f t="shared" si="1260"/>
        <v>621277.5</v>
      </c>
      <c r="BR276" s="378">
        <f>BR263/BR16*1000000</f>
        <v>835048.44271320244</v>
      </c>
      <c r="BS276" s="1860">
        <f t="shared" ref="BS276:BX276" si="1261">BS263*1000000/BS16</f>
        <v>908849.12582781457</v>
      </c>
      <c r="BT276" s="1860">
        <f t="shared" si="1261"/>
        <v>518020.88754325261</v>
      </c>
      <c r="BU276" s="1860">
        <f t="shared" si="1261"/>
        <v>582814.875</v>
      </c>
      <c r="BV276" s="1860">
        <f t="shared" si="1261"/>
        <v>653242.68075117376</v>
      </c>
      <c r="BW276" s="1860">
        <f t="shared" si="1261"/>
        <v>567022.36293436296</v>
      </c>
      <c r="BX276" s="1860">
        <f t="shared" si="1261"/>
        <v>7302446.1544715445</v>
      </c>
      <c r="BY276" s="1860">
        <f t="shared" ref="BY276:CC276" si="1262">BY263*1000000/BY16</f>
        <v>573035.85385878489</v>
      </c>
      <c r="BZ276" s="1860">
        <f t="shared" si="1262"/>
        <v>4135141.289473684</v>
      </c>
      <c r="CA276" s="1860">
        <f t="shared" si="1262"/>
        <v>1425663.2235772358</v>
      </c>
      <c r="CB276" s="1860">
        <f t="shared" si="1262"/>
        <v>87803.707426376437</v>
      </c>
      <c r="CC276" s="1860">
        <f t="shared" si="1262"/>
        <v>1095593.3713052142</v>
      </c>
      <c r="CD276" s="1861">
        <f t="shared" ref="CD276" si="1263">CD263*1000000/CD16</f>
        <v>638229.92682926834</v>
      </c>
      <c r="CE276" s="378">
        <f>CE263/CE16*1000000</f>
        <v>645989.98641132074</v>
      </c>
      <c r="CF276" s="2251">
        <v>645989.98641132074</v>
      </c>
      <c r="CG276" s="2251">
        <v>645989.98641132074</v>
      </c>
      <c r="CH276" s="2251">
        <v>645989.98641132074</v>
      </c>
      <c r="CI276" s="2251">
        <v>645989.98641132074</v>
      </c>
      <c r="CJ276" s="2251">
        <v>645989.98641132074</v>
      </c>
      <c r="CK276" s="2251">
        <v>645989.98641132074</v>
      </c>
      <c r="CL276" s="2251">
        <v>645989.98641132074</v>
      </c>
      <c r="CM276" s="2251">
        <v>645989.98641132074</v>
      </c>
      <c r="CN276" s="2251">
        <v>645989.98641132074</v>
      </c>
      <c r="CO276" s="2251">
        <v>645989.98641132074</v>
      </c>
      <c r="CP276" s="2251">
        <v>645989.98641132074</v>
      </c>
      <c r="CQ276" s="2252">
        <v>645989.98641132074</v>
      </c>
    </row>
    <row r="277" spans="1:95">
      <c r="B277" s="3313"/>
      <c r="C277" s="3314"/>
      <c r="D277" s="101" t="s">
        <v>244</v>
      </c>
      <c r="E277" s="378">
        <f>E264/E20*1000000</f>
        <v>107116.87924612219</v>
      </c>
      <c r="F277" s="335">
        <v>80861.086327077748</v>
      </c>
      <c r="G277" s="335">
        <v>154659.58137668073</v>
      </c>
      <c r="H277" s="335">
        <v>109582.83583563808</v>
      </c>
      <c r="I277" s="335">
        <v>80524.060323241516</v>
      </c>
      <c r="J277" s="335">
        <v>76180.204994971515</v>
      </c>
      <c r="K277" s="335">
        <v>83306.263790849669</v>
      </c>
      <c r="L277" s="335">
        <v>128831.35713448234</v>
      </c>
      <c r="M277" s="335">
        <v>113843.92256976389</v>
      </c>
      <c r="N277" s="335">
        <v>91961.816386390303</v>
      </c>
      <c r="O277" s="335">
        <v>137400.74909865618</v>
      </c>
      <c r="P277" s="335">
        <v>122264.14994487321</v>
      </c>
      <c r="Q277" s="335">
        <v>98058.12546190391</v>
      </c>
      <c r="R277" s="378">
        <f>R264/R20*1000000</f>
        <v>103771.13801467743</v>
      </c>
      <c r="S277" s="335">
        <f t="shared" ref="S277:AD277" si="1264">S264*1000000/S20</f>
        <v>179302.64846875917</v>
      </c>
      <c r="T277" s="335">
        <f t="shared" si="1264"/>
        <v>148160.72807055281</v>
      </c>
      <c r="U277" s="335">
        <f t="shared" si="1264"/>
        <v>83533.763999999996</v>
      </c>
      <c r="V277" s="335">
        <f t="shared" si="1264"/>
        <v>112342.38885824601</v>
      </c>
      <c r="W277" s="335">
        <f t="shared" si="1264"/>
        <v>153218.19484863686</v>
      </c>
      <c r="X277" s="335">
        <f t="shared" si="1264"/>
        <v>138711.39543491672</v>
      </c>
      <c r="Y277" s="335">
        <f t="shared" si="1264"/>
        <v>82966.664904082631</v>
      </c>
      <c r="Z277" s="335">
        <f t="shared" si="1264"/>
        <v>64377.174871501993</v>
      </c>
      <c r="AA277" s="335">
        <f t="shared" si="1264"/>
        <v>125340.76605019814</v>
      </c>
      <c r="AB277" s="335">
        <f t="shared" si="1264"/>
        <v>104056.16640563823</v>
      </c>
      <c r="AC277" s="335">
        <f t="shared" si="1264"/>
        <v>69384.178097045267</v>
      </c>
      <c r="AD277" s="335">
        <f t="shared" si="1264"/>
        <v>76837.150260567461</v>
      </c>
      <c r="AE277" s="378">
        <f>AE264/AE20*1000000</f>
        <v>103203.12052500989</v>
      </c>
      <c r="AF277" s="335">
        <f t="shared" ref="AF277:AQ277" si="1265">AF264*1000000/AF20</f>
        <v>-19495.226102437689</v>
      </c>
      <c r="AG277" s="335">
        <f t="shared" si="1265"/>
        <v>69718.236242138359</v>
      </c>
      <c r="AH277" s="335">
        <f t="shared" si="1265"/>
        <v>88046.75154983309</v>
      </c>
      <c r="AI277" s="335">
        <f t="shared" si="1265"/>
        <v>70749.330684663117</v>
      </c>
      <c r="AJ277" s="335">
        <f t="shared" si="1265"/>
        <v>80317.170454545456</v>
      </c>
      <c r="AK277" s="335">
        <f t="shared" si="1265"/>
        <v>96392.685302302052</v>
      </c>
      <c r="AL277" s="335">
        <f t="shared" si="1265"/>
        <v>88470.426562334775</v>
      </c>
      <c r="AM277" s="335">
        <f t="shared" si="1265"/>
        <v>76434.41640920013</v>
      </c>
      <c r="AN277" s="335">
        <f t="shared" si="1265"/>
        <v>102432.78624358731</v>
      </c>
      <c r="AO277" s="335">
        <f t="shared" si="1265"/>
        <v>63473.308006119325</v>
      </c>
      <c r="AP277" s="335">
        <f t="shared" si="1265"/>
        <v>80452.533993399338</v>
      </c>
      <c r="AQ277" s="335">
        <f t="shared" si="1265"/>
        <v>290112.55694342393</v>
      </c>
      <c r="AR277" s="378">
        <f>AR264/AR20*1000000</f>
        <v>110217.13796751131</v>
      </c>
      <c r="AS277" s="923">
        <f t="shared" ref="AS277:BD277" si="1266">AS264*1000000/AS20</f>
        <v>74025.787997675099</v>
      </c>
      <c r="AT277" s="335">
        <f t="shared" si="1266"/>
        <v>101858.8171073718</v>
      </c>
      <c r="AU277" s="335">
        <f t="shared" si="1266"/>
        <v>122747.18653889012</v>
      </c>
      <c r="AV277" s="335">
        <f t="shared" si="1266"/>
        <v>197679.91649999999</v>
      </c>
      <c r="AW277" s="335">
        <f t="shared" si="1266"/>
        <v>68146.432953367883</v>
      </c>
      <c r="AX277" s="335">
        <f t="shared" si="1266"/>
        <v>151941.54588327766</v>
      </c>
      <c r="AY277" s="335">
        <f t="shared" si="1266"/>
        <v>150591.14928282969</v>
      </c>
      <c r="AZ277" s="335">
        <f t="shared" si="1266"/>
        <v>57124.210895035634</v>
      </c>
      <c r="BA277" s="335">
        <f t="shared" si="1266"/>
        <v>117365.31846167574</v>
      </c>
      <c r="BB277" s="335">
        <f t="shared" si="1266"/>
        <v>60293.218413597737</v>
      </c>
      <c r="BC277" s="335">
        <f t="shared" si="1266"/>
        <v>158653.522297808</v>
      </c>
      <c r="BD277" s="335">
        <f t="shared" si="1266"/>
        <v>63499.572410829394</v>
      </c>
      <c r="BE277" s="378">
        <f>BE264/BE20*1000000</f>
        <v>120293.5693110826</v>
      </c>
      <c r="BF277" s="1834">
        <f t="shared" ref="BF277:BQ277" si="1267">BF264*1000000/BF20</f>
        <v>68905.140416744878</v>
      </c>
      <c r="BG277" s="1834">
        <f t="shared" si="1267"/>
        <v>105835.22922719349</v>
      </c>
      <c r="BH277" s="1834">
        <f t="shared" si="1267"/>
        <v>62499.905096308183</v>
      </c>
      <c r="BI277" s="1834">
        <f t="shared" si="1267"/>
        <v>272983.96549165121</v>
      </c>
      <c r="BJ277" s="1834">
        <f t="shared" si="1267"/>
        <v>73614.480023050332</v>
      </c>
      <c r="BK277" s="1834">
        <f t="shared" si="1267"/>
        <v>130775.9658571772</v>
      </c>
      <c r="BL277" s="1834">
        <f t="shared" si="1267"/>
        <v>192549.80090765588</v>
      </c>
      <c r="BM277" s="1834">
        <f t="shared" si="1267"/>
        <v>71918.174785658615</v>
      </c>
      <c r="BN277" s="1834">
        <f t="shared" si="1267"/>
        <v>192688.94858899133</v>
      </c>
      <c r="BO277" s="1834">
        <f t="shared" si="1267"/>
        <v>162035.02959697734</v>
      </c>
      <c r="BP277" s="1834">
        <f t="shared" si="1267"/>
        <v>206896.36913634371</v>
      </c>
      <c r="BQ277" s="1835">
        <f t="shared" si="1267"/>
        <v>104782.58984677294</v>
      </c>
      <c r="BR277" s="378">
        <f>BR264/BR20*1000000</f>
        <v>98456.444393656056</v>
      </c>
      <c r="BS277" s="1860">
        <f t="shared" ref="BS277:BX277" si="1268">BS264*1000000/BS20</f>
        <v>106849.32804041862</v>
      </c>
      <c r="BT277" s="1860">
        <f t="shared" si="1268"/>
        <v>208705.39521154476</v>
      </c>
      <c r="BU277" s="1860">
        <f t="shared" si="1268"/>
        <v>-18478.3930938263</v>
      </c>
      <c r="BV277" s="1860">
        <f t="shared" si="1268"/>
        <v>39926.224815724818</v>
      </c>
      <c r="BW277" s="1860">
        <f t="shared" si="1268"/>
        <v>136066.1157702826</v>
      </c>
      <c r="BX277" s="1860">
        <f t="shared" si="1268"/>
        <v>105844.6955107352</v>
      </c>
      <c r="BY277" s="1860">
        <f t="shared" ref="BY277:CC277" si="1269">BY264*1000000/BY20</f>
        <v>83970.670501941611</v>
      </c>
      <c r="BZ277" s="1860">
        <f t="shared" si="1269"/>
        <v>107732.36442673429</v>
      </c>
      <c r="CA277" s="1860">
        <f t="shared" si="1269"/>
        <v>125105.29948092981</v>
      </c>
      <c r="CB277" s="1860">
        <f t="shared" si="1269"/>
        <v>137184.63277202073</v>
      </c>
      <c r="CC277" s="1860">
        <f t="shared" si="1269"/>
        <v>110242.94654836615</v>
      </c>
      <c r="CD277" s="1861">
        <f t="shared" ref="CD277" si="1270">CD264*1000000/CD20</f>
        <v>80878.135036496344</v>
      </c>
      <c r="CE277" s="378">
        <f>CE264/CE20*1000000</f>
        <v>96485.561042479938</v>
      </c>
      <c r="CF277" s="2251">
        <v>96485.561042479938</v>
      </c>
      <c r="CG277" s="2251">
        <v>96485.561042479938</v>
      </c>
      <c r="CH277" s="2251">
        <v>96485.561042479938</v>
      </c>
      <c r="CI277" s="2251">
        <v>96485.561042479938</v>
      </c>
      <c r="CJ277" s="2251">
        <v>96485.561042479938</v>
      </c>
      <c r="CK277" s="2251">
        <v>96485.561042479938</v>
      </c>
      <c r="CL277" s="2251">
        <v>96485.561042479938</v>
      </c>
      <c r="CM277" s="2251">
        <v>96485.561042479938</v>
      </c>
      <c r="CN277" s="2251">
        <v>96485.561042479938</v>
      </c>
      <c r="CO277" s="2251">
        <v>96485.561042479938</v>
      </c>
      <c r="CP277" s="2251">
        <v>96485.561042479938</v>
      </c>
      <c r="CQ277" s="2252">
        <v>96485.561042479938</v>
      </c>
    </row>
    <row r="278" spans="1:95">
      <c r="B278" s="3315"/>
      <c r="C278" s="3316"/>
      <c r="D278" s="229" t="s">
        <v>678</v>
      </c>
      <c r="E278" s="381">
        <f>E265/(E17+E21)*1000000</f>
        <v>238172.15960479435</v>
      </c>
      <c r="F278" s="336">
        <v>138970.49638143892</v>
      </c>
      <c r="G278" s="336">
        <v>118016.9260813428</v>
      </c>
      <c r="H278" s="336">
        <v>195523.46389891696</v>
      </c>
      <c r="I278" s="336">
        <v>171072.09019445593</v>
      </c>
      <c r="J278" s="336">
        <v>307847.01586206903</v>
      </c>
      <c r="K278" s="336">
        <v>274916.96701786533</v>
      </c>
      <c r="L278" s="336">
        <v>272472.48882152332</v>
      </c>
      <c r="M278" s="336">
        <v>200178.25290581162</v>
      </c>
      <c r="N278" s="336">
        <v>281034.19751381216</v>
      </c>
      <c r="O278" s="336">
        <v>201968.2293956044</v>
      </c>
      <c r="P278" s="336">
        <v>385718.63504312304</v>
      </c>
      <c r="Q278" s="336">
        <v>324972.10197368421</v>
      </c>
      <c r="R278" s="381">
        <f>R265/(R17+R21)*1000000</f>
        <v>284929.73310873652</v>
      </c>
      <c r="S278" s="687">
        <f t="shared" ref="S278:AD278" si="1271">S265*1000000/(S17+S21)</f>
        <v>180743.65461254612</v>
      </c>
      <c r="T278" s="336">
        <f t="shared" si="1271"/>
        <v>289953.42058496858</v>
      </c>
      <c r="U278" s="336">
        <f t="shared" si="1271"/>
        <v>407824.69391853129</v>
      </c>
      <c r="V278" s="336">
        <f t="shared" si="1271"/>
        <v>249084.09560776298</v>
      </c>
      <c r="W278" s="336">
        <f t="shared" si="1271"/>
        <v>264389.79545454547</v>
      </c>
      <c r="X278" s="336">
        <f t="shared" si="1271"/>
        <v>287650.42532550427</v>
      </c>
      <c r="Y278" s="336">
        <f t="shared" si="1271"/>
        <v>260655.66144200624</v>
      </c>
      <c r="Z278" s="336">
        <f t="shared" si="1271"/>
        <v>275142.23271242669</v>
      </c>
      <c r="AA278" s="336">
        <f t="shared" si="1271"/>
        <v>314254.04350282485</v>
      </c>
      <c r="AB278" s="336">
        <f t="shared" si="1271"/>
        <v>181950.62998875772</v>
      </c>
      <c r="AC278" s="336">
        <f t="shared" si="1271"/>
        <v>286397.02296819788</v>
      </c>
      <c r="AD278" s="336">
        <f t="shared" si="1271"/>
        <v>451026.89520897041</v>
      </c>
      <c r="AE278" s="381">
        <f>AE265/(AE17+AE21)*1000000</f>
        <v>322431.53159962286</v>
      </c>
      <c r="AF278" s="336">
        <f t="shared" ref="AF278:AQ278" si="1272">AF265*1000000/(AF17+AF21)</f>
        <v>223485.70266435444</v>
      </c>
      <c r="AG278" s="336">
        <f t="shared" si="1272"/>
        <v>337893.76331058022</v>
      </c>
      <c r="AH278" s="336">
        <f t="shared" si="1272"/>
        <v>241382.89435146443</v>
      </c>
      <c r="AI278" s="336">
        <f t="shared" si="1272"/>
        <v>472127.79110546381</v>
      </c>
      <c r="AJ278" s="336">
        <f t="shared" si="1272"/>
        <v>193067.36342272602</v>
      </c>
      <c r="AK278" s="336">
        <f t="shared" si="1272"/>
        <v>368722.7390817469</v>
      </c>
      <c r="AL278" s="336">
        <f t="shared" si="1272"/>
        <v>423807.88412017166</v>
      </c>
      <c r="AM278" s="336">
        <f t="shared" si="1272"/>
        <v>609890.98957402445</v>
      </c>
      <c r="AN278" s="336">
        <f t="shared" si="1272"/>
        <v>310968.44135802472</v>
      </c>
      <c r="AO278" s="336">
        <f t="shared" si="1272"/>
        <v>309999.36912972084</v>
      </c>
      <c r="AP278" s="336">
        <f t="shared" si="1272"/>
        <v>193164.77628765791</v>
      </c>
      <c r="AQ278" s="336">
        <f t="shared" si="1272"/>
        <v>411244.43922691484</v>
      </c>
      <c r="AR278" s="381">
        <f>AR265/(AR17+AR21)*1000000</f>
        <v>297461.36842099729</v>
      </c>
      <c r="AS278" s="1519">
        <f t="shared" ref="AS278:BD278" si="1273">AS265*1000000/(AS17+AS21)</f>
        <v>-13499.583320145999</v>
      </c>
      <c r="AT278" s="336">
        <f t="shared" si="1273"/>
        <v>337212.31996715337</v>
      </c>
      <c r="AU278" s="336">
        <f t="shared" si="1273"/>
        <v>349564.61451776203</v>
      </c>
      <c r="AV278" s="336">
        <f t="shared" si="1273"/>
        <v>210225.16103583423</v>
      </c>
      <c r="AW278" s="336">
        <f t="shared" si="1273"/>
        <v>418155.32668186619</v>
      </c>
      <c r="AX278" s="336">
        <f t="shared" si="1273"/>
        <v>340987.24021527922</v>
      </c>
      <c r="AY278" s="336">
        <f t="shared" si="1273"/>
        <v>337054.91970559774</v>
      </c>
      <c r="AZ278" s="336">
        <f t="shared" si="1273"/>
        <v>318968.99502132973</v>
      </c>
      <c r="BA278" s="336">
        <f t="shared" si="1273"/>
        <v>514872.48238904349</v>
      </c>
      <c r="BB278" s="336">
        <f t="shared" si="1273"/>
        <v>312952.26464952255</v>
      </c>
      <c r="BC278" s="336">
        <f t="shared" si="1273"/>
        <v>377026.54277516215</v>
      </c>
      <c r="BD278" s="336">
        <f t="shared" si="1273"/>
        <v>346973.75574449328</v>
      </c>
      <c r="BE278" s="381">
        <f>BE265/(BE17+BE21)*1000000</f>
        <v>516989.97748822416</v>
      </c>
      <c r="BF278" s="1848">
        <f t="shared" ref="BF278:BQ278" si="1274">BF265*1000000/(BF17+BF21)</f>
        <v>338296.81953028432</v>
      </c>
      <c r="BG278" s="1848">
        <f t="shared" si="1274"/>
        <v>475175.58880442294</v>
      </c>
      <c r="BH278" s="1848">
        <f t="shared" si="1274"/>
        <v>401670.70545454544</v>
      </c>
      <c r="BI278" s="1848">
        <f t="shared" si="1274"/>
        <v>677855.26118500601</v>
      </c>
      <c r="BJ278" s="1848">
        <f t="shared" si="1274"/>
        <v>597053.22222222225</v>
      </c>
      <c r="BK278" s="1848">
        <f t="shared" si="1274"/>
        <v>246719.05827505828</v>
      </c>
      <c r="BL278" s="1848">
        <f t="shared" si="1274"/>
        <v>612445.70382695505</v>
      </c>
      <c r="BM278" s="1848">
        <f t="shared" si="1274"/>
        <v>560217.60195035464</v>
      </c>
      <c r="BN278" s="1848">
        <f t="shared" si="1274"/>
        <v>1013454.5355218032</v>
      </c>
      <c r="BO278" s="1848">
        <f t="shared" si="1274"/>
        <v>-444637.76573426573</v>
      </c>
      <c r="BP278" s="1848">
        <f t="shared" si="1274"/>
        <v>687160.26845637581</v>
      </c>
      <c r="BQ278" s="1849">
        <f t="shared" si="1274"/>
        <v>1061313.1315396114</v>
      </c>
      <c r="BR278" s="381">
        <f>BR265/(BR17+BR21)*1000000</f>
        <v>611817.47799773759</v>
      </c>
      <c r="BS278" s="3140">
        <f t="shared" ref="BS278:BX278" si="1275">BS265*1000000/(BS21+BS17)</f>
        <v>497424.36380424746</v>
      </c>
      <c r="BT278" s="3140">
        <f t="shared" si="1275"/>
        <v>585432.15971394512</v>
      </c>
      <c r="BU278" s="3140">
        <f t="shared" si="1275"/>
        <v>711207.96147110336</v>
      </c>
      <c r="BV278" s="3140">
        <f t="shared" si="1275"/>
        <v>697153.42449841602</v>
      </c>
      <c r="BW278" s="3140">
        <f t="shared" si="1275"/>
        <v>464972.28160112357</v>
      </c>
      <c r="BX278" s="3140">
        <f t="shared" si="1275"/>
        <v>906871.92997198878</v>
      </c>
      <c r="BY278" s="3140">
        <f t="shared" ref="BY278:CC278" si="1276">BY265*1000000/(BY21+BY17)</f>
        <v>517906.01256732497</v>
      </c>
      <c r="BZ278" s="3140">
        <f t="shared" si="1276"/>
        <v>439830.43960826984</v>
      </c>
      <c r="CA278" s="3140">
        <f t="shared" si="1276"/>
        <v>604395.68236074271</v>
      </c>
      <c r="CB278" s="3140">
        <f t="shared" si="1276"/>
        <v>517407.21155347384</v>
      </c>
      <c r="CC278" s="3140">
        <f t="shared" si="1276"/>
        <v>360870.94495412841</v>
      </c>
      <c r="CD278" s="3142">
        <f t="shared" ref="CD278" si="1277">CD265*1000000/(CD21+CD17)</f>
        <v>863348.12281976745</v>
      </c>
      <c r="CE278" s="381">
        <f>CE265/(CE17+CE21)*1000000</f>
        <v>632930.02810274786</v>
      </c>
      <c r="CF278" s="2775">
        <v>643843.68684347079</v>
      </c>
      <c r="CG278" s="2775">
        <v>643843.68684347079</v>
      </c>
      <c r="CH278" s="2775">
        <v>643843.68684347079</v>
      </c>
      <c r="CI278" s="2775">
        <v>643843.68684347079</v>
      </c>
      <c r="CJ278" s="2775">
        <v>643843.68684347079</v>
      </c>
      <c r="CK278" s="2775">
        <v>643843.68684347079</v>
      </c>
      <c r="CL278" s="2775">
        <v>643843.68684347079</v>
      </c>
      <c r="CM278" s="2775">
        <v>643843.68684347079</v>
      </c>
      <c r="CN278" s="2775">
        <v>643843.68684347079</v>
      </c>
      <c r="CO278" s="2775">
        <v>643843.68684347079</v>
      </c>
      <c r="CP278" s="2775">
        <v>643843.68684347079</v>
      </c>
      <c r="CQ278" s="2809">
        <v>643843.68684347079</v>
      </c>
    </row>
    <row r="279" spans="1:95" ht="19">
      <c r="E279" s="270"/>
      <c r="F279" s="129"/>
      <c r="G279" s="270"/>
      <c r="H279" s="270"/>
      <c r="R279" s="1309"/>
      <c r="S279" s="685"/>
      <c r="T279" s="270"/>
      <c r="U279" s="270"/>
      <c r="AE279" s="1310"/>
      <c r="AF279" s="1310"/>
      <c r="AG279" s="1311"/>
      <c r="AH279" s="1311"/>
      <c r="AI279" s="1311"/>
      <c r="AJ279" s="1311"/>
      <c r="AK279" s="1311"/>
      <c r="AL279" s="1311"/>
      <c r="AM279" s="1311"/>
      <c r="AN279" s="1311"/>
      <c r="AO279" s="1311"/>
      <c r="AP279" s="1311"/>
      <c r="AQ279" s="1312"/>
      <c r="AR279" s="1422"/>
      <c r="AS279" s="1310"/>
      <c r="AT279" s="1311"/>
      <c r="AU279" s="1311"/>
      <c r="AV279" s="1311"/>
      <c r="AW279" s="1311"/>
      <c r="AX279" s="1311"/>
      <c r="AY279" s="1311"/>
      <c r="AZ279" s="1311"/>
      <c r="BA279" s="1311"/>
      <c r="BB279" s="1311"/>
      <c r="BC279" s="1311"/>
      <c r="BD279" s="1312"/>
      <c r="BE279" s="1673"/>
      <c r="BF279" s="1423"/>
      <c r="BG279" s="423"/>
      <c r="BH279" s="423"/>
      <c r="BI279" s="423"/>
      <c r="BJ279" s="423"/>
      <c r="BK279" s="423"/>
      <c r="BL279" s="423"/>
      <c r="BM279" s="423"/>
      <c r="BN279" s="423"/>
      <c r="BO279" s="423"/>
      <c r="BP279" s="423"/>
      <c r="BR279" s="1673"/>
      <c r="BS279" s="1423"/>
      <c r="BT279" s="423"/>
      <c r="BU279" s="423"/>
      <c r="BV279" s="423"/>
      <c r="BW279" s="423"/>
      <c r="BX279" s="423"/>
      <c r="BY279" s="423"/>
      <c r="BZ279" s="423"/>
      <c r="CA279" s="423"/>
      <c r="CB279" s="423"/>
      <c r="CC279" s="423"/>
      <c r="CE279" s="1673"/>
      <c r="CF279" s="746"/>
      <c r="CG279" s="423"/>
      <c r="CH279" s="423"/>
      <c r="CI279" s="423"/>
      <c r="CJ279" s="423"/>
      <c r="CK279" s="423"/>
      <c r="CL279" s="423"/>
      <c r="CM279" s="423"/>
      <c r="CN279" s="423"/>
      <c r="CO279" s="423"/>
      <c r="CP279" s="423"/>
    </row>
    <row r="280" spans="1:95">
      <c r="E280" s="270"/>
      <c r="F280" s="270"/>
      <c r="R280" s="371"/>
      <c r="S280" s="270"/>
      <c r="AE280" s="128"/>
      <c r="AF280" s="685"/>
      <c r="AG280" s="128"/>
      <c r="AR280" s="128"/>
      <c r="AS280" s="1674"/>
      <c r="AT280" s="128"/>
      <c r="BE280" s="1690"/>
      <c r="BF280" s="1673"/>
      <c r="BG280" s="1424"/>
      <c r="BH280" s="1424"/>
      <c r="BI280" s="423"/>
      <c r="BJ280" s="423"/>
      <c r="BK280" s="423"/>
      <c r="BL280" s="423"/>
      <c r="BM280" s="423"/>
      <c r="BN280" s="423"/>
      <c r="BO280" s="423"/>
      <c r="BP280" s="423"/>
      <c r="BR280" s="1690"/>
      <c r="BS280" s="1673"/>
      <c r="BT280" s="1424"/>
      <c r="BU280" s="1424"/>
      <c r="BV280" s="423"/>
      <c r="BW280" s="423"/>
      <c r="BX280" s="423"/>
      <c r="BY280" s="423"/>
      <c r="BZ280" s="423"/>
      <c r="CA280" s="423"/>
      <c r="CB280" s="423"/>
      <c r="CC280" s="423"/>
      <c r="CE280" s="1690"/>
      <c r="CF280" s="746"/>
      <c r="CG280" s="1424"/>
      <c r="CH280" s="1424"/>
      <c r="CI280" s="423"/>
      <c r="CJ280" s="423"/>
      <c r="CK280" s="423"/>
      <c r="CL280" s="423"/>
      <c r="CM280" s="423"/>
      <c r="CN280" s="423"/>
      <c r="CO280" s="423"/>
      <c r="CP280" s="423"/>
    </row>
    <row r="281" spans="1:95" ht="21">
      <c r="B281" s="11" t="s">
        <v>181</v>
      </c>
      <c r="E281" s="371"/>
      <c r="F281" s="270"/>
      <c r="R281" s="371"/>
      <c r="S281" s="270"/>
      <c r="AE281" s="128"/>
      <c r="AF281" s="270"/>
      <c r="AR281" s="128"/>
      <c r="AS281" s="1674"/>
      <c r="AT281" s="1674"/>
      <c r="AU281" s="1674"/>
      <c r="AV281" s="1674"/>
      <c r="AW281" s="1674"/>
      <c r="AX281" s="1674"/>
      <c r="AY281" s="1674"/>
      <c r="AZ281" s="1674"/>
      <c r="BA281" s="1674"/>
      <c r="BB281" s="1674"/>
      <c r="BC281" s="1674"/>
      <c r="BD281" s="1674"/>
      <c r="BE281" s="746"/>
      <c r="BF281" s="1676"/>
      <c r="BG281" s="1676"/>
      <c r="BH281" s="1676"/>
      <c r="BI281" s="1676"/>
      <c r="BJ281" s="1676"/>
      <c r="BK281" s="1676"/>
      <c r="BL281" s="1676"/>
      <c r="BM281" s="1676"/>
      <c r="BN281" s="1676"/>
      <c r="BO281" s="1676"/>
      <c r="BP281" s="1676"/>
      <c r="BQ281" s="1676"/>
      <c r="BR281" s="746"/>
      <c r="BS281" s="1676"/>
      <c r="BT281" s="1676"/>
      <c r="BU281" s="1676"/>
      <c r="BV281" s="1676"/>
      <c r="BW281" s="1676"/>
      <c r="BX281" s="1676"/>
      <c r="BY281" s="1676"/>
      <c r="BZ281" s="1676"/>
      <c r="CA281" s="1676"/>
      <c r="CB281" s="1676"/>
      <c r="CC281" s="1676"/>
      <c r="CD281" s="1676"/>
      <c r="CE281" s="746"/>
      <c r="CF281" s="1676"/>
      <c r="CG281" s="1676"/>
      <c r="CH281" s="1676"/>
      <c r="CI281" s="1676"/>
      <c r="CJ281" s="1676"/>
      <c r="CK281" s="1676"/>
      <c r="CL281" s="1676"/>
      <c r="CM281" s="1676"/>
      <c r="CN281" s="1676"/>
      <c r="CO281" s="1676"/>
      <c r="CP281" s="1676"/>
      <c r="CQ281" s="1676"/>
    </row>
    <row r="282" spans="1:95" s="430" customFormat="1" ht="16.5" customHeight="1">
      <c r="A282" s="1911"/>
      <c r="B282" s="3336" t="s">
        <v>176</v>
      </c>
      <c r="C282" s="3331"/>
      <c r="D282" s="86" t="s">
        <v>177</v>
      </c>
      <c r="E282" s="386">
        <f>SUM(F282:Q282)</f>
        <v>19775.606935</v>
      </c>
      <c r="F282" s="385">
        <v>992.55163800000003</v>
      </c>
      <c r="G282" s="385">
        <v>907.36839399999997</v>
      </c>
      <c r="H282" s="385">
        <v>1008.540397</v>
      </c>
      <c r="I282" s="385">
        <v>1187.8642420000001</v>
      </c>
      <c r="J282" s="385">
        <v>1466.1984</v>
      </c>
      <c r="K282" s="385">
        <v>1422.3798389999999</v>
      </c>
      <c r="L282" s="385">
        <v>2068.8051329999998</v>
      </c>
      <c r="M282" s="385">
        <v>1436.5051040000001</v>
      </c>
      <c r="N282" s="385">
        <v>1128.7012</v>
      </c>
      <c r="O282" s="385">
        <v>2319.567231</v>
      </c>
      <c r="P282" s="385">
        <v>4057.01082</v>
      </c>
      <c r="Q282" s="385">
        <v>1780.1145369999999</v>
      </c>
      <c r="R282" s="386">
        <f>SUM(S282:AD282)</f>
        <v>26739.311491</v>
      </c>
      <c r="S282" s="385">
        <f t="shared" ref="S282:AD282" si="1278">SUM(S283:S285)</f>
        <v>1725.4342160000001</v>
      </c>
      <c r="T282" s="385">
        <f t="shared" si="1278"/>
        <v>2200.7861339999999</v>
      </c>
      <c r="U282" s="385">
        <f t="shared" si="1278"/>
        <v>1987.5192959999999</v>
      </c>
      <c r="V282" s="385">
        <f t="shared" si="1278"/>
        <v>1658.053971</v>
      </c>
      <c r="W282" s="385">
        <f t="shared" si="1278"/>
        <v>2379.6793259999999</v>
      </c>
      <c r="X282" s="385">
        <f t="shared" si="1278"/>
        <v>2060.4544089999999</v>
      </c>
      <c r="Y282" s="385">
        <f t="shared" si="1278"/>
        <v>1953.910034</v>
      </c>
      <c r="Z282" s="385">
        <f t="shared" si="1278"/>
        <v>1580.562443</v>
      </c>
      <c r="AA282" s="385">
        <f t="shared" si="1278"/>
        <v>2367.5597469999998</v>
      </c>
      <c r="AB282" s="385">
        <f t="shared" si="1278"/>
        <v>2342.3307399999999</v>
      </c>
      <c r="AC282" s="385">
        <f t="shared" si="1278"/>
        <v>2292.4248619999998</v>
      </c>
      <c r="AD282" s="385">
        <f t="shared" si="1278"/>
        <v>4190.596313</v>
      </c>
      <c r="AE282" s="386">
        <f>SUM(AF282:AQ282)</f>
        <v>39025.756007999997</v>
      </c>
      <c r="AF282" s="385">
        <f t="shared" ref="AF282:AM282" si="1279">SUM(AF283:AF285)</f>
        <v>950.9925629999999</v>
      </c>
      <c r="AG282" s="385">
        <f t="shared" si="1279"/>
        <v>2719.1555739999999</v>
      </c>
      <c r="AH282" s="385">
        <f t="shared" si="1279"/>
        <v>3408.1603019999998</v>
      </c>
      <c r="AI282" s="385">
        <f t="shared" si="1279"/>
        <v>2843.7596570000001</v>
      </c>
      <c r="AJ282" s="385">
        <f t="shared" si="1279"/>
        <v>2826.8426020000002</v>
      </c>
      <c r="AK282" s="385">
        <f t="shared" si="1279"/>
        <v>2925.5939309999999</v>
      </c>
      <c r="AL282" s="385">
        <f t="shared" si="1279"/>
        <v>2968.5657319999996</v>
      </c>
      <c r="AM282" s="385">
        <f t="shared" si="1279"/>
        <v>2986.14941</v>
      </c>
      <c r="AN282" s="385">
        <f t="shared" ref="AN282:AQ282" si="1280">SUM(AN283:AN285)</f>
        <v>3940.2311479999998</v>
      </c>
      <c r="AO282" s="385">
        <f t="shared" si="1280"/>
        <v>2627.4667890000001</v>
      </c>
      <c r="AP282" s="385">
        <f t="shared" si="1280"/>
        <v>1930.755273</v>
      </c>
      <c r="AQ282" s="385">
        <f t="shared" si="1280"/>
        <v>8898.0830270000006</v>
      </c>
      <c r="AR282" s="386">
        <f>SUM(AS282:BD282)</f>
        <v>32305.885359999993</v>
      </c>
      <c r="AS282" s="978">
        <f t="shared" ref="AS282:BD282" si="1281">SUM(AS283:AS285)</f>
        <v>684.52378599999997</v>
      </c>
      <c r="AT282" s="928">
        <f t="shared" si="1281"/>
        <v>2521.592564</v>
      </c>
      <c r="AU282" s="928">
        <f t="shared" si="1281"/>
        <v>2332.9441510000001</v>
      </c>
      <c r="AV282" s="928">
        <f t="shared" si="1281"/>
        <v>1847.3232400000002</v>
      </c>
      <c r="AW282" s="928">
        <f t="shared" si="1281"/>
        <v>2126.1549580000001</v>
      </c>
      <c r="AX282" s="928">
        <f t="shared" si="1281"/>
        <v>3651.0203889999998</v>
      </c>
      <c r="AY282" s="928">
        <f t="shared" si="1281"/>
        <v>3186.5210059999999</v>
      </c>
      <c r="AZ282" s="928">
        <f t="shared" si="1281"/>
        <v>2814.6493569999998</v>
      </c>
      <c r="BA282" s="928">
        <f t="shared" si="1281"/>
        <v>4828.4568380000001</v>
      </c>
      <c r="BB282" s="928">
        <f t="shared" si="1281"/>
        <v>3655.4267909999999</v>
      </c>
      <c r="BC282" s="928">
        <f t="shared" si="1281"/>
        <v>2723.0965200000001</v>
      </c>
      <c r="BD282" s="929">
        <f t="shared" si="1281"/>
        <v>1934.1757600000001</v>
      </c>
      <c r="BE282" s="386">
        <f>SUM(BF282:BQ282)</f>
        <v>16745.850039000001</v>
      </c>
      <c r="BF282" s="978">
        <f t="shared" ref="BF282:BQ282" si="1282">SUM(BF283:BF285)</f>
        <v>1536.675821</v>
      </c>
      <c r="BG282" s="928">
        <f t="shared" si="1282"/>
        <v>820.50924599999996</v>
      </c>
      <c r="BH282" s="928">
        <f t="shared" si="1282"/>
        <v>1104.247122</v>
      </c>
      <c r="BI282" s="928">
        <f t="shared" si="1282"/>
        <v>990.16138599999999</v>
      </c>
      <c r="BJ282" s="928">
        <f t="shared" si="1282"/>
        <v>928.17296899999997</v>
      </c>
      <c r="BK282" s="928">
        <f t="shared" si="1282"/>
        <v>685.54461900000001</v>
      </c>
      <c r="BL282" s="928">
        <f t="shared" si="1282"/>
        <v>1789.258636</v>
      </c>
      <c r="BM282" s="928">
        <f t="shared" si="1282"/>
        <v>1087.81447</v>
      </c>
      <c r="BN282" s="928">
        <f t="shared" si="1282"/>
        <v>1229.5307680000001</v>
      </c>
      <c r="BO282" s="928">
        <f t="shared" si="1282"/>
        <v>3529.5936369999999</v>
      </c>
      <c r="BP282" s="928">
        <f t="shared" si="1282"/>
        <v>1659.4001519999999</v>
      </c>
      <c r="BQ282" s="1766">
        <f t="shared" si="1282"/>
        <v>1384.9412130000001</v>
      </c>
      <c r="BR282" s="386">
        <f>SUM(BS282:CD282)</f>
        <v>15427.885715</v>
      </c>
      <c r="BS282" s="978">
        <f>SUM(BS283:BS285)</f>
        <v>609.35523000000001</v>
      </c>
      <c r="BT282" s="928">
        <f t="shared" ref="BT282:CD282" si="1283">SUM(BT283:BT285)</f>
        <v>1030.406626</v>
      </c>
      <c r="BU282" s="928">
        <f t="shared" si="1283"/>
        <v>907.80226300000004</v>
      </c>
      <c r="BV282" s="928">
        <f t="shared" si="1283"/>
        <v>765.68158200000005</v>
      </c>
      <c r="BW282" s="928">
        <f t="shared" si="1283"/>
        <v>1584.603599</v>
      </c>
      <c r="BX282" s="928">
        <f t="shared" si="1283"/>
        <v>1587.893341</v>
      </c>
      <c r="BY282" s="928">
        <f t="shared" si="1283"/>
        <v>746.60656100000006</v>
      </c>
      <c r="BZ282" s="928">
        <f t="shared" si="1283"/>
        <v>535.27086899999995</v>
      </c>
      <c r="CA282" s="928">
        <f t="shared" si="1283"/>
        <v>1743.191703</v>
      </c>
      <c r="CB282" s="928">
        <f t="shared" si="1283"/>
        <v>394.16184299999998</v>
      </c>
      <c r="CC282" s="928">
        <f t="shared" si="1283"/>
        <v>3778.4167940000002</v>
      </c>
      <c r="CD282" s="1766">
        <f t="shared" si="1283"/>
        <v>1744.495304</v>
      </c>
      <c r="CE282" s="386">
        <f>SUM(CF282:CQ282)</f>
        <v>16897.313890955484</v>
      </c>
      <c r="CF282" s="978">
        <f t="shared" ref="CF282:CQ282" si="1284">SUM(CF283:CF285)</f>
        <v>1224.3714230023452</v>
      </c>
      <c r="CG282" s="928">
        <f t="shared" si="1284"/>
        <v>952.34434475624539</v>
      </c>
      <c r="CH282" s="928">
        <f t="shared" si="1284"/>
        <v>1376.5923815343394</v>
      </c>
      <c r="CI282" s="928">
        <f t="shared" si="1284"/>
        <v>1489.7275392768115</v>
      </c>
      <c r="CJ282" s="928">
        <f t="shared" si="1284"/>
        <v>1509.5893966997394</v>
      </c>
      <c r="CK282" s="928">
        <f t="shared" si="1284"/>
        <v>1516.2354346383624</v>
      </c>
      <c r="CL282" s="928">
        <f t="shared" si="1284"/>
        <v>1546.2511240751971</v>
      </c>
      <c r="CM282" s="928">
        <f t="shared" si="1284"/>
        <v>1416.2354346383624</v>
      </c>
      <c r="CN282" s="928">
        <f t="shared" si="1284"/>
        <v>1660.7090369413759</v>
      </c>
      <c r="CO282" s="928">
        <f t="shared" si="1284"/>
        <v>1748.0108751060056</v>
      </c>
      <c r="CP282" s="928">
        <f t="shared" si="1284"/>
        <v>1514.8760177872803</v>
      </c>
      <c r="CQ282" s="1766">
        <f t="shared" si="1284"/>
        <v>942.37088249941951</v>
      </c>
    </row>
    <row r="283" spans="1:95" s="430" customFormat="1" ht="16.5" customHeight="1">
      <c r="A283" s="1911"/>
      <c r="B283" s="3332"/>
      <c r="C283" s="3333"/>
      <c r="D283" s="3019" t="s">
        <v>474</v>
      </c>
      <c r="E283" s="387">
        <f>SUM(F283:Q283)</f>
        <v>0</v>
      </c>
      <c r="F283" s="570">
        <v>0</v>
      </c>
      <c r="G283" s="591">
        <v>0</v>
      </c>
      <c r="H283" s="591">
        <v>0</v>
      </c>
      <c r="I283" s="591">
        <v>0</v>
      </c>
      <c r="J283" s="591">
        <v>0</v>
      </c>
      <c r="K283" s="591">
        <v>0</v>
      </c>
      <c r="L283" s="591">
        <v>0</v>
      </c>
      <c r="M283" s="591">
        <v>0</v>
      </c>
      <c r="N283" s="591">
        <v>0</v>
      </c>
      <c r="O283" s="591">
        <v>0</v>
      </c>
      <c r="P283" s="591">
        <v>0</v>
      </c>
      <c r="Q283" s="669"/>
      <c r="R283" s="387">
        <f>SUM(S283:AD283)</f>
        <v>4.337631</v>
      </c>
      <c r="S283" s="570">
        <v>2.4086310000000002</v>
      </c>
      <c r="T283" s="591"/>
      <c r="U283" s="591"/>
      <c r="V283" s="591">
        <v>1.6080000000000001</v>
      </c>
      <c r="W283" s="591"/>
      <c r="X283" s="591"/>
      <c r="Y283" s="591"/>
      <c r="Z283" s="591"/>
      <c r="AA283" s="591"/>
      <c r="AB283" s="591">
        <v>0.32100000000000001</v>
      </c>
      <c r="AC283" s="591"/>
      <c r="AD283" s="591"/>
      <c r="AE283" s="387">
        <f>SUM(AF283:AQ283)</f>
        <v>4.1505450000000002</v>
      </c>
      <c r="AF283" s="591">
        <v>0.14599999999999999</v>
      </c>
      <c r="AG283" s="591"/>
      <c r="AH283" s="591"/>
      <c r="AI283" s="591">
        <v>1.8129999999999999</v>
      </c>
      <c r="AJ283" s="591"/>
      <c r="AK283" s="591"/>
      <c r="AL283" s="591">
        <v>0.58599999999999997</v>
      </c>
      <c r="AM283" s="591"/>
      <c r="AN283" s="591"/>
      <c r="AO283" s="591">
        <v>0</v>
      </c>
      <c r="AP283" s="591">
        <v>1.605545</v>
      </c>
      <c r="AQ283" s="669">
        <v>0</v>
      </c>
      <c r="AR283" s="387">
        <f>SUM(AS283:BD283)</f>
        <v>0.26500000000000001</v>
      </c>
      <c r="AS283" s="1532"/>
      <c r="AT283" s="1533">
        <v>0</v>
      </c>
      <c r="AU283" s="1533">
        <v>0</v>
      </c>
      <c r="AV283" s="1534">
        <v>0.26500000000000001</v>
      </c>
      <c r="AW283" s="1533">
        <v>0</v>
      </c>
      <c r="AX283" s="1533">
        <v>0</v>
      </c>
      <c r="AY283" s="1533">
        <v>0</v>
      </c>
      <c r="AZ283" s="1533">
        <v>0</v>
      </c>
      <c r="BA283" s="1533">
        <v>0</v>
      </c>
      <c r="BB283" s="1533">
        <v>0</v>
      </c>
      <c r="BC283" s="1533">
        <v>0</v>
      </c>
      <c r="BD283" s="1535">
        <v>0</v>
      </c>
      <c r="BE283" s="387">
        <f>SUM(BF283:BQ283)</f>
        <v>0</v>
      </c>
      <c r="BF283" s="1850">
        <v>0</v>
      </c>
      <c r="BG283" s="1851">
        <v>0</v>
      </c>
      <c r="BH283" s="1851">
        <v>0</v>
      </c>
      <c r="BI283" s="1851">
        <v>0</v>
      </c>
      <c r="BJ283" s="1851">
        <v>0</v>
      </c>
      <c r="BK283" s="1851">
        <v>0</v>
      </c>
      <c r="BL283" s="1851">
        <v>0</v>
      </c>
      <c r="BM283" s="1851">
        <v>0</v>
      </c>
      <c r="BN283" s="1851">
        <v>0</v>
      </c>
      <c r="BO283" s="1851">
        <v>0</v>
      </c>
      <c r="BP283" s="1851">
        <v>0</v>
      </c>
      <c r="BQ283" s="1852">
        <v>0</v>
      </c>
      <c r="BR283" s="387">
        <f>SUM(BS283:CD283)</f>
        <v>0</v>
      </c>
      <c r="BS283" s="1850">
        <v>0</v>
      </c>
      <c r="BT283" s="1851">
        <v>0</v>
      </c>
      <c r="BU283" s="1851">
        <v>0</v>
      </c>
      <c r="BV283" s="1851">
        <v>0</v>
      </c>
      <c r="BW283" s="1851">
        <v>0</v>
      </c>
      <c r="BX283" s="1851">
        <v>0</v>
      </c>
      <c r="BY283" s="1851">
        <v>0</v>
      </c>
      <c r="BZ283" s="1851">
        <v>0</v>
      </c>
      <c r="CA283" s="1851">
        <v>0</v>
      </c>
      <c r="CB283" s="1851">
        <v>0</v>
      </c>
      <c r="CC283" s="1851">
        <v>0</v>
      </c>
      <c r="CD283" s="1852">
        <v>0</v>
      </c>
      <c r="CE283" s="387">
        <f>SUM(CF283:CQ283)</f>
        <v>0</v>
      </c>
      <c r="CF283" s="1890">
        <v>0</v>
      </c>
      <c r="CG283" s="1891">
        <v>0</v>
      </c>
      <c r="CH283" s="1891">
        <v>0</v>
      </c>
      <c r="CI283" s="1891">
        <v>0</v>
      </c>
      <c r="CJ283" s="1891">
        <v>0</v>
      </c>
      <c r="CK283" s="1891">
        <v>0</v>
      </c>
      <c r="CL283" s="1891">
        <v>0</v>
      </c>
      <c r="CM283" s="1891">
        <v>0</v>
      </c>
      <c r="CN283" s="1891">
        <v>0</v>
      </c>
      <c r="CO283" s="1891">
        <v>0</v>
      </c>
      <c r="CP283" s="1891">
        <v>0</v>
      </c>
      <c r="CQ283" s="1892">
        <v>0</v>
      </c>
    </row>
    <row r="284" spans="1:95" s="430" customFormat="1" ht="16.5" customHeight="1">
      <c r="A284" s="1911"/>
      <c r="B284" s="3332"/>
      <c r="C284" s="3333"/>
      <c r="D284" s="3151" t="s">
        <v>523</v>
      </c>
      <c r="E284" s="387">
        <f>SUM(F284:Q284)</f>
        <v>19775.606935</v>
      </c>
      <c r="F284" s="571">
        <v>992.55163800000003</v>
      </c>
      <c r="G284" s="590">
        <v>907.36839399999997</v>
      </c>
      <c r="H284" s="590">
        <v>1008.540397</v>
      </c>
      <c r="I284" s="590">
        <v>1187.8642420000001</v>
      </c>
      <c r="J284" s="590">
        <v>1466.1984</v>
      </c>
      <c r="K284" s="590">
        <v>1422.3798389999999</v>
      </c>
      <c r="L284" s="590">
        <v>2068.8051329999998</v>
      </c>
      <c r="M284" s="590">
        <v>1436.5051040000001</v>
      </c>
      <c r="N284" s="590">
        <v>1128.7012</v>
      </c>
      <c r="O284" s="590">
        <v>2319.567231</v>
      </c>
      <c r="P284" s="590">
        <v>4057.01082</v>
      </c>
      <c r="Q284" s="590">
        <v>1780.1145369999999</v>
      </c>
      <c r="R284" s="387">
        <f>SUM(S284:AD284)</f>
        <v>26734.973860000006</v>
      </c>
      <c r="S284" s="590">
        <v>1723.0255850000001</v>
      </c>
      <c r="T284" s="590">
        <v>2200.7861339999999</v>
      </c>
      <c r="U284" s="590">
        <v>1987.5192959999999</v>
      </c>
      <c r="V284" s="590">
        <v>1656.4459710000001</v>
      </c>
      <c r="W284" s="590">
        <v>2379.6793259999999</v>
      </c>
      <c r="X284" s="590">
        <v>2060.4544089999999</v>
      </c>
      <c r="Y284" s="590">
        <v>1953.910034</v>
      </c>
      <c r="Z284" s="590">
        <v>1580.562443</v>
      </c>
      <c r="AA284" s="590">
        <v>2367.5597469999998</v>
      </c>
      <c r="AB284" s="590">
        <v>2342.00974</v>
      </c>
      <c r="AC284" s="590">
        <v>2292.4248619999998</v>
      </c>
      <c r="AD284" s="590">
        <v>4190.596313</v>
      </c>
      <c r="AE284" s="387">
        <f>SUM(AF284:AQ284)</f>
        <v>39021.605463</v>
      </c>
      <c r="AF284" s="590">
        <v>950.84656299999995</v>
      </c>
      <c r="AG284" s="590">
        <v>2719.1555739999999</v>
      </c>
      <c r="AH284" s="590">
        <v>3408.1603019999998</v>
      </c>
      <c r="AI284" s="590">
        <v>2841.946657</v>
      </c>
      <c r="AJ284" s="590">
        <v>2826.8426020000002</v>
      </c>
      <c r="AK284" s="590">
        <v>2925.5939309999999</v>
      </c>
      <c r="AL284" s="590">
        <v>2967.9797319999998</v>
      </c>
      <c r="AM284" s="590">
        <v>2986.14941</v>
      </c>
      <c r="AN284" s="590">
        <v>3940.2311479999998</v>
      </c>
      <c r="AO284" s="590">
        <v>2627.4667890000001</v>
      </c>
      <c r="AP284" s="590">
        <v>1929.1497280000001</v>
      </c>
      <c r="AQ284" s="790">
        <v>8898.0830270000006</v>
      </c>
      <c r="AR284" s="387">
        <f>SUM(AS284:BD284)</f>
        <v>32305.620359999994</v>
      </c>
      <c r="AS284" s="1536">
        <v>684.52378599999997</v>
      </c>
      <c r="AT284" s="1537">
        <v>2521.592564</v>
      </c>
      <c r="AU284" s="1537">
        <v>2332.9441510000001</v>
      </c>
      <c r="AV284" s="1537">
        <v>1847.0582400000001</v>
      </c>
      <c r="AW284" s="1537">
        <v>2126.1549580000001</v>
      </c>
      <c r="AX284" s="1537">
        <v>3651.0203889999998</v>
      </c>
      <c r="AY284" s="1537">
        <v>3186.5210059999999</v>
      </c>
      <c r="AZ284" s="1537">
        <v>2814.6493569999998</v>
      </c>
      <c r="BA284" s="1537">
        <v>4828.4568380000001</v>
      </c>
      <c r="BB284" s="1537">
        <v>3655.4267909999999</v>
      </c>
      <c r="BC284" s="1537">
        <v>2723.0965200000001</v>
      </c>
      <c r="BD284" s="1538">
        <v>1934.1757600000001</v>
      </c>
      <c r="BE284" s="387">
        <f>SUM(BF284:BQ284)</f>
        <v>16745.850039000001</v>
      </c>
      <c r="BF284" s="1853">
        <v>1536.675821</v>
      </c>
      <c r="BG284" s="1854">
        <v>820.50924599999996</v>
      </c>
      <c r="BH284" s="1854">
        <v>1104.247122</v>
      </c>
      <c r="BI284" s="1854">
        <v>990.16138599999999</v>
      </c>
      <c r="BJ284" s="1854">
        <v>928.17296899999997</v>
      </c>
      <c r="BK284" s="1854">
        <v>685.54461900000001</v>
      </c>
      <c r="BL284" s="1854">
        <v>1789.258636</v>
      </c>
      <c r="BM284" s="1854">
        <v>1087.81447</v>
      </c>
      <c r="BN284" s="1854">
        <v>1229.5307680000001</v>
      </c>
      <c r="BO284" s="1854">
        <v>3529.5936369999999</v>
      </c>
      <c r="BP284" s="1854">
        <v>1659.4001519999999</v>
      </c>
      <c r="BQ284" s="1855">
        <v>1384.9412130000001</v>
      </c>
      <c r="BR284" s="387">
        <f>SUM(BS284:CD284)</f>
        <v>15427.885715</v>
      </c>
      <c r="BS284" s="1853">
        <v>609.35523000000001</v>
      </c>
      <c r="BT284" s="1854">
        <v>1030.406626</v>
      </c>
      <c r="BU284" s="1854">
        <v>907.80226300000004</v>
      </c>
      <c r="BV284" s="1854">
        <v>765.68158200000005</v>
      </c>
      <c r="BW284" s="1854">
        <v>1584.603599</v>
      </c>
      <c r="BX284" s="1854">
        <v>1587.893341</v>
      </c>
      <c r="BY284" s="1854">
        <v>746.60656100000006</v>
      </c>
      <c r="BZ284" s="1854">
        <v>535.27086899999995</v>
      </c>
      <c r="CA284" s="1854">
        <v>1743.191703</v>
      </c>
      <c r="CB284" s="1854">
        <v>394.16184299999998</v>
      </c>
      <c r="CC284" s="1854">
        <v>3778.4167940000002</v>
      </c>
      <c r="CD284" s="1855">
        <v>1744.495304</v>
      </c>
      <c r="CE284" s="387">
        <f>SUM(CF284:CQ284)</f>
        <v>16897.313890955484</v>
      </c>
      <c r="CF284" s="1889">
        <f t="shared" ref="CF284:CP284" si="1285">(SUM(CF16:CF17)+SUM(CF20:CF21))*CF286/1000000</f>
        <v>1224.3714230023452</v>
      </c>
      <c r="CG284" s="2486">
        <f>(SUM(CG16:CG17)+SUM(CG20:CG21))*CG286/1000000+100</f>
        <v>952.34434475624539</v>
      </c>
      <c r="CH284" s="2486">
        <f t="shared" si="1285"/>
        <v>1376.5923815343394</v>
      </c>
      <c r="CI284" s="2486">
        <f t="shared" si="1285"/>
        <v>1489.7275392768115</v>
      </c>
      <c r="CJ284" s="2486">
        <f t="shared" si="1285"/>
        <v>1509.5893966997394</v>
      </c>
      <c r="CK284" s="2486">
        <f t="shared" si="1285"/>
        <v>1516.2354346383624</v>
      </c>
      <c r="CL284" s="2486">
        <f t="shared" si="1285"/>
        <v>1546.2511240751971</v>
      </c>
      <c r="CM284" s="2486">
        <f>(SUM(CM16:CM17)+SUM(CM20:CM21))*CM286/1000000-100</f>
        <v>1416.2354346383624</v>
      </c>
      <c r="CN284" s="2486">
        <f t="shared" si="1285"/>
        <v>1660.7090369413759</v>
      </c>
      <c r="CO284" s="2486">
        <f t="shared" si="1285"/>
        <v>1748.0108751060056</v>
      </c>
      <c r="CP284" s="2486">
        <f t="shared" si="1285"/>
        <v>1514.8760177872803</v>
      </c>
      <c r="CQ284" s="2487">
        <f>(SUM(CQ16:CQ17)+SUM(CQ20:CQ21))*CQ286/1000000+152.3661389724</f>
        <v>942.37088249941951</v>
      </c>
    </row>
    <row r="285" spans="1:95" s="430" customFormat="1" ht="16.5" customHeight="1">
      <c r="A285" s="1911"/>
      <c r="B285" s="3332"/>
      <c r="C285" s="3333"/>
      <c r="D285" s="3151" t="s">
        <v>179</v>
      </c>
      <c r="E285" s="387">
        <f>SUM(F285:Q285)</f>
        <v>0</v>
      </c>
      <c r="F285" s="571">
        <v>0</v>
      </c>
      <c r="G285" s="590">
        <v>0</v>
      </c>
      <c r="H285" s="590">
        <v>0</v>
      </c>
      <c r="I285" s="590">
        <v>0</v>
      </c>
      <c r="J285" s="590">
        <v>0</v>
      </c>
      <c r="K285" s="590">
        <v>0</v>
      </c>
      <c r="L285" s="590">
        <v>0</v>
      </c>
      <c r="M285" s="590">
        <v>0</v>
      </c>
      <c r="N285" s="590">
        <v>0</v>
      </c>
      <c r="O285" s="590">
        <v>0</v>
      </c>
      <c r="P285" s="590">
        <v>0</v>
      </c>
      <c r="Q285" s="590"/>
      <c r="R285" s="387">
        <f>SUM(S285:AD285)</f>
        <v>0</v>
      </c>
      <c r="S285" s="571">
        <v>0</v>
      </c>
      <c r="T285" s="590"/>
      <c r="U285" s="590"/>
      <c r="V285" s="590"/>
      <c r="W285" s="590"/>
      <c r="X285" s="590"/>
      <c r="Y285" s="590"/>
      <c r="Z285" s="590"/>
      <c r="AA285" s="590"/>
      <c r="AB285" s="590"/>
      <c r="AC285" s="590"/>
      <c r="AD285" s="590"/>
      <c r="AE285" s="387">
        <f>SUM(AF285:AQ285)</f>
        <v>0</v>
      </c>
      <c r="AF285" s="590"/>
      <c r="AG285" s="590"/>
      <c r="AH285" s="590"/>
      <c r="AI285" s="590"/>
      <c r="AJ285" s="590"/>
      <c r="AK285" s="590"/>
      <c r="AL285" s="590"/>
      <c r="AM285" s="590"/>
      <c r="AN285" s="590"/>
      <c r="AO285" s="590"/>
      <c r="AP285" s="590"/>
      <c r="AQ285" s="790"/>
      <c r="AR285" s="387">
        <f>SUM(AS285:BD285)</f>
        <v>0</v>
      </c>
      <c r="AS285" s="1536">
        <v>0</v>
      </c>
      <c r="AT285" s="1537">
        <v>0</v>
      </c>
      <c r="AU285" s="1537">
        <v>0</v>
      </c>
      <c r="AV285" s="1537">
        <v>0</v>
      </c>
      <c r="AW285" s="1537">
        <v>0</v>
      </c>
      <c r="AX285" s="1537">
        <v>0</v>
      </c>
      <c r="AY285" s="1537">
        <v>0</v>
      </c>
      <c r="AZ285" s="1537">
        <v>0</v>
      </c>
      <c r="BA285" s="1537">
        <v>0</v>
      </c>
      <c r="BB285" s="1537">
        <v>0</v>
      </c>
      <c r="BC285" s="1537">
        <v>0</v>
      </c>
      <c r="BD285" s="1538">
        <v>0</v>
      </c>
      <c r="BE285" s="387">
        <f>SUM(BF285:BQ285)</f>
        <v>0</v>
      </c>
      <c r="BF285" s="1853">
        <v>0</v>
      </c>
      <c r="BG285" s="1854">
        <v>0</v>
      </c>
      <c r="BH285" s="1854">
        <v>0</v>
      </c>
      <c r="BI285" s="1854">
        <v>0</v>
      </c>
      <c r="BJ285" s="1854">
        <v>0</v>
      </c>
      <c r="BK285" s="1854">
        <v>0</v>
      </c>
      <c r="BL285" s="1854">
        <v>0</v>
      </c>
      <c r="BM285" s="1854">
        <v>0</v>
      </c>
      <c r="BN285" s="1854">
        <v>0</v>
      </c>
      <c r="BO285" s="1854">
        <v>0</v>
      </c>
      <c r="BP285" s="1854">
        <v>0</v>
      </c>
      <c r="BQ285" s="1855"/>
      <c r="BR285" s="387">
        <f>SUM(BS285:CD285)</f>
        <v>0</v>
      </c>
      <c r="BS285" s="1853">
        <v>0</v>
      </c>
      <c r="BT285" s="1854">
        <v>0</v>
      </c>
      <c r="BU285" s="1854">
        <v>0</v>
      </c>
      <c r="BV285" s="1854">
        <v>0</v>
      </c>
      <c r="BW285" s="1854">
        <v>0</v>
      </c>
      <c r="BX285" s="1854">
        <v>0</v>
      </c>
      <c r="BY285" s="1854">
        <v>0</v>
      </c>
      <c r="BZ285" s="1854">
        <v>0</v>
      </c>
      <c r="CA285" s="1854">
        <v>0</v>
      </c>
      <c r="CB285" s="1854">
        <v>0</v>
      </c>
      <c r="CC285" s="1854">
        <v>0</v>
      </c>
      <c r="CD285" s="1855">
        <v>0</v>
      </c>
      <c r="CE285" s="387">
        <f>SUM(CF285:CQ285)</f>
        <v>0</v>
      </c>
      <c r="CF285" s="1889">
        <v>0</v>
      </c>
      <c r="CG285" s="2486">
        <v>0</v>
      </c>
      <c r="CH285" s="2486">
        <v>0</v>
      </c>
      <c r="CI285" s="2486">
        <v>0</v>
      </c>
      <c r="CJ285" s="2486">
        <v>0</v>
      </c>
      <c r="CK285" s="2486">
        <v>0</v>
      </c>
      <c r="CL285" s="2486">
        <v>0</v>
      </c>
      <c r="CM285" s="2486">
        <v>0</v>
      </c>
      <c r="CN285" s="2486">
        <v>0</v>
      </c>
      <c r="CO285" s="2486">
        <v>0</v>
      </c>
      <c r="CP285" s="2486">
        <v>0</v>
      </c>
      <c r="CQ285" s="2487">
        <v>0</v>
      </c>
    </row>
    <row r="286" spans="1:95" s="430" customFormat="1" ht="31.5" customHeight="1">
      <c r="A286" s="1911"/>
      <c r="B286" s="3348" t="s">
        <v>180</v>
      </c>
      <c r="C286" s="3349"/>
      <c r="D286" s="73" t="s">
        <v>178</v>
      </c>
      <c r="E286" s="930">
        <f t="shared" ref="E286:AJ286" si="1286">E284*1000000/(E15+E16+E17+E20+E21+E14+E9)</f>
        <v>40256.671786384606</v>
      </c>
      <c r="F286" s="931">
        <f t="shared" si="1286"/>
        <v>24687.882747985273</v>
      </c>
      <c r="G286" s="931">
        <f t="shared" si="1286"/>
        <v>22413.566040066202</v>
      </c>
      <c r="H286" s="931">
        <f t="shared" si="1286"/>
        <v>25089.941960842851</v>
      </c>
      <c r="I286" s="931">
        <f t="shared" si="1286"/>
        <v>33904.105548578606</v>
      </c>
      <c r="J286" s="931">
        <f t="shared" si="1286"/>
        <v>31204.341626407306</v>
      </c>
      <c r="K286" s="931">
        <f t="shared" si="1286"/>
        <v>34430.185878195196</v>
      </c>
      <c r="L286" s="931">
        <f t="shared" si="1286"/>
        <v>52577.135635864586</v>
      </c>
      <c r="M286" s="931">
        <f t="shared" si="1286"/>
        <v>31008.615118939688</v>
      </c>
      <c r="N286" s="931">
        <f t="shared" si="1286"/>
        <v>31227.899513058877</v>
      </c>
      <c r="O286" s="931">
        <f t="shared" si="1286"/>
        <v>56977.824392041264</v>
      </c>
      <c r="P286" s="931">
        <f t="shared" si="1286"/>
        <v>90433.124247692918</v>
      </c>
      <c r="Q286" s="931">
        <f t="shared" si="1286"/>
        <v>44919.491710615963</v>
      </c>
      <c r="R286" s="930">
        <f t="shared" si="1286"/>
        <v>52679.855250946312</v>
      </c>
      <c r="S286" s="932">
        <f t="shared" si="1286"/>
        <v>41782.472113099568</v>
      </c>
      <c r="T286" s="1539">
        <f t="shared" si="1286"/>
        <v>56088.132269738519</v>
      </c>
      <c r="U286" s="1539">
        <f t="shared" si="1286"/>
        <v>48277.084602492163</v>
      </c>
      <c r="V286" s="1539">
        <f t="shared" si="1286"/>
        <v>41603.56576667085</v>
      </c>
      <c r="W286" s="1539">
        <f t="shared" si="1286"/>
        <v>60973.642666803324</v>
      </c>
      <c r="X286" s="1539">
        <f t="shared" si="1286"/>
        <v>51539.707063885136</v>
      </c>
      <c r="Y286" s="1539">
        <f t="shared" si="1286"/>
        <v>49514.965003421101</v>
      </c>
      <c r="Z286" s="1539">
        <f t="shared" si="1286"/>
        <v>35032.525278719775</v>
      </c>
      <c r="AA286" s="1539">
        <f t="shared" si="1286"/>
        <v>56664.586352974962</v>
      </c>
      <c r="AB286" s="1539">
        <f t="shared" si="1286"/>
        <v>45283.353119743231</v>
      </c>
      <c r="AC286" s="1539">
        <f t="shared" si="1286"/>
        <v>50738.692414953191</v>
      </c>
      <c r="AD286" s="1677">
        <f t="shared" si="1286"/>
        <v>95734.72946793685</v>
      </c>
      <c r="AE286" s="930">
        <f t="shared" si="1286"/>
        <v>76087.162161160872</v>
      </c>
      <c r="AF286" s="932">
        <f t="shared" si="1286"/>
        <v>23994.311168870496</v>
      </c>
      <c r="AG286" s="1539">
        <f t="shared" si="1286"/>
        <v>54547.845974844029</v>
      </c>
      <c r="AH286" s="1539">
        <f t="shared" si="1286"/>
        <v>73567.472575388005</v>
      </c>
      <c r="AI286" s="1539">
        <f t="shared" si="1286"/>
        <v>64487.103630587699</v>
      </c>
      <c r="AJ286" s="1539">
        <f t="shared" si="1286"/>
        <v>60381.97629015721</v>
      </c>
      <c r="AK286" s="1539">
        <f t="shared" ref="AK286:BR286" si="1287">AK284*1000000/(AK15+AK16+AK17+AK20+AK21+AK14+AK9)</f>
        <v>69071.534871092648</v>
      </c>
      <c r="AL286" s="1539">
        <f t="shared" si="1287"/>
        <v>73194.893388246317</v>
      </c>
      <c r="AM286" s="1539">
        <f t="shared" si="1287"/>
        <v>71803.1501875541</v>
      </c>
      <c r="AN286" s="1539">
        <f t="shared" si="1287"/>
        <v>107039.50308331748</v>
      </c>
      <c r="AO286" s="1539">
        <f t="shared" si="1287"/>
        <v>52410.970817043009</v>
      </c>
      <c r="AP286" s="1539">
        <f t="shared" si="1287"/>
        <v>55279.66439337498</v>
      </c>
      <c r="AQ286" s="1677">
        <f t="shared" si="1287"/>
        <v>223401.53218679386</v>
      </c>
      <c r="AR286" s="930">
        <f t="shared" si="1287"/>
        <v>74587.463082165836</v>
      </c>
      <c r="AS286" s="932">
        <f t="shared" si="1287"/>
        <v>19218.51521006423</v>
      </c>
      <c r="AT286" s="1539">
        <f t="shared" si="1287"/>
        <v>68488.705884122508</v>
      </c>
      <c r="AU286" s="1539">
        <f t="shared" si="1287"/>
        <v>77947.493427470836</v>
      </c>
      <c r="AV286" s="1539">
        <f t="shared" si="1287"/>
        <v>54115.025982593921</v>
      </c>
      <c r="AW286" s="1539">
        <f t="shared" si="1287"/>
        <v>67188.824901687622</v>
      </c>
      <c r="AX286" s="1539">
        <f t="shared" si="1287"/>
        <v>107965.23343382931</v>
      </c>
      <c r="AY286" s="1539">
        <f t="shared" si="1287"/>
        <v>92867.980817284668</v>
      </c>
      <c r="AZ286" s="1539">
        <f t="shared" si="1287"/>
        <v>64049.758257664333</v>
      </c>
      <c r="BA286" s="1539">
        <f t="shared" si="1287"/>
        <v>129773.39875900892</v>
      </c>
      <c r="BB286" s="1539">
        <f t="shared" si="1287"/>
        <v>67358.923759338955</v>
      </c>
      <c r="BC286" s="1539">
        <f t="shared" si="1287"/>
        <v>80669.187383598386</v>
      </c>
      <c r="BD286" s="1540">
        <f t="shared" si="1287"/>
        <v>69882.881163653656</v>
      </c>
      <c r="BE286" s="930">
        <f t="shared" si="1287"/>
        <v>40112.510633048441</v>
      </c>
      <c r="BF286" s="1856">
        <f t="shared" si="1287"/>
        <v>35996.997376373307</v>
      </c>
      <c r="BG286" s="1857">
        <f t="shared" si="1287"/>
        <v>28907.456524802707</v>
      </c>
      <c r="BH286" s="1857">
        <f t="shared" si="1287"/>
        <v>37311.94870755195</v>
      </c>
      <c r="BI286" s="1857">
        <f t="shared" si="1287"/>
        <v>32978.996336264325</v>
      </c>
      <c r="BJ286" s="1857">
        <f t="shared" si="1287"/>
        <v>27978.084973624718</v>
      </c>
      <c r="BK286" s="1857">
        <f t="shared" si="1287"/>
        <v>23929.094174316731</v>
      </c>
      <c r="BL286" s="1857">
        <f t="shared" si="1287"/>
        <v>45569.95303585982</v>
      </c>
      <c r="BM286" s="1857">
        <f t="shared" si="1287"/>
        <v>34738.917736475698</v>
      </c>
      <c r="BN286" s="1857">
        <f t="shared" si="1287"/>
        <v>26259.119834269484</v>
      </c>
      <c r="BO286" s="1857">
        <f t="shared" si="1287"/>
        <v>77864.408493271563</v>
      </c>
      <c r="BP286" s="1857">
        <f t="shared" si="1287"/>
        <v>52115.20216073616</v>
      </c>
      <c r="BQ286" s="1858">
        <f t="shared" si="1287"/>
        <v>45581.266883886259</v>
      </c>
      <c r="BR286" s="930">
        <f t="shared" si="1287"/>
        <v>29861.560630372383</v>
      </c>
      <c r="BS286" s="1856">
        <f>BS284*1000000/(BS16+BS17+BS20+BS21+BS9+BS14+BS15)</f>
        <v>21346.431373922791</v>
      </c>
      <c r="BT286" s="1857">
        <f t="shared" ref="BT286:CD286" si="1288">BT284*1000000/(BT16+BT17+BT20+BT21+BT9+BT14+BT15)</f>
        <v>21847.775289951867</v>
      </c>
      <c r="BU286" s="1857">
        <f t="shared" si="1288"/>
        <v>29835.417984027343</v>
      </c>
      <c r="BV286" s="1857">
        <f t="shared" si="1288"/>
        <v>18244.849095718066</v>
      </c>
      <c r="BW286" s="1857">
        <f t="shared" si="1288"/>
        <v>30648.787261614638</v>
      </c>
      <c r="BX286" s="1857">
        <f t="shared" si="1288"/>
        <v>36314.626103462469</v>
      </c>
      <c r="BY286" s="1857">
        <f t="shared" si="1288"/>
        <v>14231.378159429682</v>
      </c>
      <c r="BZ286" s="1857">
        <f t="shared" si="1288"/>
        <v>13517.623844638616</v>
      </c>
      <c r="CA286" s="1857">
        <f t="shared" si="1288"/>
        <v>30772.343295438499</v>
      </c>
      <c r="CB286" s="1857">
        <f t="shared" si="1288"/>
        <v>8685.039727657324</v>
      </c>
      <c r="CC286" s="1857">
        <f t="shared" si="1288"/>
        <v>96800.573719673092</v>
      </c>
      <c r="CD286" s="1857">
        <f t="shared" si="1288"/>
        <v>43622.197594458754</v>
      </c>
      <c r="CE286" s="930">
        <f>CE284*1000000/(CE15+CE16+CE17+CE20+CE21+CE14+CE9)</f>
        <v>31067.59360746184</v>
      </c>
      <c r="CF286" s="1893">
        <v>146646.90950183055</v>
      </c>
      <c r="CG286" s="1894">
        <v>146646.90950183055</v>
      </c>
      <c r="CH286" s="1894">
        <v>146646.90950183055</v>
      </c>
      <c r="CI286" s="1894">
        <v>146646.90950183055</v>
      </c>
      <c r="CJ286" s="1894">
        <v>146646.90950183055</v>
      </c>
      <c r="CK286" s="1894">
        <v>146646.90950183055</v>
      </c>
      <c r="CL286" s="1894">
        <v>146646.90950183055</v>
      </c>
      <c r="CM286" s="1894">
        <v>146646.90950183055</v>
      </c>
      <c r="CN286" s="1894">
        <v>146646.90950183055</v>
      </c>
      <c r="CO286" s="1894">
        <v>146646.90950183055</v>
      </c>
      <c r="CP286" s="1894">
        <v>146646.90950183055</v>
      </c>
      <c r="CQ286" s="3173">
        <v>146646.90950183099</v>
      </c>
    </row>
    <row r="287" spans="1:95" s="508" customFormat="1" ht="18" customHeight="1">
      <c r="A287" s="1911"/>
      <c r="B287" s="26"/>
      <c r="C287" s="26"/>
      <c r="D287" s="26"/>
      <c r="E287" s="126"/>
      <c r="F287" s="126"/>
      <c r="G287" s="126"/>
      <c r="H287" s="126"/>
      <c r="I287" s="126"/>
      <c r="J287" s="126"/>
      <c r="K287" s="126"/>
      <c r="L287" s="126"/>
      <c r="M287" s="126"/>
      <c r="N287" s="126"/>
      <c r="O287" s="126"/>
      <c r="P287" s="126"/>
      <c r="Q287" s="487"/>
      <c r="R287" s="126"/>
      <c r="S287" s="126"/>
      <c r="T287" s="126"/>
      <c r="U287" s="126"/>
      <c r="V287" s="126"/>
      <c r="W287" s="126"/>
      <c r="X287" s="126"/>
      <c r="Y287" s="126"/>
      <c r="Z287" s="126"/>
      <c r="AA287" s="126"/>
      <c r="AB287" s="126"/>
      <c r="AC287" s="126"/>
      <c r="AD287" s="487"/>
      <c r="AE287" s="126"/>
      <c r="AF287" s="126"/>
      <c r="AG287" s="126"/>
      <c r="AH287" s="126"/>
      <c r="AI287" s="126"/>
      <c r="AJ287" s="126"/>
      <c r="AK287" s="126"/>
      <c r="AL287" s="126"/>
      <c r="AM287" s="126"/>
      <c r="AN287" s="126"/>
      <c r="AO287" s="126"/>
      <c r="AP287" s="126"/>
      <c r="AQ287" s="487"/>
      <c r="AR287" s="126"/>
      <c r="AS287" s="126"/>
      <c r="AT287" s="126"/>
      <c r="AU287" s="126"/>
      <c r="AV287" s="126"/>
      <c r="AW287" s="126"/>
      <c r="AX287" s="126"/>
      <c r="AY287" s="126"/>
      <c r="AZ287" s="126"/>
      <c r="BA287" s="126"/>
      <c r="BB287" s="126"/>
      <c r="BC287" s="126"/>
      <c r="BD287" s="487"/>
      <c r="BE287" s="487"/>
      <c r="BF287" s="487"/>
      <c r="BG287" s="487"/>
      <c r="BH287" s="487"/>
      <c r="BI287" s="487"/>
      <c r="BJ287" s="487"/>
      <c r="BK287" s="487"/>
      <c r="BL287" s="487"/>
      <c r="BM287" s="487"/>
      <c r="BN287" s="487"/>
      <c r="BO287" s="487"/>
      <c r="BP287" s="487"/>
      <c r="BQ287" s="487"/>
      <c r="BR287" s="487"/>
      <c r="BS287" s="487"/>
      <c r="BT287" s="487"/>
      <c r="BU287" s="487"/>
      <c r="BV287" s="487"/>
      <c r="BW287" s="487"/>
      <c r="BX287" s="487"/>
      <c r="BY287" s="487"/>
      <c r="BZ287" s="487"/>
      <c r="CA287" s="487"/>
      <c r="CB287" s="487"/>
      <c r="CC287" s="487"/>
      <c r="CD287" s="487"/>
      <c r="CE287" s="487"/>
      <c r="CF287" s="487"/>
      <c r="CG287" s="487"/>
      <c r="CH287" s="487"/>
      <c r="CI287" s="487"/>
      <c r="CJ287" s="487"/>
      <c r="CK287" s="487"/>
      <c r="CL287" s="487"/>
      <c r="CM287" s="487"/>
      <c r="CN287" s="487"/>
      <c r="CO287" s="487"/>
      <c r="CP287" s="487"/>
      <c r="CQ287" s="487"/>
    </row>
    <row r="288" spans="1:95" ht="21">
      <c r="B288" s="11" t="s">
        <v>183</v>
      </c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488"/>
      <c r="R288" s="121"/>
      <c r="S288" s="121"/>
      <c r="T288" s="121"/>
      <c r="U288" s="121"/>
      <c r="V288" s="121"/>
      <c r="W288" s="121"/>
      <c r="X288" s="121"/>
      <c r="Y288" s="121"/>
      <c r="Z288" s="121"/>
      <c r="AA288" s="121"/>
      <c r="AB288" s="121"/>
      <c r="AC288" s="121"/>
      <c r="AD288" s="488"/>
      <c r="AE288" s="121"/>
      <c r="AF288" s="121"/>
      <c r="AG288" s="121"/>
      <c r="AH288" s="121"/>
      <c r="AI288" s="121"/>
      <c r="AJ288" s="121"/>
      <c r="AK288" s="121"/>
      <c r="AL288" s="121"/>
      <c r="AM288" s="121"/>
      <c r="AN288" s="121"/>
      <c r="AO288" s="121"/>
      <c r="AP288" s="121"/>
      <c r="AQ288" s="488"/>
      <c r="AR288" s="121"/>
      <c r="AS288" s="121"/>
      <c r="AT288" s="121"/>
      <c r="AU288" s="121"/>
      <c r="AV288" s="121"/>
      <c r="AW288" s="121"/>
      <c r="AX288" s="121"/>
      <c r="AY288" s="121"/>
      <c r="AZ288" s="121"/>
      <c r="BA288" s="121"/>
      <c r="BB288" s="121"/>
      <c r="BC288" s="121"/>
      <c r="BD288" s="1666"/>
      <c r="BE288" s="488"/>
      <c r="BF288" s="1315"/>
      <c r="BG288" s="1315"/>
      <c r="BH288" s="1315"/>
      <c r="BI288" s="1315"/>
      <c r="BJ288" s="1315"/>
      <c r="BK288" s="1421"/>
      <c r="BL288" s="1421"/>
      <c r="BM288" s="1421"/>
      <c r="BN288" s="1315"/>
      <c r="BO288" s="1421"/>
      <c r="BP288" s="1315"/>
      <c r="BQ288" s="1315"/>
      <c r="BR288" s="488"/>
      <c r="BS288" s="1315"/>
      <c r="BT288" s="1315"/>
      <c r="BU288" s="1315"/>
      <c r="BV288" s="1315"/>
      <c r="BW288" s="1315"/>
      <c r="BX288" s="1421"/>
      <c r="BY288" s="1421"/>
      <c r="BZ288" s="1421"/>
      <c r="CA288" s="1315"/>
      <c r="CB288" s="1421"/>
      <c r="CC288" s="1315"/>
      <c r="CD288" s="1315"/>
      <c r="CE288" s="488"/>
      <c r="CF288" s="1315"/>
      <c r="CG288" s="1315"/>
      <c r="CH288" s="1315"/>
      <c r="CI288" s="1315"/>
      <c r="CJ288" s="1315"/>
      <c r="CK288" s="1421"/>
      <c r="CL288" s="1421"/>
      <c r="CM288" s="1421"/>
      <c r="CN288" s="1315"/>
      <c r="CO288" s="1421"/>
      <c r="CP288" s="1315"/>
      <c r="CQ288" s="1315"/>
    </row>
    <row r="289" spans="1:95" s="430" customFormat="1" ht="16.5" customHeight="1">
      <c r="A289" s="1911"/>
      <c r="B289" s="3347" t="s">
        <v>329</v>
      </c>
      <c r="C289" s="3341"/>
      <c r="D289" s="240" t="s">
        <v>184</v>
      </c>
      <c r="E289" s="241">
        <f>SUM(F289:Q289)</f>
        <v>8644.855372</v>
      </c>
      <c r="F289" s="619">
        <v>405.71208999999999</v>
      </c>
      <c r="G289" s="534">
        <v>447.84090600000002</v>
      </c>
      <c r="H289" s="534">
        <v>623.48524800000007</v>
      </c>
      <c r="I289" s="534">
        <v>502.77523099999996</v>
      </c>
      <c r="J289" s="534">
        <v>734.47048300000006</v>
      </c>
      <c r="K289" s="534">
        <v>661.38306799999998</v>
      </c>
      <c r="L289" s="534">
        <v>513.43060500000001</v>
      </c>
      <c r="M289" s="534">
        <v>726.14828</v>
      </c>
      <c r="N289" s="534">
        <v>660.45663100000002</v>
      </c>
      <c r="O289" s="534">
        <v>904.65130299999998</v>
      </c>
      <c r="P289" s="534">
        <v>802.94845599999996</v>
      </c>
      <c r="Q289" s="535">
        <v>1661.5530709999998</v>
      </c>
      <c r="R289" s="241">
        <f>SUM(S289:AD289)</f>
        <v>5988.3663839999999</v>
      </c>
      <c r="S289" s="619">
        <f t="shared" ref="S289:AD289" si="1289">SUM(S290:S291)</f>
        <v>323.82755199999997</v>
      </c>
      <c r="T289" s="534">
        <f t="shared" si="1289"/>
        <v>323.810182</v>
      </c>
      <c r="U289" s="534">
        <f t="shared" si="1289"/>
        <v>492.29471899999999</v>
      </c>
      <c r="V289" s="534">
        <f>SUM(V290:V291)</f>
        <v>473.44676699999997</v>
      </c>
      <c r="W289" s="534">
        <f t="shared" si="1289"/>
        <v>532.12183600000003</v>
      </c>
      <c r="X289" s="534">
        <f t="shared" si="1289"/>
        <v>521.11667999999997</v>
      </c>
      <c r="Y289" s="534">
        <f t="shared" si="1289"/>
        <v>419.05670800000001</v>
      </c>
      <c r="Z289" s="534">
        <f t="shared" si="1289"/>
        <v>728.06978000000004</v>
      </c>
      <c r="AA289" s="534">
        <f t="shared" si="1289"/>
        <v>566.89266300000008</v>
      </c>
      <c r="AB289" s="534">
        <f t="shared" si="1289"/>
        <v>612.70642299999997</v>
      </c>
      <c r="AC289" s="534">
        <f t="shared" si="1289"/>
        <v>161.27413299999998</v>
      </c>
      <c r="AD289" s="535">
        <f t="shared" si="1289"/>
        <v>833.74894099999995</v>
      </c>
      <c r="AE289" s="241">
        <f>SUM(AF289:AQ289)</f>
        <v>11395.093826</v>
      </c>
      <c r="AF289" s="619">
        <f t="shared" ref="AF289:AQ289" si="1290">SUM(AF290:AF291)</f>
        <v>418.93457599999999</v>
      </c>
      <c r="AG289" s="534">
        <f t="shared" si="1290"/>
        <v>724.2303730000001</v>
      </c>
      <c r="AH289" s="534">
        <f t="shared" si="1290"/>
        <v>468.91573899999997</v>
      </c>
      <c r="AI289" s="534">
        <f t="shared" si="1290"/>
        <v>500.74040299999996</v>
      </c>
      <c r="AJ289" s="534">
        <f t="shared" si="1290"/>
        <v>725.22131999999999</v>
      </c>
      <c r="AK289" s="534">
        <f t="shared" si="1290"/>
        <v>531.60786700000006</v>
      </c>
      <c r="AL289" s="534">
        <f t="shared" si="1290"/>
        <v>402.26447000000002</v>
      </c>
      <c r="AM289" s="534">
        <f t="shared" si="1290"/>
        <v>757.52165300000001</v>
      </c>
      <c r="AN289" s="534">
        <f t="shared" si="1290"/>
        <v>684.99838099999999</v>
      </c>
      <c r="AO289" s="534">
        <f t="shared" si="1290"/>
        <v>877.65075300000001</v>
      </c>
      <c r="AP289" s="534">
        <f t="shared" si="1290"/>
        <v>654.05134299999997</v>
      </c>
      <c r="AQ289" s="534">
        <f t="shared" si="1290"/>
        <v>4648.956948</v>
      </c>
      <c r="AR289" s="241">
        <f>SUM(AS289:BD289)</f>
        <v>8608.0244390000007</v>
      </c>
      <c r="AS289" s="619">
        <f t="shared" ref="AS289:BD289" si="1291">SUM(AS290:AS291)</f>
        <v>353.63920999999999</v>
      </c>
      <c r="AT289" s="534">
        <f t="shared" si="1291"/>
        <v>619.89100400000007</v>
      </c>
      <c r="AU289" s="534">
        <f t="shared" si="1291"/>
        <v>563.49200400000007</v>
      </c>
      <c r="AV289" s="534">
        <f t="shared" si="1291"/>
        <v>444.95110700000004</v>
      </c>
      <c r="AW289" s="534">
        <f t="shared" si="1291"/>
        <v>453.99938600000002</v>
      </c>
      <c r="AX289" s="534">
        <f t="shared" si="1291"/>
        <v>632.77545299999997</v>
      </c>
      <c r="AY289" s="534">
        <f t="shared" si="1291"/>
        <v>731.37038399999994</v>
      </c>
      <c r="AZ289" s="534">
        <f t="shared" si="1291"/>
        <v>773.14222000000007</v>
      </c>
      <c r="BA289" s="534">
        <f t="shared" si="1291"/>
        <v>406.98821500000003</v>
      </c>
      <c r="BB289" s="534">
        <f t="shared" si="1291"/>
        <v>713.49661100000003</v>
      </c>
      <c r="BC289" s="534">
        <f t="shared" si="1291"/>
        <v>731.76570600000002</v>
      </c>
      <c r="BD289" s="534">
        <f t="shared" si="1291"/>
        <v>2182.5131389999997</v>
      </c>
      <c r="BE289" s="241">
        <f>SUM(BF289:BQ289)</f>
        <v>11276.844805000001</v>
      </c>
      <c r="BF289" s="976">
        <f>SUM(BF290:BF291)</f>
        <v>611.92707800000005</v>
      </c>
      <c r="BG289" s="977">
        <f t="shared" ref="BG289:BQ289" si="1292">SUM(BG290:BG291)</f>
        <v>719.91594499999997</v>
      </c>
      <c r="BH289" s="977">
        <f t="shared" si="1292"/>
        <v>523.22788400000002</v>
      </c>
      <c r="BI289" s="977">
        <f t="shared" si="1292"/>
        <v>613.29786300000001</v>
      </c>
      <c r="BJ289" s="977">
        <f t="shared" si="1292"/>
        <v>647.38067500000011</v>
      </c>
      <c r="BK289" s="977">
        <f t="shared" si="1292"/>
        <v>593.12826300000006</v>
      </c>
      <c r="BL289" s="977">
        <f t="shared" si="1292"/>
        <v>1206.899265</v>
      </c>
      <c r="BM289" s="977">
        <f t="shared" si="1292"/>
        <v>1065.612944</v>
      </c>
      <c r="BN289" s="977">
        <f t="shared" si="1292"/>
        <v>1885.423884</v>
      </c>
      <c r="BO289" s="977">
        <f t="shared" si="1292"/>
        <v>1698.3480490000002</v>
      </c>
      <c r="BP289" s="977">
        <f t="shared" si="1292"/>
        <v>918.33831699999996</v>
      </c>
      <c r="BQ289" s="1767">
        <f t="shared" si="1292"/>
        <v>793.34463800000003</v>
      </c>
      <c r="BR289" s="241">
        <f>SUM(BS289:CD289)</f>
        <v>27165.377607999995</v>
      </c>
      <c r="BS289" s="976">
        <v>2761.462712</v>
      </c>
      <c r="BT289" s="977">
        <v>1070.684763</v>
      </c>
      <c r="BU289" s="977">
        <v>634.74136499999997</v>
      </c>
      <c r="BV289" s="977">
        <v>1026.7736609999999</v>
      </c>
      <c r="BW289" s="977">
        <v>1179.7199419999999</v>
      </c>
      <c r="BX289" s="977">
        <v>1710.406367</v>
      </c>
      <c r="BY289" s="977">
        <v>3760.8166980000001</v>
      </c>
      <c r="BZ289" s="977">
        <v>1286.9567610000001</v>
      </c>
      <c r="CA289" s="977">
        <v>3357.3657189999999</v>
      </c>
      <c r="CB289" s="977">
        <v>2597.8647529999998</v>
      </c>
      <c r="CC289" s="977">
        <v>2666.6891770000002</v>
      </c>
      <c r="CD289" s="1767">
        <v>5111.8956899999994</v>
      </c>
      <c r="CE289" s="241">
        <f>SUM(CF289:CQ289)</f>
        <v>20381.025637794395</v>
      </c>
      <c r="CF289" s="976">
        <f>SUM(CF290:CF291)</f>
        <v>1752.5460270442697</v>
      </c>
      <c r="CG289" s="977">
        <f t="shared" ref="CG289:CQ289" si="1293">SUM(CG290:CG291)</f>
        <v>1386.661299121721</v>
      </c>
      <c r="CH289" s="977">
        <f t="shared" si="1293"/>
        <v>1915.8681082583937</v>
      </c>
      <c r="CI289" s="977">
        <f t="shared" si="1293"/>
        <v>1596.054407297863</v>
      </c>
      <c r="CJ289" s="977">
        <f t="shared" si="1293"/>
        <v>1598.1620553100693</v>
      </c>
      <c r="CK289" s="977">
        <f t="shared" si="1293"/>
        <v>1582.8429344031108</v>
      </c>
      <c r="CL289" s="977">
        <f t="shared" si="1293"/>
        <v>2016.3812058611625</v>
      </c>
      <c r="CM289" s="977">
        <f t="shared" si="1293"/>
        <v>1641.9066679133198</v>
      </c>
      <c r="CN289" s="977">
        <f t="shared" si="1293"/>
        <v>2122.201549947376</v>
      </c>
      <c r="CO289" s="977">
        <f t="shared" si="1293"/>
        <v>1767.3220479285267</v>
      </c>
      <c r="CP289" s="977">
        <f t="shared" si="1293"/>
        <v>1659.329640351358</v>
      </c>
      <c r="CQ289" s="1767">
        <f t="shared" si="1293"/>
        <v>1341.7496943572253</v>
      </c>
    </row>
    <row r="290" spans="1:95" s="430" customFormat="1" ht="18.75" customHeight="1">
      <c r="A290" s="1911"/>
      <c r="B290" s="3332"/>
      <c r="C290" s="3333"/>
      <c r="D290" s="3151" t="s">
        <v>186</v>
      </c>
      <c r="E290" s="122">
        <f t="shared" ref="E290:E291" si="1294">SUM(F290:Q290)</f>
        <v>161.21722500000004</v>
      </c>
      <c r="F290" s="572">
        <v>18.227416000000002</v>
      </c>
      <c r="G290" s="593">
        <v>9.3398579999999995</v>
      </c>
      <c r="H290" s="593">
        <v>21.265124</v>
      </c>
      <c r="I290" s="593">
        <v>9.7372379999999996</v>
      </c>
      <c r="J290" s="593">
        <v>13.395707</v>
      </c>
      <c r="K290" s="593">
        <v>12.579074</v>
      </c>
      <c r="L290" s="593">
        <v>11.784821000000001</v>
      </c>
      <c r="M290" s="593">
        <v>13.166498000000001</v>
      </c>
      <c r="N290" s="593">
        <v>14.473527000000001</v>
      </c>
      <c r="O290" s="593">
        <v>12.525493000000001</v>
      </c>
      <c r="P290" s="593">
        <v>11.036516000000001</v>
      </c>
      <c r="Q290" s="593">
        <v>13.685953</v>
      </c>
      <c r="R290" s="122">
        <f t="shared" ref="R290:R291" si="1295">SUM(S290:AD290)</f>
        <v>187.86095999999998</v>
      </c>
      <c r="S290" s="593">
        <v>10.682731</v>
      </c>
      <c r="T290" s="593">
        <v>9.8130810000000004</v>
      </c>
      <c r="U290" s="593">
        <v>14.670407000000001</v>
      </c>
      <c r="V290" s="593">
        <v>15.049761</v>
      </c>
      <c r="W290" s="593">
        <v>14.22073</v>
      </c>
      <c r="X290" s="593">
        <v>15.943693</v>
      </c>
      <c r="Y290" s="593">
        <v>16.384605000000001</v>
      </c>
      <c r="Z290" s="593">
        <v>15.40466</v>
      </c>
      <c r="AA290" s="593">
        <v>15.069777</v>
      </c>
      <c r="AB290" s="593">
        <v>18.631896999999999</v>
      </c>
      <c r="AC290" s="593">
        <v>14.883210999999999</v>
      </c>
      <c r="AD290" s="593">
        <v>27.106407000000001</v>
      </c>
      <c r="AE290" s="122">
        <f t="shared" ref="AE290:AE291" si="1296">SUM(AF290:AQ290)</f>
        <v>164.66015099999998</v>
      </c>
      <c r="AF290" s="593">
        <v>16.226929999999999</v>
      </c>
      <c r="AG290" s="593">
        <v>16.404786000000001</v>
      </c>
      <c r="AH290" s="593">
        <v>16.922747000000001</v>
      </c>
      <c r="AI290" s="762">
        <v>11.189266</v>
      </c>
      <c r="AJ290" s="762">
        <v>11.876621</v>
      </c>
      <c r="AK290" s="762">
        <v>16.047315000000001</v>
      </c>
      <c r="AL290" s="762">
        <v>15.786225999999999</v>
      </c>
      <c r="AM290" s="762">
        <v>13.079357</v>
      </c>
      <c r="AN290" s="762">
        <v>13.487541</v>
      </c>
      <c r="AO290" s="762">
        <v>10.902822</v>
      </c>
      <c r="AP290" s="762">
        <v>10.047071000000001</v>
      </c>
      <c r="AQ290" s="762">
        <v>12.689469000000001</v>
      </c>
      <c r="AR290" s="122">
        <f t="shared" ref="AR290:AR291" si="1297">SUM(AS290:BD290)</f>
        <v>173.05414099999996</v>
      </c>
      <c r="AS290" s="1545">
        <v>13.690488</v>
      </c>
      <c r="AT290" s="1546">
        <v>15.510209</v>
      </c>
      <c r="AU290" s="1546">
        <v>37.373997000000003</v>
      </c>
      <c r="AV290" s="1546">
        <v>11.390733000000001</v>
      </c>
      <c r="AW290" s="1546">
        <v>13.914262000000001</v>
      </c>
      <c r="AX290" s="1546">
        <v>11.393452</v>
      </c>
      <c r="AY290" s="1546">
        <v>8.8393899999999999</v>
      </c>
      <c r="AZ290" s="1533">
        <v>8.0954060000000005</v>
      </c>
      <c r="BA290" s="1533">
        <v>10.854487000000001</v>
      </c>
      <c r="BB290" s="1533">
        <v>7.2125690000000002</v>
      </c>
      <c r="BC290" s="1533">
        <v>24.137383</v>
      </c>
      <c r="BD290" s="1535">
        <v>10.641764999999999</v>
      </c>
      <c r="BE290" s="122">
        <f t="shared" ref="BE290:BE291" si="1298">SUM(BF290:BQ290)</f>
        <v>188.30346600000021</v>
      </c>
      <c r="BF290" s="1859">
        <v>14.815856</v>
      </c>
      <c r="BG290" s="1860">
        <v>11.730525</v>
      </c>
      <c r="BH290" s="1860">
        <v>14.491951</v>
      </c>
      <c r="BI290" s="1860">
        <v>12.789687000000001</v>
      </c>
      <c r="BJ290" s="1860">
        <f>30.260823+0.0966870000002018</f>
        <v>30.3575100000002</v>
      </c>
      <c r="BK290" s="1860">
        <v>17.333552999999998</v>
      </c>
      <c r="BL290" s="1860">
        <v>12.726910999999999</v>
      </c>
      <c r="BM290" s="1860">
        <v>10.666516</v>
      </c>
      <c r="BN290" s="1860">
        <v>9.4658770000000008</v>
      </c>
      <c r="BO290" s="1860">
        <v>15.412573</v>
      </c>
      <c r="BP290" s="1860">
        <v>20.930520999999999</v>
      </c>
      <c r="BQ290" s="1861">
        <v>17.581986000000001</v>
      </c>
      <c r="BR290" s="122">
        <f t="shared" ref="BR290:BR291" si="1299">SUM(BS290:CD290)</f>
        <v>341.25104299999998</v>
      </c>
      <c r="BS290" s="1859">
        <v>8.8477779999999999</v>
      </c>
      <c r="BT290" s="1860">
        <v>14.609584</v>
      </c>
      <c r="BU290" s="1860">
        <v>55.903908999999999</v>
      </c>
      <c r="BV290" s="1860">
        <v>25.871326</v>
      </c>
      <c r="BW290" s="1860">
        <v>26.305917999999998</v>
      </c>
      <c r="BX290" s="1860">
        <v>14.802247999999999</v>
      </c>
      <c r="BY290" s="1860">
        <v>43.062370000000001</v>
      </c>
      <c r="BZ290" s="1860">
        <v>16.44801</v>
      </c>
      <c r="CA290" s="1860">
        <v>24.509637000000001</v>
      </c>
      <c r="CB290" s="1860">
        <v>29.567266</v>
      </c>
      <c r="CC290" s="1860">
        <v>47.602146999999995</v>
      </c>
      <c r="CD290" s="1861">
        <v>33.720849999999999</v>
      </c>
      <c r="CE290" s="122">
        <f t="shared" ref="CE290:CE291" si="1300">SUM(CF290:CQ290)</f>
        <v>340.36779515415401</v>
      </c>
      <c r="CF290" s="2483">
        <f t="shared" ref="CF290:CQ290" si="1301">(CF8+CF19)*CF292/1000000</f>
        <v>29.267910198797519</v>
      </c>
      <c r="CG290" s="2251">
        <f t="shared" si="1301"/>
        <v>23.157553497918638</v>
      </c>
      <c r="CH290" s="2251">
        <f t="shared" si="1301"/>
        <v>31.995425443870708</v>
      </c>
      <c r="CI290" s="2251">
        <f t="shared" si="1301"/>
        <v>26.654465186270894</v>
      </c>
      <c r="CJ290" s="2251">
        <f t="shared" si="1301"/>
        <v>26.689663378957427</v>
      </c>
      <c r="CK290" s="2251">
        <f t="shared" si="1301"/>
        <v>26.433830637271583</v>
      </c>
      <c r="CL290" s="2251">
        <f t="shared" si="1301"/>
        <v>33.674016630090378</v>
      </c>
      <c r="CM290" s="2251">
        <f t="shared" si="1301"/>
        <v>27.420208182686448</v>
      </c>
      <c r="CN290" s="2251">
        <f t="shared" si="1301"/>
        <v>35.44124001830837</v>
      </c>
      <c r="CO290" s="2251">
        <f t="shared" si="1301"/>
        <v>29.514673048766916</v>
      </c>
      <c r="CP290" s="2251">
        <f t="shared" si="1301"/>
        <v>27.711175714975827</v>
      </c>
      <c r="CQ290" s="2252">
        <f t="shared" si="1301"/>
        <v>22.407633216239372</v>
      </c>
    </row>
    <row r="291" spans="1:95" s="430" customFormat="1" ht="16.5" customHeight="1">
      <c r="A291" s="1911"/>
      <c r="B291" s="3332"/>
      <c r="C291" s="3333"/>
      <c r="D291" s="3152" t="s">
        <v>524</v>
      </c>
      <c r="E291" s="123">
        <f t="shared" si="1294"/>
        <v>8483.6381469999997</v>
      </c>
      <c r="F291" s="573">
        <v>387.48467399999998</v>
      </c>
      <c r="G291" s="592">
        <v>438.50104800000003</v>
      </c>
      <c r="H291" s="592">
        <v>602.22012400000006</v>
      </c>
      <c r="I291" s="592">
        <v>493.03799299999997</v>
      </c>
      <c r="J291" s="592">
        <v>721.07477600000004</v>
      </c>
      <c r="K291" s="592">
        <v>648.80399399999999</v>
      </c>
      <c r="L291" s="592">
        <v>501.64578399999999</v>
      </c>
      <c r="M291" s="592">
        <v>712.98178199999995</v>
      </c>
      <c r="N291" s="592">
        <v>645.98310400000003</v>
      </c>
      <c r="O291" s="592">
        <v>892.12581</v>
      </c>
      <c r="P291" s="592">
        <v>791.91193999999996</v>
      </c>
      <c r="Q291" s="670">
        <v>1647.8671179999999</v>
      </c>
      <c r="R291" s="123">
        <f t="shared" si="1295"/>
        <v>5800.5054239999999</v>
      </c>
      <c r="S291" s="592">
        <v>313.14482099999998</v>
      </c>
      <c r="T291" s="592">
        <v>313.99710099999999</v>
      </c>
      <c r="U291" s="592">
        <v>477.62431199999997</v>
      </c>
      <c r="V291" s="592">
        <v>458.39700599999998</v>
      </c>
      <c r="W291" s="592">
        <v>517.90110600000003</v>
      </c>
      <c r="X291" s="592">
        <v>505.17298699999998</v>
      </c>
      <c r="Y291" s="592">
        <v>402.67210299999999</v>
      </c>
      <c r="Z291" s="592">
        <v>712.66512</v>
      </c>
      <c r="AA291" s="592">
        <v>551.82288600000004</v>
      </c>
      <c r="AB291" s="592">
        <v>594.07452599999999</v>
      </c>
      <c r="AC291" s="592">
        <v>146.39092199999999</v>
      </c>
      <c r="AD291" s="592">
        <v>806.64253399999996</v>
      </c>
      <c r="AE291" s="123">
        <f t="shared" si="1296"/>
        <v>11230.433675</v>
      </c>
      <c r="AF291" s="592">
        <v>402.70764600000001</v>
      </c>
      <c r="AG291" s="592">
        <v>707.82558700000004</v>
      </c>
      <c r="AH291" s="592">
        <v>451.99299199999996</v>
      </c>
      <c r="AI291" s="763">
        <v>489.55113699999998</v>
      </c>
      <c r="AJ291" s="763">
        <v>713.34469899999999</v>
      </c>
      <c r="AK291" s="763">
        <v>515.56055200000003</v>
      </c>
      <c r="AL291" s="763">
        <v>386.47824400000002</v>
      </c>
      <c r="AM291" s="763">
        <v>744.44229600000006</v>
      </c>
      <c r="AN291" s="763">
        <v>671.51084000000003</v>
      </c>
      <c r="AO291" s="763">
        <v>866.74793099999999</v>
      </c>
      <c r="AP291" s="763">
        <v>644.00427200000001</v>
      </c>
      <c r="AQ291" s="763">
        <v>4636.2674790000001</v>
      </c>
      <c r="AR291" s="123">
        <f t="shared" si="1297"/>
        <v>8434.9702980000002</v>
      </c>
      <c r="AS291" s="1547">
        <v>339.94872199999998</v>
      </c>
      <c r="AT291" s="701">
        <v>604.38079500000003</v>
      </c>
      <c r="AU291" s="701">
        <v>526.11800700000003</v>
      </c>
      <c r="AV291" s="701">
        <v>433.56037400000002</v>
      </c>
      <c r="AW291" s="701">
        <v>440.08512400000001</v>
      </c>
      <c r="AX291" s="701">
        <v>621.38200099999995</v>
      </c>
      <c r="AY291" s="701">
        <v>722.53099399999996</v>
      </c>
      <c r="AZ291" s="1537">
        <v>765.04681400000004</v>
      </c>
      <c r="BA291" s="1537">
        <v>396.13372800000002</v>
      </c>
      <c r="BB291" s="1537">
        <v>706.284042</v>
      </c>
      <c r="BC291" s="1537">
        <v>707.62832300000002</v>
      </c>
      <c r="BD291" s="1538">
        <v>2171.8713739999998</v>
      </c>
      <c r="BE291" s="123">
        <f t="shared" si="1298"/>
        <v>11088.541338999999</v>
      </c>
      <c r="BF291" s="1862">
        <v>597.111222</v>
      </c>
      <c r="BG291" s="1863">
        <v>708.18542000000002</v>
      </c>
      <c r="BH291" s="1863">
        <v>508.73593299999999</v>
      </c>
      <c r="BI291" s="1863">
        <v>600.50817600000005</v>
      </c>
      <c r="BJ291" s="1863">
        <v>617.02316499999995</v>
      </c>
      <c r="BK291" s="1863">
        <f>575.13833+0.656380000000013</f>
        <v>575.79471000000001</v>
      </c>
      <c r="BL291" s="1863">
        <v>1194.172354</v>
      </c>
      <c r="BM291" s="1863">
        <v>1054.946428</v>
      </c>
      <c r="BN291" s="1863">
        <v>1875.958007</v>
      </c>
      <c r="BO291" s="1863">
        <v>1682.9354760000001</v>
      </c>
      <c r="BP291" s="1863">
        <v>897.40779599999996</v>
      </c>
      <c r="BQ291" s="1864">
        <v>775.762652</v>
      </c>
      <c r="BR291" s="123">
        <f t="shared" si="1299"/>
        <v>26824.343295000002</v>
      </c>
      <c r="BS291" s="1862">
        <v>2752.6149340000002</v>
      </c>
      <c r="BT291" s="1863">
        <v>1056.0751789999999</v>
      </c>
      <c r="BU291" s="1863">
        <v>578.83745599999997</v>
      </c>
      <c r="BV291" s="1863">
        <f>1000.902335</f>
        <v>1000.902335</v>
      </c>
      <c r="BW291" s="1863">
        <f>1153.414024</f>
        <v>1153.4140239999999</v>
      </c>
      <c r="BX291" s="1863">
        <f>1695.604119</f>
        <v>1695.6041190000001</v>
      </c>
      <c r="BY291" s="1863">
        <v>3717.754328</v>
      </c>
      <c r="BZ291" s="1863">
        <v>1270.5087510000001</v>
      </c>
      <c r="CA291" s="1863">
        <v>3332.8560819999998</v>
      </c>
      <c r="CB291" s="1863">
        <v>2568.2974869999998</v>
      </c>
      <c r="CC291" s="1863">
        <f>2619.08703+0.216730000002623</f>
        <v>2619.303760000003</v>
      </c>
      <c r="CD291" s="1864">
        <v>5078.1748399999997</v>
      </c>
      <c r="CE291" s="123">
        <f t="shared" si="1300"/>
        <v>20040.657842640245</v>
      </c>
      <c r="CF291" s="2517">
        <f t="shared" ref="CF291:CP291" si="1302">(CF8+CF19)*CF293/1000000</f>
        <v>1723.2781168454721</v>
      </c>
      <c r="CG291" s="2258">
        <f t="shared" si="1302"/>
        <v>1363.5037456238024</v>
      </c>
      <c r="CH291" s="2258">
        <f t="shared" si="1302"/>
        <v>1883.8726828145229</v>
      </c>
      <c r="CI291" s="2258">
        <f t="shared" si="1302"/>
        <v>1569.3999421115921</v>
      </c>
      <c r="CJ291" s="2258">
        <f t="shared" si="1302"/>
        <v>1571.4723919311118</v>
      </c>
      <c r="CK291" s="2258">
        <f t="shared" si="1302"/>
        <v>1556.4091037658393</v>
      </c>
      <c r="CL291" s="2258">
        <f t="shared" si="1302"/>
        <v>1982.7071892310721</v>
      </c>
      <c r="CM291" s="2258">
        <f t="shared" si="1302"/>
        <v>1614.4864597306334</v>
      </c>
      <c r="CN291" s="2258">
        <f t="shared" si="1302"/>
        <v>2086.7603099290677</v>
      </c>
      <c r="CO291" s="2258">
        <f t="shared" si="1302"/>
        <v>1737.8073748797597</v>
      </c>
      <c r="CP291" s="2258">
        <f t="shared" si="1302"/>
        <v>1631.6184646363822</v>
      </c>
      <c r="CQ291" s="2259">
        <f>(CQ8+CQ19)*CQ293/1000000-0.00679942205897532</f>
        <v>1319.3420611409858</v>
      </c>
    </row>
    <row r="292" spans="1:95" s="430" customFormat="1" ht="16.5" customHeight="1">
      <c r="A292" s="1911"/>
      <c r="B292" s="3336" t="s">
        <v>182</v>
      </c>
      <c r="C292" s="3337"/>
      <c r="D292" s="77" t="s">
        <v>186</v>
      </c>
      <c r="E292" s="646">
        <f>E290/E8*1000000</f>
        <v>248.88227212029062</v>
      </c>
      <c r="F292" s="474">
        <v>313.27196480132</v>
      </c>
      <c r="G292" s="474">
        <v>157.69594948249951</v>
      </c>
      <c r="H292" s="474">
        <v>358.16152123018878</v>
      </c>
      <c r="I292" s="474">
        <v>178.67475273868286</v>
      </c>
      <c r="J292" s="474">
        <v>194.37449395649841</v>
      </c>
      <c r="K292" s="474">
        <v>209.28846665779315</v>
      </c>
      <c r="L292" s="474">
        <v>205.2604068694047</v>
      </c>
      <c r="M292" s="474">
        <v>194.5145887810427</v>
      </c>
      <c r="N292" s="655">
        <v>262.13509254899122</v>
      </c>
      <c r="O292" s="655">
        <v>197.18975125944584</v>
      </c>
      <c r="P292" s="474">
        <v>166.1425302583248</v>
      </c>
      <c r="Q292" s="474">
        <v>233.64836534357661</v>
      </c>
      <c r="R292" s="646">
        <f>R290/R8*1000000</f>
        <v>286.36686661128175</v>
      </c>
      <c r="S292" s="688">
        <f t="shared" ref="S292:AD292" si="1303">S290*1000000/(S8+S19)</f>
        <v>176.85762296574674</v>
      </c>
      <c r="T292" s="688">
        <f t="shared" si="1303"/>
        <v>172.05668548585055</v>
      </c>
      <c r="U292" s="688">
        <f t="shared" si="1303"/>
        <v>243.04849237905898</v>
      </c>
      <c r="V292" s="688">
        <f t="shared" si="1303"/>
        <v>252.92865786023998</v>
      </c>
      <c r="W292" s="688">
        <f t="shared" si="1303"/>
        <v>243.79369460492705</v>
      </c>
      <c r="X292" s="688">
        <f t="shared" si="1303"/>
        <v>267.99275545022101</v>
      </c>
      <c r="Y292" s="688">
        <f t="shared" si="1303"/>
        <v>274.39384043408359</v>
      </c>
      <c r="Z292" s="688">
        <f t="shared" si="1303"/>
        <v>217.42639378969653</v>
      </c>
      <c r="AA292" s="688">
        <f t="shared" si="1303"/>
        <v>248.08667522718292</v>
      </c>
      <c r="AB292" s="688">
        <f t="shared" si="1303"/>
        <v>244.54838624998359</v>
      </c>
      <c r="AC292" s="688">
        <f t="shared" si="1303"/>
        <v>223.40790164967953</v>
      </c>
      <c r="AD292" s="688">
        <f t="shared" si="1303"/>
        <v>441.63066571084101</v>
      </c>
      <c r="AE292" s="646">
        <f>AE290/AE8*1000000</f>
        <v>270.72109636517882</v>
      </c>
      <c r="AF292" s="593">
        <f t="shared" ref="AF292:AM292" si="1304">AF290*1000000/(AF8+AF19)</f>
        <v>281.50738164217682</v>
      </c>
      <c r="AG292" s="593">
        <f t="shared" si="1304"/>
        <v>238.72965932738626</v>
      </c>
      <c r="AH292" s="593">
        <f t="shared" si="1304"/>
        <v>266.89504147872441</v>
      </c>
      <c r="AI292" s="762">
        <f t="shared" si="1304"/>
        <v>182.14067586925381</v>
      </c>
      <c r="AJ292" s="762">
        <f t="shared" si="1304"/>
        <v>186.13642917593955</v>
      </c>
      <c r="AK292" s="762">
        <f t="shared" si="1304"/>
        <v>260.27597112967322</v>
      </c>
      <c r="AL292" s="762">
        <f t="shared" si="1304"/>
        <v>279.80832358467154</v>
      </c>
      <c r="AM292" s="762">
        <f t="shared" si="1304"/>
        <v>194.45099088652009</v>
      </c>
      <c r="AN292" s="762">
        <f>AN290*1000000/(AN10+AN21)</f>
        <v>818.86594620848768</v>
      </c>
      <c r="AO292" s="762">
        <f>AO290*1000000/(AO8+AO19)</f>
        <v>146.3701804317474</v>
      </c>
      <c r="AP292" s="762">
        <f>AP290*1000000/(AP8+AP19)</f>
        <v>195.0773935498903</v>
      </c>
      <c r="AQ292" s="762">
        <f>AQ290*1000000/(AQ8+AQ19)</f>
        <v>236.24576918064528</v>
      </c>
      <c r="AR292" s="646">
        <f>AR290/AR8*1000000</f>
        <v>326.35960932078081</v>
      </c>
      <c r="AS292" s="688">
        <f t="shared" ref="AS292:AZ292" si="1305">AS290*1000000/(AS8+AS19)</f>
        <v>269.49284603861037</v>
      </c>
      <c r="AT292" s="1533">
        <f t="shared" si="1305"/>
        <v>264.26606616948123</v>
      </c>
      <c r="AU292" s="1533">
        <f t="shared" si="1305"/>
        <v>801.62681908947832</v>
      </c>
      <c r="AV292" s="1533">
        <f t="shared" si="1305"/>
        <v>228.52731275119407</v>
      </c>
      <c r="AW292" s="1533">
        <f t="shared" si="1305"/>
        <v>285.16646046906453</v>
      </c>
      <c r="AX292" s="1533">
        <f t="shared" si="1305"/>
        <v>228.86859914680184</v>
      </c>
      <c r="AY292" s="1533">
        <f t="shared" si="1305"/>
        <v>182.10761789738785</v>
      </c>
      <c r="AZ292" s="1533">
        <f t="shared" si="1305"/>
        <v>118.68055473592095</v>
      </c>
      <c r="BA292" s="1533">
        <f>BA290*1000000/(BA10+BA21)</f>
        <v>937.10498143831478</v>
      </c>
      <c r="BB292" s="1533">
        <f>BB290*1000000/(BB8+BB19)</f>
        <v>95.095051587433275</v>
      </c>
      <c r="BC292" s="1533">
        <f>BC290*1000000/(BC8+BC19)</f>
        <v>503.93994698426559</v>
      </c>
      <c r="BD292" s="1535">
        <f>BD290*1000000/(BD8+BD19)</f>
        <v>266.58803087618315</v>
      </c>
      <c r="BE292" s="646">
        <f>BE290/BE8*1000000</f>
        <v>342.83681959614131</v>
      </c>
      <c r="BF292" s="1850">
        <f t="shared" ref="BF292:BQ292" si="1306">BF290*1000000/(BF8+BF19)</f>
        <v>226.99682850970598</v>
      </c>
      <c r="BG292" s="1851">
        <f t="shared" si="1306"/>
        <v>278.01405413091908</v>
      </c>
      <c r="BH292" s="1851">
        <f t="shared" si="1306"/>
        <v>324.32080834303105</v>
      </c>
      <c r="BI292" s="1851">
        <f t="shared" si="1306"/>
        <v>282.68874743054175</v>
      </c>
      <c r="BJ292" s="1851">
        <f t="shared" si="1306"/>
        <v>625.88932643342059</v>
      </c>
      <c r="BK292" s="1851">
        <f t="shared" si="1306"/>
        <v>406.88136428722328</v>
      </c>
      <c r="BL292" s="1851">
        <f t="shared" si="1306"/>
        <v>210.87803221102862</v>
      </c>
      <c r="BM292" s="1851">
        <f t="shared" si="1306"/>
        <v>229.97598154416679</v>
      </c>
      <c r="BN292" s="1851">
        <f t="shared" si="1306"/>
        <v>142.85744253784279</v>
      </c>
      <c r="BO292" s="1851">
        <f t="shared" si="1306"/>
        <v>255.17504966887418</v>
      </c>
      <c r="BP292" s="1851">
        <f t="shared" si="1306"/>
        <v>459.4863233227959</v>
      </c>
      <c r="BQ292" s="1852">
        <f t="shared" si="1306"/>
        <v>415.87591361733331</v>
      </c>
      <c r="BR292" s="646">
        <f>BR290/BR8*1000000</f>
        <v>530.77149909633022</v>
      </c>
      <c r="BS292" s="1850">
        <f t="shared" ref="BS292:BX292" si="1307">BS290*1000000/(BS8+BS19)</f>
        <v>225.28334266945052</v>
      </c>
      <c r="BT292" s="1851">
        <f t="shared" si="1307"/>
        <v>206.76182793416268</v>
      </c>
      <c r="BU292" s="1851">
        <f t="shared" si="1307"/>
        <v>1216.413007528613</v>
      </c>
      <c r="BV292" s="1851">
        <f t="shared" si="1307"/>
        <v>444.40996306793784</v>
      </c>
      <c r="BW292" s="1851">
        <f t="shared" si="1307"/>
        <v>370.89768064857242</v>
      </c>
      <c r="BX292" s="1851">
        <f t="shared" si="1307"/>
        <v>251.13669601805191</v>
      </c>
      <c r="BY292" s="1851">
        <f t="shared" ref="BY292:CD292" si="1308">BY290*1000000/(BY8+BY19)</f>
        <v>568.13512586416175</v>
      </c>
      <c r="BZ292" s="1851">
        <f t="shared" si="1308"/>
        <v>297.41623420067629</v>
      </c>
      <c r="CA292" s="1851">
        <f t="shared" si="1308"/>
        <v>313.01418865418509</v>
      </c>
      <c r="CB292" s="1851">
        <f t="shared" si="1308"/>
        <v>497.62300351751185</v>
      </c>
      <c r="CC292" s="1851">
        <f t="shared" si="1308"/>
        <v>926.6887361781653</v>
      </c>
      <c r="CD292" s="1851">
        <f t="shared" si="1308"/>
        <v>656.98073138893756</v>
      </c>
      <c r="CE292" s="646">
        <f>CE290/CE8*1000000</f>
        <v>508.01144427982263</v>
      </c>
      <c r="CF292" s="1890">
        <v>452.48375297779813</v>
      </c>
      <c r="CG292" s="1891">
        <v>452.48375297779813</v>
      </c>
      <c r="CH292" s="1891">
        <v>452.48375297779813</v>
      </c>
      <c r="CI292" s="1891">
        <v>452.48375297779813</v>
      </c>
      <c r="CJ292" s="1891">
        <v>452.48375297779813</v>
      </c>
      <c r="CK292" s="1891">
        <v>452.48375297779813</v>
      </c>
      <c r="CL292" s="1891">
        <v>452.48375297779813</v>
      </c>
      <c r="CM292" s="1891">
        <v>452.48375297779813</v>
      </c>
      <c r="CN292" s="1891">
        <v>452.48375297779813</v>
      </c>
      <c r="CO292" s="1891">
        <v>452.48375297779813</v>
      </c>
      <c r="CP292" s="1891">
        <v>452.48375297779813</v>
      </c>
      <c r="CQ292" s="1892">
        <v>452.48375297779813</v>
      </c>
    </row>
    <row r="293" spans="1:95" s="430" customFormat="1" ht="16.5" customHeight="1">
      <c r="A293" s="1911"/>
      <c r="B293" s="3338"/>
      <c r="C293" s="3339"/>
      <c r="D293" s="71" t="s">
        <v>185</v>
      </c>
      <c r="E293" s="643">
        <f>E291/E8*1000000</f>
        <v>13096.783782698973</v>
      </c>
      <c r="F293" s="434">
        <v>6659.6430977588334</v>
      </c>
      <c r="G293" s="434">
        <v>7403.735593563747</v>
      </c>
      <c r="H293" s="434">
        <v>10142.996378825392</v>
      </c>
      <c r="I293" s="434">
        <v>9047.0666825696826</v>
      </c>
      <c r="J293" s="434">
        <v>10462.944933760902</v>
      </c>
      <c r="K293" s="434">
        <v>10794.689105550378</v>
      </c>
      <c r="L293" s="434">
        <v>8737.3425296965888</v>
      </c>
      <c r="M293" s="434">
        <v>10533.200106368833</v>
      </c>
      <c r="N293" s="656">
        <v>11699.625167529974</v>
      </c>
      <c r="O293" s="656">
        <v>14044.801794710327</v>
      </c>
      <c r="P293" s="434">
        <v>11921.357560065033</v>
      </c>
      <c r="Q293" s="434">
        <v>28132.601246265469</v>
      </c>
      <c r="R293" s="643">
        <f>R291/R8*1000000</f>
        <v>8842.0316974459438</v>
      </c>
      <c r="S293" s="689">
        <f t="shared" ref="S293:AD293" si="1309">S291*1000000/(S8+S19)</f>
        <v>5184.2594076453161</v>
      </c>
      <c r="T293" s="689">
        <f t="shared" si="1309"/>
        <v>5505.4371252235505</v>
      </c>
      <c r="U293" s="689">
        <f t="shared" si="1309"/>
        <v>7912.9276341948307</v>
      </c>
      <c r="V293" s="689">
        <f t="shared" si="1309"/>
        <v>7703.8924069779168</v>
      </c>
      <c r="W293" s="689">
        <f t="shared" si="1309"/>
        <v>8878.659820678542</v>
      </c>
      <c r="X293" s="689">
        <f t="shared" si="1309"/>
        <v>8491.3012791420842</v>
      </c>
      <c r="Y293" s="689">
        <f t="shared" si="1309"/>
        <v>6743.5708567792071</v>
      </c>
      <c r="Z293" s="689">
        <f t="shared" si="1309"/>
        <v>10058.787861679604</v>
      </c>
      <c r="AA293" s="689">
        <f t="shared" si="1309"/>
        <v>9084.4015211378901</v>
      </c>
      <c r="AB293" s="689">
        <f t="shared" si="1309"/>
        <v>7797.3792279725421</v>
      </c>
      <c r="AC293" s="689">
        <f t="shared" si="1309"/>
        <v>2197.4349960221557</v>
      </c>
      <c r="AD293" s="689">
        <f t="shared" si="1309"/>
        <v>13142.209488741895</v>
      </c>
      <c r="AE293" s="643">
        <f>AE291/AE8*1000000</f>
        <v>18464.183949111186</v>
      </c>
      <c r="AF293" s="592">
        <f t="shared" ref="AF293:AM293" si="1310">AF291*1000000/(AF8+AF19)</f>
        <v>6986.2367676907861</v>
      </c>
      <c r="AG293" s="592">
        <f t="shared" si="1310"/>
        <v>10300.589184626802</v>
      </c>
      <c r="AH293" s="592">
        <f t="shared" si="1310"/>
        <v>7128.5523767466793</v>
      </c>
      <c r="AI293" s="763">
        <f t="shared" si="1310"/>
        <v>7968.9923329860658</v>
      </c>
      <c r="AJ293" s="763">
        <f t="shared" si="1310"/>
        <v>11179.899993730996</v>
      </c>
      <c r="AK293" s="763">
        <f t="shared" si="1310"/>
        <v>8362.0233882085795</v>
      </c>
      <c r="AL293" s="763">
        <f t="shared" si="1310"/>
        <v>6850.2648800028355</v>
      </c>
      <c r="AM293" s="763">
        <f t="shared" si="1310"/>
        <v>11067.634449846126</v>
      </c>
      <c r="AN293" s="763">
        <f>AN291*1000000/(AN10+AN21)</f>
        <v>40769.281767955799</v>
      </c>
      <c r="AO293" s="763">
        <f>AO291*1000000/(AO8+AO19)</f>
        <v>11636.074683170444</v>
      </c>
      <c r="AP293" s="763">
        <f>AP291*1000000/(AP8+AP19)</f>
        <v>12504.208919868746</v>
      </c>
      <c r="AQ293" s="763">
        <f>AQ291*1000000/(AQ8+AQ19)</f>
        <v>86315.55636438106</v>
      </c>
      <c r="AR293" s="643">
        <f>AR291/AR8*1000000</f>
        <v>15907.354745632298</v>
      </c>
      <c r="AS293" s="689">
        <f t="shared" ref="AS293:BD293" si="1311">AS291*1000000/(AS8+AS19)</f>
        <v>6691.7810817969639</v>
      </c>
      <c r="AT293" s="1548">
        <f t="shared" si="1311"/>
        <v>10297.56176483719</v>
      </c>
      <c r="AU293" s="1548">
        <f t="shared" si="1311"/>
        <v>11284.591916061478</v>
      </c>
      <c r="AV293" s="1548">
        <f t="shared" si="1311"/>
        <v>8698.332862830046</v>
      </c>
      <c r="AW293" s="1548">
        <f t="shared" si="1311"/>
        <v>9019.3441172926996</v>
      </c>
      <c r="AX293" s="1548">
        <f t="shared" si="1311"/>
        <v>12482.154495749543</v>
      </c>
      <c r="AY293" s="1548">
        <f t="shared" si="1311"/>
        <v>14885.461346809207</v>
      </c>
      <c r="AZ293" s="1548">
        <f t="shared" si="1311"/>
        <v>11215.766112838432</v>
      </c>
      <c r="BA293" s="1548">
        <f t="shared" si="1311"/>
        <v>8130.351310699607</v>
      </c>
      <c r="BB293" s="1548">
        <f t="shared" si="1311"/>
        <v>9312.093570178793</v>
      </c>
      <c r="BC293" s="1548">
        <f t="shared" si="1311"/>
        <v>14773.854298006738</v>
      </c>
      <c r="BD293" s="1549">
        <f t="shared" si="1311"/>
        <v>54407.789770870746</v>
      </c>
      <c r="BE293" s="643">
        <f>BE291/BE8*1000000</f>
        <v>20188.477288161514</v>
      </c>
      <c r="BF293" s="1853">
        <f t="shared" ref="BF293:BQ293" si="1312">BF291*1000000/(BF8+BF19)</f>
        <v>9148.4659179702467</v>
      </c>
      <c r="BG293" s="1865">
        <f t="shared" si="1312"/>
        <v>16784.031378869033</v>
      </c>
      <c r="BH293" s="1865">
        <f t="shared" si="1312"/>
        <v>11385.192305970817</v>
      </c>
      <c r="BI293" s="1865">
        <f t="shared" si="1312"/>
        <v>13272.952191499238</v>
      </c>
      <c r="BJ293" s="1865">
        <f t="shared" si="1312"/>
        <v>12721.34022637775</v>
      </c>
      <c r="BK293" s="1865">
        <f t="shared" si="1312"/>
        <v>13515.990469707283</v>
      </c>
      <c r="BL293" s="1865">
        <f t="shared" si="1312"/>
        <v>19786.790064952282</v>
      </c>
      <c r="BM293" s="1865">
        <f t="shared" si="1312"/>
        <v>22745.228175330416</v>
      </c>
      <c r="BN293" s="1865">
        <f t="shared" si="1312"/>
        <v>28311.646473793029</v>
      </c>
      <c r="BO293" s="1865">
        <f t="shared" si="1312"/>
        <v>27863.17013245033</v>
      </c>
      <c r="BP293" s="1865">
        <f t="shared" si="1312"/>
        <v>19700.733140147524</v>
      </c>
      <c r="BQ293" s="1866">
        <f t="shared" si="1312"/>
        <v>18349.519880786243</v>
      </c>
      <c r="BR293" s="643">
        <f>BR291/BR8*1000000</f>
        <v>41721.768167494643</v>
      </c>
      <c r="BS293" s="1853">
        <f t="shared" ref="BS293:BX293" si="1313">BS291*1000000/(BS8+BS19)</f>
        <v>70087.460762845643</v>
      </c>
      <c r="BT293" s="1865">
        <f t="shared" si="1313"/>
        <v>14946.081589040319</v>
      </c>
      <c r="BU293" s="1865">
        <f t="shared" si="1313"/>
        <v>12594.922668523435</v>
      </c>
      <c r="BV293" s="1865">
        <f t="shared" si="1313"/>
        <v>17193.203384007556</v>
      </c>
      <c r="BW293" s="1865">
        <f t="shared" si="1313"/>
        <v>16262.446584420162</v>
      </c>
      <c r="BX293" s="1865">
        <f t="shared" si="1313"/>
        <v>28767.820685091872</v>
      </c>
      <c r="BY293" s="1865">
        <f t="shared" ref="BY293:CD293" si="1314">BY291*1000000/(BY8+BY19)</f>
        <v>49049.479233732651</v>
      </c>
      <c r="BZ293" s="1865">
        <f t="shared" si="1314"/>
        <v>22973.595483066019</v>
      </c>
      <c r="CA293" s="1865">
        <f t="shared" si="1314"/>
        <v>42564.124568976527</v>
      </c>
      <c r="CB293" s="1865">
        <f t="shared" si="1314"/>
        <v>43224.960650992143</v>
      </c>
      <c r="CC293" s="1865">
        <f t="shared" si="1314"/>
        <v>50990.962466905519</v>
      </c>
      <c r="CD293" s="1865">
        <f t="shared" si="1314"/>
        <v>98937.690494281764</v>
      </c>
      <c r="CE293" s="643">
        <f>CE291/CE8*1000000</f>
        <v>29911.418412386694</v>
      </c>
      <c r="CF293" s="1889">
        <v>26641.98927898816</v>
      </c>
      <c r="CG293" s="1895">
        <v>26641.98927898816</v>
      </c>
      <c r="CH293" s="1895">
        <v>26641.98927898816</v>
      </c>
      <c r="CI293" s="1895">
        <v>26641.98927898816</v>
      </c>
      <c r="CJ293" s="1895">
        <v>26641.98927898816</v>
      </c>
      <c r="CK293" s="1895">
        <v>26641.98927898816</v>
      </c>
      <c r="CL293" s="1895">
        <v>26641.98927898816</v>
      </c>
      <c r="CM293" s="1895">
        <v>26641.98927898816</v>
      </c>
      <c r="CN293" s="1895">
        <v>26641.98927898816</v>
      </c>
      <c r="CO293" s="1895">
        <v>26641.98927898816</v>
      </c>
      <c r="CP293" s="1895">
        <v>26641.98927898816</v>
      </c>
      <c r="CQ293" s="3172">
        <v>26641.98927898816</v>
      </c>
    </row>
    <row r="294" spans="1:95" s="430" customFormat="1" ht="16.5" customHeight="1">
      <c r="A294" s="1911"/>
      <c r="B294" s="3345" t="s">
        <v>290</v>
      </c>
      <c r="C294" s="3346"/>
      <c r="D294" s="292" t="s">
        <v>14</v>
      </c>
      <c r="E294" s="293">
        <f>SUM(F294:Q294)</f>
        <v>1127.782123</v>
      </c>
      <c r="F294" s="619">
        <v>25.184531</v>
      </c>
      <c r="G294" s="534">
        <v>57.365814999999998</v>
      </c>
      <c r="H294" s="534">
        <v>99.547371999999996</v>
      </c>
      <c r="I294" s="534">
        <v>22.202797</v>
      </c>
      <c r="J294" s="534">
        <v>35.701259999999998</v>
      </c>
      <c r="K294" s="534">
        <v>63.427059</v>
      </c>
      <c r="L294" s="534">
        <v>28.765917999999999</v>
      </c>
      <c r="M294" s="534">
        <v>132.02467200000001</v>
      </c>
      <c r="N294" s="1541">
        <v>94.023059000000003</v>
      </c>
      <c r="O294" s="1542">
        <v>73.034857000000002</v>
      </c>
      <c r="P294" s="534">
        <v>35.328128</v>
      </c>
      <c r="Q294" s="1543">
        <v>461.17665499999998</v>
      </c>
      <c r="R294" s="293">
        <f>SUM(S294:AD294)</f>
        <v>916.78913599999998</v>
      </c>
      <c r="S294" s="619">
        <v>42.284305000000003</v>
      </c>
      <c r="T294" s="534">
        <v>26.22973</v>
      </c>
      <c r="U294" s="1544">
        <v>64.245743000000004</v>
      </c>
      <c r="V294" s="534">
        <v>26.386717999999998</v>
      </c>
      <c r="W294" s="534">
        <v>35.987578999999997</v>
      </c>
      <c r="X294" s="534">
        <v>49.015402000000002</v>
      </c>
      <c r="Y294" s="534">
        <v>46.163125999999998</v>
      </c>
      <c r="Z294" s="534">
        <v>100.202851</v>
      </c>
      <c r="AA294" s="534">
        <v>47.698709999999998</v>
      </c>
      <c r="AB294" s="534">
        <v>33.822682</v>
      </c>
      <c r="AC294" s="534">
        <v>55.597529999999999</v>
      </c>
      <c r="AD294" s="534">
        <v>389.15476000000001</v>
      </c>
      <c r="AE294" s="293">
        <f>SUM(AF294:AQ294)</f>
        <v>1607.368285</v>
      </c>
      <c r="AF294" s="534">
        <v>19.359940000000002</v>
      </c>
      <c r="AG294" s="534">
        <v>35.585189</v>
      </c>
      <c r="AH294" s="534">
        <v>130.41625199999999</v>
      </c>
      <c r="AI294" s="534">
        <v>43.157463</v>
      </c>
      <c r="AJ294" s="534">
        <v>42.678823999999999</v>
      </c>
      <c r="AK294" s="534">
        <v>105.16668300000001</v>
      </c>
      <c r="AL294" s="534">
        <v>33.211081999999998</v>
      </c>
      <c r="AM294" s="534">
        <v>329.310585</v>
      </c>
      <c r="AN294" s="534">
        <v>142.65695199999999</v>
      </c>
      <c r="AO294" s="534">
        <v>64.686779999999999</v>
      </c>
      <c r="AP294" s="534">
        <v>24.624592</v>
      </c>
      <c r="AQ294" s="534">
        <v>636.51394300000004</v>
      </c>
      <c r="AR294" s="293">
        <f>SUM(AS294:BD294)</f>
        <v>11147.864294000001</v>
      </c>
      <c r="AS294" s="976">
        <v>26.759122999999999</v>
      </c>
      <c r="AT294" s="977">
        <v>42.469586999999997</v>
      </c>
      <c r="AU294" s="977">
        <v>50.254173000000002</v>
      </c>
      <c r="AV294" s="977">
        <v>42.347579000000003</v>
      </c>
      <c r="AW294" s="977">
        <v>77.901702</v>
      </c>
      <c r="AX294" s="977">
        <v>1995.0274690000001</v>
      </c>
      <c r="AY294" s="977">
        <v>13.673435</v>
      </c>
      <c r="AZ294" s="534">
        <v>128.46096800000001</v>
      </c>
      <c r="BA294" s="534">
        <v>1613.6948299999999</v>
      </c>
      <c r="BB294" s="534">
        <v>4339.5423280000005</v>
      </c>
      <c r="BC294" s="534">
        <v>-707.94438400000001</v>
      </c>
      <c r="BD294" s="534">
        <v>3525.6774839999998</v>
      </c>
      <c r="BE294" s="293">
        <f>SUM(BF294:BQ294)</f>
        <v>6230.3240829999995</v>
      </c>
      <c r="BF294" s="976">
        <v>2476.7279720000001</v>
      </c>
      <c r="BG294" s="977">
        <v>51.135303999999998</v>
      </c>
      <c r="BH294" s="977">
        <v>65.423214000000002</v>
      </c>
      <c r="BI294" s="977">
        <v>455.30721499999999</v>
      </c>
      <c r="BJ294" s="977">
        <v>-8.6358479999999993</v>
      </c>
      <c r="BK294" s="977">
        <v>255.52944600000001</v>
      </c>
      <c r="BL294" s="977">
        <v>67.165719999999993</v>
      </c>
      <c r="BM294" s="977">
        <v>121.758163</v>
      </c>
      <c r="BN294" s="977">
        <v>1424.6119639999999</v>
      </c>
      <c r="BO294" s="977">
        <v>280.24324000000001</v>
      </c>
      <c r="BP294" s="977">
        <v>845.76338199999998</v>
      </c>
      <c r="BQ294" s="1767">
        <v>195.29431099999999</v>
      </c>
      <c r="BR294" s="293">
        <f>SUM(BS294:CD294)</f>
        <v>1578.3126009999887</v>
      </c>
      <c r="BS294" s="976">
        <v>67.117108000000002</v>
      </c>
      <c r="BT294" s="977">
        <v>226.81696400000001</v>
      </c>
      <c r="BU294" s="977">
        <v>38.709789000000001</v>
      </c>
      <c r="BV294" s="977">
        <v>112.287032</v>
      </c>
      <c r="BW294" s="977">
        <v>46.427883999999999</v>
      </c>
      <c r="BX294" s="977">
        <v>135.186508</v>
      </c>
      <c r="BY294" s="977">
        <v>204.687558</v>
      </c>
      <c r="BZ294" s="977">
        <v>262.39109400000001</v>
      </c>
      <c r="CA294" s="977">
        <v>149.42053799999999</v>
      </c>
      <c r="CB294" s="977">
        <v>74.898223999999999</v>
      </c>
      <c r="CC294" s="977">
        <f>114.89886+0.300908999988556</f>
        <v>115.19976899998855</v>
      </c>
      <c r="CD294" s="1767">
        <v>145.17013299999999</v>
      </c>
      <c r="CE294" s="293">
        <f>SUM(CF294:CQ294)</f>
        <v>6653.0905700000003</v>
      </c>
      <c r="CF294" s="976">
        <v>177.15148689393942</v>
      </c>
      <c r="CG294" s="977">
        <f>277.151486893939+100</f>
        <v>377.15148689393902</v>
      </c>
      <c r="CH294" s="977">
        <f>177.151486893939+400-500</f>
        <v>77.151486893939023</v>
      </c>
      <c r="CI294" s="977">
        <v>177.15148689393942</v>
      </c>
      <c r="CJ294" s="977">
        <v>177.15148689393942</v>
      </c>
      <c r="CK294" s="977">
        <f>177.151486893939+400+300</f>
        <v>877.15148689393902</v>
      </c>
      <c r="CL294" s="977">
        <f>177.151486893939+200</f>
        <v>377.15148689393902</v>
      </c>
      <c r="CM294" s="977">
        <v>177.15148689393942</v>
      </c>
      <c r="CN294" s="977">
        <f>177.151486893939+500</f>
        <v>677.15148689393902</v>
      </c>
      <c r="CO294" s="977">
        <f>177.151486893939+400</f>
        <v>577.15148689393902</v>
      </c>
      <c r="CP294" s="977">
        <f>177.151486893939+900</f>
        <v>1077.1514868939389</v>
      </c>
      <c r="CQ294" s="1767">
        <f>4604.42421416667-1200-1500</f>
        <v>1904.42421416667</v>
      </c>
    </row>
    <row r="295" spans="1:95">
      <c r="B295" s="3344"/>
      <c r="C295" s="3344"/>
      <c r="D295" s="3344"/>
      <c r="E295" s="536"/>
      <c r="F295" s="536"/>
      <c r="G295" s="536"/>
      <c r="H295" s="536"/>
      <c r="I295" s="536"/>
      <c r="J295" s="536"/>
      <c r="K295" s="536"/>
      <c r="L295" s="536"/>
      <c r="M295" s="536"/>
      <c r="N295" s="536"/>
      <c r="O295" s="536"/>
      <c r="P295" s="536"/>
      <c r="Q295" s="537"/>
      <c r="R295" s="536"/>
      <c r="S295" s="536"/>
      <c r="T295" s="536"/>
      <c r="U295" s="536"/>
      <c r="V295" s="536"/>
      <c r="W295" s="536"/>
      <c r="X295" s="536"/>
      <c r="Y295" s="536"/>
      <c r="Z295" s="536"/>
      <c r="AA295" s="536"/>
      <c r="AB295" s="536"/>
      <c r="AC295" s="536"/>
      <c r="AD295" s="536"/>
      <c r="AE295" s="536"/>
      <c r="AF295" s="536"/>
      <c r="AG295" s="536"/>
      <c r="AH295" s="536"/>
      <c r="AI295" s="536"/>
      <c r="AJ295" s="536"/>
      <c r="AK295" s="536"/>
      <c r="AL295" s="536"/>
      <c r="AM295" s="536"/>
      <c r="AN295" s="536"/>
      <c r="AO295" s="536"/>
      <c r="AP295" s="536"/>
      <c r="AQ295" s="537"/>
      <c r="AR295" s="536"/>
      <c r="AS295" s="536"/>
      <c r="AT295" s="536"/>
      <c r="AU295" s="536"/>
      <c r="AV295" s="536"/>
      <c r="AW295" s="536"/>
      <c r="AX295" s="536"/>
      <c r="AY295" s="536"/>
      <c r="AZ295" s="536"/>
      <c r="BA295" s="536"/>
      <c r="BB295" s="536"/>
      <c r="BC295" s="536"/>
      <c r="BD295" s="537"/>
      <c r="BE295" s="1671"/>
      <c r="BF295" s="537"/>
      <c r="BG295" s="1425"/>
      <c r="BH295" s="537"/>
      <c r="BI295" s="537"/>
      <c r="BJ295" s="537"/>
      <c r="BK295" s="537"/>
      <c r="BL295" s="537"/>
      <c r="BM295" s="537"/>
      <c r="BN295" s="537"/>
      <c r="BO295" s="537"/>
      <c r="BP295" s="537"/>
      <c r="BQ295" s="537"/>
      <c r="BR295" s="1671"/>
      <c r="BS295" s="537"/>
      <c r="BT295" s="1425"/>
      <c r="BU295" s="537"/>
      <c r="BV295" s="537"/>
      <c r="BW295" s="537"/>
      <c r="BX295" s="537"/>
      <c r="BY295" s="537"/>
      <c r="BZ295" s="537"/>
      <c r="CA295" s="537"/>
      <c r="CB295" s="537"/>
      <c r="CC295" s="537"/>
      <c r="CD295" s="537"/>
      <c r="CE295" s="1671"/>
      <c r="CF295" s="537"/>
      <c r="CG295" s="1425"/>
      <c r="CH295" s="537"/>
      <c r="CI295" s="537"/>
      <c r="CJ295" s="537"/>
      <c r="CK295" s="537"/>
      <c r="CL295" s="537"/>
      <c r="CM295" s="537"/>
      <c r="CN295" s="537"/>
      <c r="CO295" s="537"/>
      <c r="CP295" s="537"/>
      <c r="CQ295" s="537"/>
    </row>
    <row r="296" spans="1:95" ht="21">
      <c r="B296" s="11" t="s">
        <v>187</v>
      </c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488"/>
      <c r="R296" s="121"/>
      <c r="S296" s="121"/>
      <c r="T296" s="121"/>
      <c r="U296" s="121"/>
      <c r="V296" s="121"/>
      <c r="W296" s="121"/>
      <c r="X296" s="121"/>
      <c r="Y296" s="121"/>
      <c r="Z296" s="121"/>
      <c r="AA296" s="121"/>
      <c r="AB296" s="121"/>
      <c r="AC296" s="121"/>
      <c r="AD296" s="488"/>
      <c r="AE296" s="121"/>
      <c r="AF296" s="121"/>
      <c r="AG296" s="121"/>
      <c r="AH296" s="121"/>
      <c r="AI296" s="121"/>
      <c r="AJ296" s="121"/>
      <c r="AK296" s="121"/>
      <c r="AL296" s="121"/>
      <c r="AM296" s="121"/>
      <c r="AN296" s="121"/>
      <c r="AO296" s="121"/>
      <c r="AP296" s="121"/>
      <c r="AQ296" s="488"/>
      <c r="AR296" s="121"/>
      <c r="AS296" s="121"/>
      <c r="AT296" s="121"/>
      <c r="AU296" s="121"/>
      <c r="AV296" s="121"/>
      <c r="AW296" s="121"/>
      <c r="AX296" s="121"/>
      <c r="AY296" s="121"/>
      <c r="AZ296" s="121"/>
      <c r="BA296" s="121"/>
      <c r="BB296" s="121"/>
      <c r="BC296" s="121"/>
      <c r="BD296" s="488"/>
      <c r="BE296" s="488"/>
      <c r="BF296" s="488"/>
      <c r="BG296" s="488"/>
      <c r="BH296" s="488"/>
      <c r="BI296" s="488"/>
      <c r="BJ296" s="488"/>
      <c r="BK296" s="488"/>
      <c r="BL296" s="488"/>
      <c r="BM296" s="423"/>
      <c r="BN296" s="488"/>
      <c r="BO296" s="488"/>
      <c r="BP296" s="488"/>
      <c r="BQ296" s="488"/>
      <c r="BR296" s="488"/>
      <c r="BS296" s="488"/>
      <c r="BT296" s="488"/>
      <c r="BU296" s="488"/>
      <c r="BV296" s="488"/>
      <c r="BW296" s="488"/>
      <c r="BX296" s="488"/>
      <c r="BY296" s="488"/>
      <c r="BZ296" s="423"/>
      <c r="CA296" s="488"/>
      <c r="CB296" s="488"/>
      <c r="CC296" s="488"/>
      <c r="CD296" s="488"/>
      <c r="CE296" s="488"/>
      <c r="CF296" s="488"/>
      <c r="CG296" s="488"/>
      <c r="CH296" s="488"/>
      <c r="CI296" s="488"/>
      <c r="CJ296" s="423"/>
      <c r="CK296" s="488"/>
      <c r="CL296" s="488"/>
      <c r="CM296" s="423"/>
      <c r="CN296" s="488"/>
      <c r="CO296" s="488"/>
      <c r="CP296" s="488"/>
      <c r="CQ296" s="488"/>
    </row>
    <row r="297" spans="1:95">
      <c r="B297" s="3340" t="s">
        <v>188</v>
      </c>
      <c r="C297" s="3341"/>
      <c r="D297" s="240" t="s">
        <v>14</v>
      </c>
      <c r="E297" s="243">
        <f>SUM(F297:Q297)</f>
        <v>309.43682200000001</v>
      </c>
      <c r="F297" s="620">
        <v>4.883</v>
      </c>
      <c r="G297" s="620">
        <v>5.99085</v>
      </c>
      <c r="H297" s="620">
        <v>37.911250000000003</v>
      </c>
      <c r="I297" s="538">
        <v>11.296749999999999</v>
      </c>
      <c r="J297" s="538">
        <v>9.0888600000000004</v>
      </c>
      <c r="K297" s="538">
        <v>47.15605</v>
      </c>
      <c r="L297" s="538">
        <v>10.39968</v>
      </c>
      <c r="M297" s="538">
        <v>20.377780000000001</v>
      </c>
      <c r="N297" s="538">
        <v>10.369187</v>
      </c>
      <c r="O297" s="538">
        <v>39.018684999999998</v>
      </c>
      <c r="P297" s="538">
        <v>25.460732</v>
      </c>
      <c r="Q297" s="539">
        <v>87.483998</v>
      </c>
      <c r="R297" s="243">
        <f>SUM(S297:AD297)</f>
        <v>2055.8423969999999</v>
      </c>
      <c r="S297" s="620">
        <f t="shared" ref="S297:AQ297" si="1315">S298</f>
        <v>28.441258000000001</v>
      </c>
      <c r="T297" s="620">
        <f t="shared" si="1315"/>
        <v>12.942660999999999</v>
      </c>
      <c r="U297" s="620">
        <f t="shared" si="1315"/>
        <v>42.869607999999999</v>
      </c>
      <c r="V297" s="538">
        <f t="shared" si="1315"/>
        <v>7.2248200000000002</v>
      </c>
      <c r="W297" s="538">
        <f t="shared" si="1315"/>
        <v>-23.89329</v>
      </c>
      <c r="X297" s="538">
        <f t="shared" si="1315"/>
        <v>34.989319999999999</v>
      </c>
      <c r="Y297" s="538">
        <f t="shared" si="1315"/>
        <v>1.30402</v>
      </c>
      <c r="Z297" s="538">
        <f t="shared" si="1315"/>
        <v>17</v>
      </c>
      <c r="AA297" s="538">
        <f t="shared" si="1315"/>
        <v>0</v>
      </c>
      <c r="AB297" s="538">
        <f t="shared" si="1315"/>
        <v>486.464</v>
      </c>
      <c r="AC297" s="538">
        <f t="shared" si="1315"/>
        <v>1170</v>
      </c>
      <c r="AD297" s="538">
        <f t="shared" si="1315"/>
        <v>278.5</v>
      </c>
      <c r="AE297" s="243">
        <f>SUM(AF297:AQ297)</f>
        <v>60.945455000000003</v>
      </c>
      <c r="AF297" s="620">
        <f t="shared" si="1315"/>
        <v>0</v>
      </c>
      <c r="AG297" s="620">
        <f t="shared" si="1315"/>
        <v>0</v>
      </c>
      <c r="AH297" s="620">
        <f t="shared" si="1315"/>
        <v>15.6</v>
      </c>
      <c r="AI297" s="538">
        <f t="shared" si="1315"/>
        <v>0</v>
      </c>
      <c r="AJ297" s="538">
        <f t="shared" si="1315"/>
        <v>0</v>
      </c>
      <c r="AK297" s="538">
        <f t="shared" si="1315"/>
        <v>12.6</v>
      </c>
      <c r="AL297" s="538">
        <f t="shared" si="1315"/>
        <v>0.54545500000000002</v>
      </c>
      <c r="AM297" s="538">
        <f t="shared" si="1315"/>
        <v>0</v>
      </c>
      <c r="AN297" s="538">
        <f t="shared" si="1315"/>
        <v>12.6</v>
      </c>
      <c r="AO297" s="538">
        <f t="shared" si="1315"/>
        <v>7</v>
      </c>
      <c r="AP297" s="538">
        <f t="shared" si="1315"/>
        <v>0</v>
      </c>
      <c r="AQ297" s="539">
        <f t="shared" si="1315"/>
        <v>12.6</v>
      </c>
      <c r="AR297" s="243">
        <f>SUM(AS297:BD297)</f>
        <v>124.26436200000002</v>
      </c>
      <c r="AS297" s="933">
        <f t="shared" ref="AS297:CQ297" si="1316">AS298</f>
        <v>0</v>
      </c>
      <c r="AT297" s="934">
        <f t="shared" si="1316"/>
        <v>0</v>
      </c>
      <c r="AU297" s="934">
        <f t="shared" si="1316"/>
        <v>2.809091</v>
      </c>
      <c r="AV297" s="934">
        <f t="shared" si="1316"/>
        <v>1</v>
      </c>
      <c r="AW297" s="934">
        <f t="shared" si="1316"/>
        <v>0.98181799999999997</v>
      </c>
      <c r="AX297" s="934">
        <f t="shared" si="1316"/>
        <v>0.836364</v>
      </c>
      <c r="AY297" s="934">
        <f t="shared" si="1316"/>
        <v>32.145454000000001</v>
      </c>
      <c r="AZ297" s="934">
        <f t="shared" si="1316"/>
        <v>29.818000000000001</v>
      </c>
      <c r="BA297" s="934">
        <f t="shared" si="1316"/>
        <v>0.47272700000000001</v>
      </c>
      <c r="BB297" s="934">
        <f t="shared" si="1316"/>
        <v>43.416908999999997</v>
      </c>
      <c r="BC297" s="934">
        <f t="shared" si="1316"/>
        <v>0.55454499999999995</v>
      </c>
      <c r="BD297" s="935">
        <f t="shared" si="1316"/>
        <v>12.229454</v>
      </c>
      <c r="BE297" s="243">
        <f>SUM(BF297:BQ297)</f>
        <v>248.94518100000002</v>
      </c>
      <c r="BF297" s="933">
        <f t="shared" si="1316"/>
        <v>20.399999999999999</v>
      </c>
      <c r="BG297" s="934">
        <f t="shared" si="1316"/>
        <v>27.135909000000002</v>
      </c>
      <c r="BH297" s="934">
        <f t="shared" si="1316"/>
        <v>0.38181799999999999</v>
      </c>
      <c r="BI297" s="934">
        <f t="shared" si="1316"/>
        <v>37.081817999999998</v>
      </c>
      <c r="BJ297" s="934">
        <f t="shared" si="1316"/>
        <v>2.5090910000000002</v>
      </c>
      <c r="BK297" s="934">
        <f t="shared" si="1316"/>
        <v>2.9227270000000001</v>
      </c>
      <c r="BL297" s="934">
        <f t="shared" si="1316"/>
        <v>26.463636000000001</v>
      </c>
      <c r="BM297" s="934">
        <f t="shared" si="1316"/>
        <v>12.990909</v>
      </c>
      <c r="BN297" s="934">
        <f t="shared" si="1316"/>
        <v>32.010727000000003</v>
      </c>
      <c r="BO297" s="934">
        <f t="shared" si="1316"/>
        <v>20.619</v>
      </c>
      <c r="BP297" s="934">
        <f t="shared" si="1316"/>
        <v>33.58</v>
      </c>
      <c r="BQ297" s="1877">
        <f t="shared" si="1316"/>
        <v>32.849545999999997</v>
      </c>
      <c r="BR297" s="243">
        <f>SUM(BS297:CD297)</f>
        <v>621.81873499999995</v>
      </c>
      <c r="BS297" s="933">
        <f t="shared" si="1316"/>
        <v>28.158999999999999</v>
      </c>
      <c r="BT297" s="934">
        <f t="shared" si="1316"/>
        <v>40.013727000000003</v>
      </c>
      <c r="BU297" s="934">
        <f t="shared" si="1316"/>
        <v>18.812999999999999</v>
      </c>
      <c r="BV297" s="934">
        <f t="shared" si="1316"/>
        <v>38.265999999999998</v>
      </c>
      <c r="BW297" s="934">
        <f t="shared" si="1316"/>
        <v>27.242000000000001</v>
      </c>
      <c r="BX297" s="934">
        <f t="shared" si="1316"/>
        <v>39.036999999999999</v>
      </c>
      <c r="BY297" s="934">
        <f t="shared" si="1316"/>
        <v>116.03700000000001</v>
      </c>
      <c r="BZ297" s="934">
        <f t="shared" si="1316"/>
        <v>72.41</v>
      </c>
      <c r="CA297" s="934">
        <f t="shared" si="1316"/>
        <v>84.063007999999996</v>
      </c>
      <c r="CB297" s="934">
        <f t="shared" si="1316"/>
        <v>34.326999999999998</v>
      </c>
      <c r="CC297" s="934">
        <f t="shared" si="1316"/>
        <v>24.561</v>
      </c>
      <c r="CD297" s="1877">
        <f t="shared" si="1316"/>
        <v>98.89</v>
      </c>
      <c r="CE297" s="243">
        <f>SUM(CF297:CQ297)</f>
        <v>630.16472400000009</v>
      </c>
      <c r="CF297" s="933">
        <f t="shared" si="1316"/>
        <v>52.513727000000003</v>
      </c>
      <c r="CG297" s="934">
        <f t="shared" si="1316"/>
        <v>52.513727000000003</v>
      </c>
      <c r="CH297" s="934">
        <f t="shared" si="1316"/>
        <v>52.513727000000003</v>
      </c>
      <c r="CI297" s="934">
        <f t="shared" si="1316"/>
        <v>52.513727000000003</v>
      </c>
      <c r="CJ297" s="934">
        <f t="shared" si="1316"/>
        <v>52.513727000000003</v>
      </c>
      <c r="CK297" s="934">
        <f t="shared" si="1316"/>
        <v>52.513727000000003</v>
      </c>
      <c r="CL297" s="934">
        <f t="shared" si="1316"/>
        <v>52.513727000000003</v>
      </c>
      <c r="CM297" s="934">
        <f t="shared" si="1316"/>
        <v>52.513727000000003</v>
      </c>
      <c r="CN297" s="934">
        <f t="shared" si="1316"/>
        <v>52.513727000000003</v>
      </c>
      <c r="CO297" s="934">
        <f t="shared" si="1316"/>
        <v>52.513727000000003</v>
      </c>
      <c r="CP297" s="934">
        <f t="shared" si="1316"/>
        <v>52.513727000000003</v>
      </c>
      <c r="CQ297" s="1877">
        <f t="shared" si="1316"/>
        <v>52.513727000000003</v>
      </c>
    </row>
    <row r="298" spans="1:95">
      <c r="B298" s="3334"/>
      <c r="C298" s="3335"/>
      <c r="D298" s="71" t="s">
        <v>189</v>
      </c>
      <c r="E298" s="125">
        <f>SUM(F298:Q298)</f>
        <v>309.43682200000001</v>
      </c>
      <c r="F298" s="574">
        <v>4.883</v>
      </c>
      <c r="G298" s="594">
        <v>5.99085</v>
      </c>
      <c r="H298" s="594">
        <v>37.911250000000003</v>
      </c>
      <c r="I298" s="594">
        <v>11.296749999999999</v>
      </c>
      <c r="J298" s="594">
        <v>9.0888600000000004</v>
      </c>
      <c r="K298" s="594">
        <v>47.15605</v>
      </c>
      <c r="L298" s="594">
        <v>10.39968</v>
      </c>
      <c r="M298" s="594">
        <v>20.377780000000001</v>
      </c>
      <c r="N298" s="574">
        <v>10.369187</v>
      </c>
      <c r="O298" s="594">
        <v>39.018684999999998</v>
      </c>
      <c r="P298" s="594">
        <v>25.460732</v>
      </c>
      <c r="Q298" s="671">
        <v>87.483998</v>
      </c>
      <c r="R298" s="125">
        <f>SUM(S298:AD298)</f>
        <v>2055.8423969999999</v>
      </c>
      <c r="S298" s="574">
        <v>28.441258000000001</v>
      </c>
      <c r="T298" s="574">
        <v>12.942660999999999</v>
      </c>
      <c r="U298" s="574">
        <v>42.869607999999999</v>
      </c>
      <c r="V298" s="574">
        <v>7.2248200000000002</v>
      </c>
      <c r="W298" s="574">
        <v>-23.89329</v>
      </c>
      <c r="X298" s="574">
        <v>34.989319999999999</v>
      </c>
      <c r="Y298" s="574">
        <v>1.30402</v>
      </c>
      <c r="Z298" s="574">
        <v>17</v>
      </c>
      <c r="AA298" s="574">
        <v>0</v>
      </c>
      <c r="AB298" s="574">
        <v>486.464</v>
      </c>
      <c r="AC298" s="574">
        <v>1170</v>
      </c>
      <c r="AD298" s="574">
        <v>278.5</v>
      </c>
      <c r="AE298" s="125">
        <f>SUM(AF298:AQ298)</f>
        <v>60.945455000000003</v>
      </c>
      <c r="AF298" s="485">
        <v>0</v>
      </c>
      <c r="AG298" s="485">
        <v>0</v>
      </c>
      <c r="AH298" s="485">
        <v>15.6</v>
      </c>
      <c r="AI298" s="485">
        <v>0</v>
      </c>
      <c r="AJ298" s="485"/>
      <c r="AK298" s="485">
        <v>12.6</v>
      </c>
      <c r="AL298" s="485">
        <v>0.54545500000000002</v>
      </c>
      <c r="AM298" s="485"/>
      <c r="AN298" s="485">
        <v>12.6</v>
      </c>
      <c r="AO298" s="485">
        <v>7</v>
      </c>
      <c r="AP298" s="485"/>
      <c r="AQ298" s="485">
        <v>12.6</v>
      </c>
      <c r="AR298" s="125">
        <f>SUM(AS298:BD298)</f>
        <v>124.26436200000002</v>
      </c>
      <c r="AS298" s="574">
        <v>0</v>
      </c>
      <c r="AT298" s="594">
        <v>0</v>
      </c>
      <c r="AU298" s="594">
        <v>2.809091</v>
      </c>
      <c r="AV298" s="594">
        <v>1</v>
      </c>
      <c r="AW298" s="594">
        <v>0.98181799999999997</v>
      </c>
      <c r="AX298" s="594">
        <v>0.836364</v>
      </c>
      <c r="AY298" s="594">
        <v>32.145454000000001</v>
      </c>
      <c r="AZ298" s="1550">
        <v>29.818000000000001</v>
      </c>
      <c r="BA298" s="485">
        <v>0.47272700000000001</v>
      </c>
      <c r="BB298" s="485">
        <v>43.416908999999997</v>
      </c>
      <c r="BC298" s="485">
        <v>0.55454499999999995</v>
      </c>
      <c r="BD298" s="1551">
        <v>12.229454</v>
      </c>
      <c r="BE298" s="125">
        <f>SUM(BF298:BQ298)</f>
        <v>248.94518100000002</v>
      </c>
      <c r="BF298" s="1867">
        <v>20.399999999999999</v>
      </c>
      <c r="BG298" s="1868">
        <v>27.135909000000002</v>
      </c>
      <c r="BH298" s="1868">
        <v>0.38181799999999999</v>
      </c>
      <c r="BI298" s="1868">
        <v>37.081817999999998</v>
      </c>
      <c r="BJ298" s="1868">
        <v>2.5090910000000002</v>
      </c>
      <c r="BK298" s="1868">
        <v>2.9227270000000001</v>
      </c>
      <c r="BL298" s="1868">
        <v>26.463636000000001</v>
      </c>
      <c r="BM298" s="1868">
        <v>12.990909</v>
      </c>
      <c r="BN298" s="1868">
        <v>32.010727000000003</v>
      </c>
      <c r="BO298" s="1868">
        <v>20.619</v>
      </c>
      <c r="BP298" s="1868">
        <v>33.58</v>
      </c>
      <c r="BQ298" s="1869">
        <v>32.849545999999997</v>
      </c>
      <c r="BR298" s="125">
        <f>SUM(BS298:CD298)</f>
        <v>621.81873499999995</v>
      </c>
      <c r="BS298" s="1867">
        <v>28.158999999999999</v>
      </c>
      <c r="BT298" s="1868">
        <v>40.013727000000003</v>
      </c>
      <c r="BU298" s="1868">
        <v>18.812999999999999</v>
      </c>
      <c r="BV298" s="1868">
        <v>38.265999999999998</v>
      </c>
      <c r="BW298" s="1868">
        <v>27.242000000000001</v>
      </c>
      <c r="BX298" s="1868">
        <v>39.036999999999999</v>
      </c>
      <c r="BY298" s="1868">
        <v>116.03700000000001</v>
      </c>
      <c r="BZ298" s="1868">
        <v>72.41</v>
      </c>
      <c r="CA298" s="1868">
        <v>84.063007999999996</v>
      </c>
      <c r="CB298" s="1868">
        <v>34.326999999999998</v>
      </c>
      <c r="CC298" s="1868">
        <v>24.561</v>
      </c>
      <c r="CD298" s="1869">
        <v>98.89</v>
      </c>
      <c r="CE298" s="125">
        <f>SUM(CF298:CQ298)</f>
        <v>630.16472400000009</v>
      </c>
      <c r="CF298" s="3171">
        <v>52.513727000000003</v>
      </c>
      <c r="CG298" s="1896">
        <v>52.513727000000003</v>
      </c>
      <c r="CH298" s="1896">
        <v>52.513727000000003</v>
      </c>
      <c r="CI298" s="1896">
        <v>52.513727000000003</v>
      </c>
      <c r="CJ298" s="1896">
        <v>52.513727000000003</v>
      </c>
      <c r="CK298" s="1896">
        <v>52.513727000000003</v>
      </c>
      <c r="CL298" s="1896">
        <v>52.513727000000003</v>
      </c>
      <c r="CM298" s="1896">
        <v>52.513727000000003</v>
      </c>
      <c r="CN298" s="1896">
        <v>52.513727000000003</v>
      </c>
      <c r="CO298" s="1896">
        <v>52.513727000000003</v>
      </c>
      <c r="CP298" s="1896">
        <v>52.513727000000003</v>
      </c>
      <c r="CQ298" s="2810">
        <v>52.513727000000003</v>
      </c>
    </row>
    <row r="299" spans="1:95" s="430" customFormat="1" ht="16.5" customHeight="1">
      <c r="A299" s="1911"/>
      <c r="B299" s="3342" t="s">
        <v>210</v>
      </c>
      <c r="C299" s="3342"/>
      <c r="D299" s="3343"/>
      <c r="E299" s="242" t="e">
        <f>E297*1000000/(#REF!-#REF!)</f>
        <v>#REF!</v>
      </c>
      <c r="F299" s="485">
        <v>1805.1756007393715</v>
      </c>
      <c r="G299" s="485">
        <v>1685.1898734177216</v>
      </c>
      <c r="H299" s="485">
        <v>10533.828841344819</v>
      </c>
      <c r="I299" s="485">
        <v>3280.1248548199765</v>
      </c>
      <c r="J299" s="485">
        <v>1256.9298852164295</v>
      </c>
      <c r="K299" s="485">
        <v>11718.700298210735</v>
      </c>
      <c r="L299" s="485">
        <v>2000.7079646017701</v>
      </c>
      <c r="M299" s="485">
        <v>3307.0074651087311</v>
      </c>
      <c r="N299" s="657">
        <v>187.79996015503315</v>
      </c>
      <c r="O299" s="657">
        <v>614.27400818639796</v>
      </c>
      <c r="P299" s="485">
        <v>2989.0504813336465</v>
      </c>
      <c r="Q299" s="485">
        <v>16647.76365366318</v>
      </c>
      <c r="R299" s="708">
        <f t="shared" ref="R299:AM299" si="1317">R298*1000000/(R14+R15)</f>
        <v>34045.017007253336</v>
      </c>
      <c r="S299" s="485">
        <f t="shared" si="1317"/>
        <v>5090.6135672095934</v>
      </c>
      <c r="T299" s="485">
        <f t="shared" si="1317"/>
        <v>2627.9514720812181</v>
      </c>
      <c r="U299" s="485">
        <f t="shared" si="1317"/>
        <v>7273.4319647098746</v>
      </c>
      <c r="V299" s="485">
        <f t="shared" si="1317"/>
        <v>1468.1609428977849</v>
      </c>
      <c r="W299" s="485">
        <f t="shared" si="1317"/>
        <v>-6026.0504413619165</v>
      </c>
      <c r="X299" s="485">
        <f t="shared" si="1317"/>
        <v>9367.9571619812577</v>
      </c>
      <c r="Y299" s="485">
        <f t="shared" si="1317"/>
        <v>397.5670731707317</v>
      </c>
      <c r="Z299" s="485">
        <f t="shared" si="1317"/>
        <v>2635.2503487831345</v>
      </c>
      <c r="AA299" s="485">
        <f t="shared" si="1317"/>
        <v>0</v>
      </c>
      <c r="AB299" s="485">
        <f t="shared" si="1317"/>
        <v>46757.400999615529</v>
      </c>
      <c r="AC299" s="485">
        <f t="shared" si="1317"/>
        <v>311667.55460841767</v>
      </c>
      <c r="AD299" s="485">
        <f t="shared" si="1317"/>
        <v>93456.375838926178</v>
      </c>
      <c r="AE299" s="708">
        <f t="shared" si="1317"/>
        <v>1028.597913959258</v>
      </c>
      <c r="AF299" s="485">
        <f t="shared" si="1317"/>
        <v>0</v>
      </c>
      <c r="AG299" s="485">
        <f t="shared" si="1317"/>
        <v>0</v>
      </c>
      <c r="AH299" s="485">
        <f t="shared" si="1317"/>
        <v>2763.9971651311125</v>
      </c>
      <c r="AI299" s="485">
        <f t="shared" si="1317"/>
        <v>0</v>
      </c>
      <c r="AJ299" s="485">
        <f t="shared" si="1317"/>
        <v>0</v>
      </c>
      <c r="AK299" s="485">
        <f t="shared" si="1317"/>
        <v>3557.312252964427</v>
      </c>
      <c r="AL299" s="485">
        <f t="shared" si="1317"/>
        <v>174.43396226415095</v>
      </c>
      <c r="AM299" s="485">
        <f t="shared" si="1317"/>
        <v>0</v>
      </c>
      <c r="AN299" s="485">
        <f>AN298*1000000/(AN16+AN17)</f>
        <v>2027.0270270270271</v>
      </c>
      <c r="AO299" s="485">
        <f t="shared" ref="AO299:BT299" si="1318">AO298*1000000/(AO14+AO15)</f>
        <v>618.75718200300537</v>
      </c>
      <c r="AP299" s="485">
        <f t="shared" si="1318"/>
        <v>0</v>
      </c>
      <c r="AQ299" s="485">
        <f t="shared" si="1318"/>
        <v>4452.2968197879854</v>
      </c>
      <c r="AR299" s="708">
        <f t="shared" si="1318"/>
        <v>2110.8266009852218</v>
      </c>
      <c r="AS299" s="1552">
        <f t="shared" si="1318"/>
        <v>0</v>
      </c>
      <c r="AT299" s="485">
        <f t="shared" si="1318"/>
        <v>0</v>
      </c>
      <c r="AU299" s="485">
        <f t="shared" si="1318"/>
        <v>947.41686340640808</v>
      </c>
      <c r="AV299" s="485">
        <f t="shared" si="1318"/>
        <v>338.9830508474576</v>
      </c>
      <c r="AW299" s="485">
        <f t="shared" si="1318"/>
        <v>212.88334778837813</v>
      </c>
      <c r="AX299" s="485">
        <f t="shared" si="1318"/>
        <v>204.1904296875</v>
      </c>
      <c r="AY299" s="485">
        <f t="shared" si="1318"/>
        <v>8720.9587628865975</v>
      </c>
      <c r="AZ299" s="485">
        <f t="shared" si="1318"/>
        <v>4441.8292864591094</v>
      </c>
      <c r="BA299" s="485">
        <f t="shared" si="1318"/>
        <v>204.02546396201984</v>
      </c>
      <c r="BB299" s="485">
        <f t="shared" si="1318"/>
        <v>2723.087619167085</v>
      </c>
      <c r="BC299" s="485">
        <f t="shared" si="1318"/>
        <v>122.22724267136874</v>
      </c>
      <c r="BD299" s="1551">
        <f t="shared" si="1318"/>
        <v>3813.3626442157779</v>
      </c>
      <c r="BE299" s="708">
        <f t="shared" si="1318"/>
        <v>2438.3680003917921</v>
      </c>
      <c r="BF299" s="1870">
        <f t="shared" si="1318"/>
        <v>2319.4997157475837</v>
      </c>
      <c r="BG299" s="1871">
        <f t="shared" si="1318"/>
        <v>4099.0799093655587</v>
      </c>
      <c r="BH299" s="1871">
        <f t="shared" si="1318"/>
        <v>81.082607772350812</v>
      </c>
      <c r="BI299" s="1871">
        <f t="shared" si="1318"/>
        <v>5601.4830815709965</v>
      </c>
      <c r="BJ299" s="1871">
        <f t="shared" si="1318"/>
        <v>384.94799018103714</v>
      </c>
      <c r="BK299" s="1871">
        <f t="shared" si="1318"/>
        <v>738.62193580995699</v>
      </c>
      <c r="BL299" s="1871">
        <f t="shared" si="1318"/>
        <v>2775.7117684078034</v>
      </c>
      <c r="BM299" s="1871">
        <f t="shared" si="1318"/>
        <v>1882.1948710518691</v>
      </c>
      <c r="BN299" s="1871">
        <f t="shared" si="1318"/>
        <v>1583.2786131170246</v>
      </c>
      <c r="BO299" s="1871">
        <f t="shared" si="1318"/>
        <v>1362.6990945740533</v>
      </c>
      <c r="BP299" s="1871">
        <f t="shared" si="1318"/>
        <v>4827.4870615296149</v>
      </c>
      <c r="BQ299" s="1872">
        <f t="shared" si="1318"/>
        <v>5354.4492257538705</v>
      </c>
      <c r="BR299" s="708">
        <f t="shared" si="1318"/>
        <v>4923.7369150368204</v>
      </c>
      <c r="BS299" s="1870">
        <f t="shared" si="1318"/>
        <v>5230.1263001485886</v>
      </c>
      <c r="BT299" s="1871">
        <f t="shared" si="1318"/>
        <v>2365.5765297073604</v>
      </c>
      <c r="BU299" s="1871">
        <f t="shared" ref="BU299:CQ299" si="1319">BU298*1000000/(BU14+BU15)</f>
        <v>2539.5518358531317</v>
      </c>
      <c r="BV299" s="1871">
        <f t="shared" si="1319"/>
        <v>4897.7345449891209</v>
      </c>
      <c r="BW299" s="1871">
        <f t="shared" si="1319"/>
        <v>2782.0669934640523</v>
      </c>
      <c r="BX299" s="1871">
        <f t="shared" si="1319"/>
        <v>5162.2586617297011</v>
      </c>
      <c r="BY299" s="1871">
        <f t="shared" si="1319"/>
        <v>9111.6607773851592</v>
      </c>
      <c r="BZ299" s="1871">
        <f t="shared" si="1319"/>
        <v>7644.6368243243242</v>
      </c>
      <c r="CA299" s="1871">
        <f t="shared" si="1319"/>
        <v>4227.2457004928092</v>
      </c>
      <c r="CB299" s="1871">
        <f t="shared" si="1319"/>
        <v>2878.5744234800841</v>
      </c>
      <c r="CC299" s="1871">
        <f t="shared" si="1319"/>
        <v>2854.2707728065079</v>
      </c>
      <c r="CD299" s="1872">
        <f t="shared" si="1319"/>
        <v>11246.446036620038</v>
      </c>
      <c r="CE299" s="708">
        <f t="shared" si="1319"/>
        <v>4567.3424420793754</v>
      </c>
      <c r="CF299" s="1897">
        <f t="shared" si="1319"/>
        <v>5444.9978888685846</v>
      </c>
      <c r="CG299" s="1898">
        <f t="shared" si="1319"/>
        <v>5371.8993064421793</v>
      </c>
      <c r="CH299" s="1898">
        <f t="shared" si="1319"/>
        <v>3825.5120290540854</v>
      </c>
      <c r="CI299" s="1898">
        <f t="shared" si="1319"/>
        <v>5574.574964112011</v>
      </c>
      <c r="CJ299" s="1898">
        <f t="shared" si="1319"/>
        <v>5719.2840056639643</v>
      </c>
      <c r="CK299" s="1898">
        <f t="shared" si="1319"/>
        <v>5330.5107094112764</v>
      </c>
      <c r="CL299" s="1898">
        <f t="shared" si="1319"/>
        <v>3995.1065007334073</v>
      </c>
      <c r="CM299" s="1898">
        <f t="shared" si="1319"/>
        <v>4603.2060392903504</v>
      </c>
      <c r="CN299" s="1898">
        <f t="shared" si="1319"/>
        <v>2764.6785075250386</v>
      </c>
      <c r="CO299" s="1898">
        <f t="shared" si="1319"/>
        <v>4141.6200376520728</v>
      </c>
      <c r="CP299" s="1898">
        <f t="shared" si="1319"/>
        <v>5086.0290268681829</v>
      </c>
      <c r="CQ299" s="1899">
        <f t="shared" si="1319"/>
        <v>5348.0421107885395</v>
      </c>
    </row>
    <row r="300" spans="1:95">
      <c r="E300" s="121"/>
      <c r="F300" s="126"/>
      <c r="G300" s="126"/>
      <c r="H300" s="126"/>
      <c r="I300" s="126"/>
      <c r="J300" s="126"/>
      <c r="K300" s="126"/>
      <c r="L300" s="126"/>
      <c r="M300" s="126"/>
      <c r="N300" s="126"/>
      <c r="O300" s="126"/>
      <c r="P300" s="126"/>
      <c r="Q300" s="487"/>
      <c r="R300" s="121"/>
      <c r="S300" s="126"/>
      <c r="T300" s="126"/>
      <c r="U300" s="126"/>
      <c r="V300" s="126"/>
      <c r="W300" s="126"/>
      <c r="X300" s="126"/>
      <c r="Y300" s="126"/>
      <c r="Z300" s="126"/>
      <c r="AA300" s="126"/>
      <c r="AB300" s="126"/>
      <c r="AC300" s="126"/>
      <c r="AD300" s="487"/>
      <c r="AE300" s="121"/>
      <c r="AF300" s="497"/>
      <c r="AG300" s="497"/>
      <c r="AH300" s="497"/>
      <c r="AI300" s="497"/>
      <c r="AJ300" s="497"/>
      <c r="AK300" s="497"/>
      <c r="AL300" s="497"/>
      <c r="AM300" s="497"/>
      <c r="AN300" s="497"/>
      <c r="AO300" s="497"/>
      <c r="AP300" s="497"/>
      <c r="AQ300" s="549"/>
      <c r="AR300" s="121"/>
      <c r="AS300" s="497"/>
      <c r="AT300" s="497"/>
      <c r="AU300" s="497"/>
      <c r="AV300" s="497"/>
      <c r="AW300" s="497"/>
      <c r="AX300" s="497"/>
      <c r="AY300" s="497"/>
      <c r="AZ300" s="497"/>
      <c r="BA300" s="497"/>
      <c r="BB300" s="497"/>
      <c r="BC300" s="497"/>
      <c r="BD300" s="549"/>
      <c r="BE300" s="488"/>
      <c r="BF300" s="549"/>
      <c r="BG300" s="549"/>
      <c r="BH300" s="549"/>
      <c r="BI300" s="549"/>
      <c r="BJ300" s="549"/>
      <c r="BK300" s="549"/>
      <c r="BL300" s="549"/>
      <c r="BM300" s="549"/>
      <c r="BN300" s="549"/>
      <c r="BO300" s="549"/>
      <c r="BP300" s="549"/>
      <c r="BQ300" s="549"/>
      <c r="BR300" s="488"/>
      <c r="BS300" s="549"/>
      <c r="BT300" s="549"/>
      <c r="BU300" s="549"/>
      <c r="BV300" s="549"/>
      <c r="BW300" s="549"/>
      <c r="BX300" s="549"/>
      <c r="BY300" s="549"/>
      <c r="BZ300" s="549"/>
      <c r="CA300" s="549"/>
      <c r="CB300" s="549"/>
      <c r="CC300" s="549"/>
      <c r="CD300" s="549"/>
      <c r="CE300" s="488"/>
      <c r="CF300" s="549"/>
      <c r="CG300" s="549"/>
      <c r="CH300" s="549"/>
      <c r="CI300" s="549"/>
      <c r="CJ300" s="549"/>
      <c r="CK300" s="549"/>
      <c r="CL300" s="549"/>
      <c r="CM300" s="549"/>
      <c r="CN300" s="549"/>
      <c r="CO300" s="549"/>
      <c r="CP300" s="549"/>
      <c r="CQ300" s="549"/>
    </row>
    <row r="301" spans="1:95" ht="21">
      <c r="B301" s="11" t="s">
        <v>686</v>
      </c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488"/>
      <c r="R301" s="121"/>
      <c r="S301" s="121"/>
      <c r="T301" s="121"/>
      <c r="U301" s="121"/>
      <c r="V301" s="121"/>
      <c r="W301" s="121"/>
      <c r="X301" s="121"/>
      <c r="Y301" s="121"/>
      <c r="Z301" s="121"/>
      <c r="AA301" s="121"/>
      <c r="AB301" s="121"/>
      <c r="AC301" s="121"/>
      <c r="AD301" s="488"/>
      <c r="AE301" s="121"/>
      <c r="AF301" s="121"/>
      <c r="AG301" s="121"/>
      <c r="AH301" s="121"/>
      <c r="AI301" s="121"/>
      <c r="AJ301" s="121"/>
      <c r="AK301" s="121"/>
      <c r="AL301" s="121"/>
      <c r="AM301" s="121"/>
      <c r="AN301" s="121"/>
      <c r="AO301" s="121"/>
      <c r="AP301" s="121"/>
      <c r="AQ301" s="488"/>
      <c r="AR301" s="121"/>
      <c r="AS301" s="121"/>
      <c r="AT301" s="121"/>
      <c r="AU301" s="121"/>
      <c r="AV301" s="121"/>
      <c r="AW301" s="121"/>
      <c r="AX301" s="121"/>
      <c r="AY301" s="121"/>
      <c r="AZ301" s="121"/>
      <c r="BA301" s="121"/>
      <c r="BB301" s="121"/>
      <c r="BC301" s="121"/>
      <c r="BD301" s="488"/>
      <c r="BE301" s="488"/>
      <c r="BF301" s="488"/>
      <c r="BG301" s="488"/>
      <c r="BH301" s="488"/>
      <c r="BI301" s="488"/>
      <c r="BJ301" s="488"/>
      <c r="BK301" s="488"/>
      <c r="BL301" s="488"/>
      <c r="BM301" s="488"/>
      <c r="BN301" s="488"/>
      <c r="BO301" s="488"/>
      <c r="BP301" s="488"/>
      <c r="BQ301" s="488"/>
      <c r="BR301" s="488"/>
      <c r="BS301" s="488"/>
      <c r="BT301" s="488"/>
      <c r="BU301" s="488"/>
      <c r="BV301" s="488"/>
      <c r="BW301" s="488"/>
      <c r="BX301" s="488"/>
      <c r="BY301" s="488"/>
      <c r="BZ301" s="488"/>
      <c r="CA301" s="488"/>
      <c r="CB301" s="488"/>
      <c r="CC301" s="488"/>
      <c r="CD301" s="488"/>
      <c r="CE301" s="488"/>
      <c r="CF301" s="488"/>
      <c r="CG301" s="488"/>
      <c r="CH301" s="488"/>
      <c r="CI301" s="488"/>
      <c r="CJ301" s="488"/>
      <c r="CK301" s="488"/>
      <c r="CL301" s="488"/>
      <c r="CM301" s="488"/>
      <c r="CN301" s="488"/>
      <c r="CO301" s="488"/>
      <c r="CP301" s="488"/>
      <c r="CQ301" s="488"/>
    </row>
    <row r="302" spans="1:95">
      <c r="B302" s="3330" t="s">
        <v>201</v>
      </c>
      <c r="C302" s="3331"/>
      <c r="D302" s="72" t="s">
        <v>14</v>
      </c>
      <c r="E302" s="124">
        <f>SUM(F302:Q302)</f>
        <v>5884.0720479999991</v>
      </c>
      <c r="F302" s="443">
        <v>435.52599300000003</v>
      </c>
      <c r="G302" s="443">
        <v>426.40085699999997</v>
      </c>
      <c r="H302" s="442">
        <v>521.54698599999995</v>
      </c>
      <c r="I302" s="442">
        <v>701.76793299999997</v>
      </c>
      <c r="J302" s="442">
        <v>621.69386899999995</v>
      </c>
      <c r="K302" s="442">
        <v>614.25737200000003</v>
      </c>
      <c r="L302" s="442">
        <v>475.605368</v>
      </c>
      <c r="M302" s="442">
        <v>405.79654199999999</v>
      </c>
      <c r="N302" s="658">
        <v>556.77699400000006</v>
      </c>
      <c r="O302" s="658">
        <v>431.52413300000001</v>
      </c>
      <c r="P302" s="442">
        <v>389.35966200000001</v>
      </c>
      <c r="Q302" s="658">
        <v>303.81633900000003</v>
      </c>
      <c r="R302" s="124">
        <f>SUM(S302:AD302)</f>
        <v>6755.8932139999997</v>
      </c>
      <c r="S302" s="538">
        <v>380.55591899999996</v>
      </c>
      <c r="T302" s="538">
        <v>325.20659999999998</v>
      </c>
      <c r="U302" s="538">
        <v>363.24150500000002</v>
      </c>
      <c r="V302" s="538">
        <v>552.73728100000005</v>
      </c>
      <c r="W302" s="538">
        <v>616.74150999999995</v>
      </c>
      <c r="X302" s="538">
        <v>613.26565000000005</v>
      </c>
      <c r="Y302" s="538">
        <v>645.06975</v>
      </c>
      <c r="Z302" s="538">
        <v>616.08365000000003</v>
      </c>
      <c r="AA302" s="538">
        <v>876.60555399999998</v>
      </c>
      <c r="AB302" s="538">
        <v>522.40835200000004</v>
      </c>
      <c r="AC302" s="538">
        <v>610.40126399999997</v>
      </c>
      <c r="AD302" s="539">
        <v>633.57617900000002</v>
      </c>
      <c r="AE302" s="124">
        <f>SUM(AF302:AQ302)</f>
        <v>11796.152095000001</v>
      </c>
      <c r="AF302" s="539">
        <v>567.45745599999998</v>
      </c>
      <c r="AG302" s="538">
        <v>515.42534499999999</v>
      </c>
      <c r="AH302" s="538">
        <v>1058.0866639999999</v>
      </c>
      <c r="AI302" s="538">
        <v>1049.880529</v>
      </c>
      <c r="AJ302" s="538">
        <v>1241.4668610000001</v>
      </c>
      <c r="AK302" s="538">
        <v>1371.0336540000001</v>
      </c>
      <c r="AL302" s="538">
        <v>1613.7209089999999</v>
      </c>
      <c r="AM302" s="538">
        <v>868.83789100000001</v>
      </c>
      <c r="AN302" s="538">
        <v>1699.027685</v>
      </c>
      <c r="AO302" s="538">
        <v>979.56127200000003</v>
      </c>
      <c r="AP302" s="538">
        <v>566.618337</v>
      </c>
      <c r="AQ302" s="539">
        <v>265.03549199999998</v>
      </c>
      <c r="AR302" s="858">
        <f>SUM(AS302:BD302)</f>
        <v>9522.1610309999996</v>
      </c>
      <c r="AS302" s="1553">
        <v>894.35637699999995</v>
      </c>
      <c r="AT302" s="538">
        <v>722.54252099999997</v>
      </c>
      <c r="AU302" s="538">
        <v>1386.7640490000001</v>
      </c>
      <c r="AV302" s="538">
        <v>841.61015399999997</v>
      </c>
      <c r="AW302" s="538">
        <v>642.30378199999996</v>
      </c>
      <c r="AX302" s="538">
        <v>703.61024599999996</v>
      </c>
      <c r="AY302" s="538">
        <v>741.96846900000003</v>
      </c>
      <c r="AZ302" s="539">
        <v>474.10720400000002</v>
      </c>
      <c r="BA302" s="539">
        <v>1300.607105</v>
      </c>
      <c r="BB302" s="539">
        <v>474.95743299999998</v>
      </c>
      <c r="BC302" s="539">
        <v>962.14594799999998</v>
      </c>
      <c r="BD302" s="539">
        <v>377.18774300000001</v>
      </c>
      <c r="BE302" s="858">
        <f>SUM(BF302:BQ302)</f>
        <v>9786.235369</v>
      </c>
      <c r="BF302" s="1876">
        <v>397.40835399999997</v>
      </c>
      <c r="BG302" s="538">
        <v>1156.365354</v>
      </c>
      <c r="BH302" s="538">
        <v>724</v>
      </c>
      <c r="BI302" s="538">
        <v>669.32741399999998</v>
      </c>
      <c r="BJ302" s="538">
        <v>701.15020500000003</v>
      </c>
      <c r="BK302" s="538">
        <v>813.43676500000004</v>
      </c>
      <c r="BL302" s="538">
        <v>719.056422</v>
      </c>
      <c r="BM302" s="538">
        <v>1109.553549</v>
      </c>
      <c r="BN302" s="538">
        <v>907.52840000000003</v>
      </c>
      <c r="BO302" s="538">
        <v>914.14623099999994</v>
      </c>
      <c r="BP302" s="538">
        <v>879.14798499999995</v>
      </c>
      <c r="BQ302" s="539">
        <v>795.11469</v>
      </c>
      <c r="BR302" s="858">
        <f>SUM(BS302:CD302)</f>
        <v>10907.42411</v>
      </c>
      <c r="BS302" s="1876">
        <v>570.53432799999996</v>
      </c>
      <c r="BT302" s="538">
        <v>305.70509099999998</v>
      </c>
      <c r="BU302" s="538">
        <v>1434.10925</v>
      </c>
      <c r="BV302" s="538">
        <v>670.39388699999995</v>
      </c>
      <c r="BW302" s="538">
        <v>890.51888799999995</v>
      </c>
      <c r="BX302" s="538">
        <v>1133.465766</v>
      </c>
      <c r="BY302" s="538">
        <v>931.72919100000001</v>
      </c>
      <c r="BZ302" s="538">
        <v>1633.0621309999999</v>
      </c>
      <c r="CA302" s="538">
        <v>830.68424200000004</v>
      </c>
      <c r="CB302" s="538">
        <v>1122.3625569999999</v>
      </c>
      <c r="CC302" s="538">
        <v>770.98422800000003</v>
      </c>
      <c r="CD302" s="539">
        <v>613.874551</v>
      </c>
      <c r="CE302" s="858">
        <f>SUM(CF302:CQ302)</f>
        <v>11577.8991495469</v>
      </c>
      <c r="CF302" s="1876">
        <f>736.220652288471+117.060048534069</f>
        <v>853.28070082253998</v>
      </c>
      <c r="CG302" s="538">
        <f t="shared" ref="CG302:CO302" si="1320">(CG303*CF8)/1000000</f>
        <v>1005.9852893395248</v>
      </c>
      <c r="CH302" s="538">
        <f t="shared" si="1320"/>
        <v>818.88525341572199</v>
      </c>
      <c r="CI302" s="538">
        <f t="shared" si="1320"/>
        <v>1086.8476065793748</v>
      </c>
      <c r="CJ302" s="538">
        <f t="shared" si="1320"/>
        <v>872.31526312091421</v>
      </c>
      <c r="CK302" s="538">
        <f t="shared" si="1320"/>
        <v>871.33173177545655</v>
      </c>
      <c r="CL302" s="538">
        <f t="shared" si="1320"/>
        <v>911.37656103902509</v>
      </c>
      <c r="CM302" s="538">
        <f>(CM303*CL8)/1000000+53.4601343291579</f>
        <v>1261.2847512236538</v>
      </c>
      <c r="CN302" s="538">
        <f t="shared" si="1320"/>
        <v>950.74598861708262</v>
      </c>
      <c r="CO302" s="538">
        <f t="shared" si="1320"/>
        <v>1271.7090570682437</v>
      </c>
      <c r="CP302" s="538">
        <f>(CP303*CO8)/1000000+100</f>
        <v>1077.0702445719055</v>
      </c>
      <c r="CQ302" s="539">
        <f>(CP303*CP8)/1000000+846.061813637178-233.130364996348-124.796464293599-500-300.299200000008</f>
        <v>597.0667019734575</v>
      </c>
    </row>
    <row r="303" spans="1:95">
      <c r="B303" s="3334"/>
      <c r="C303" s="3335"/>
      <c r="D303" s="76" t="s">
        <v>209</v>
      </c>
      <c r="E303" s="441" t="e">
        <f>E302*1000000/(#REF!-#REF!)</f>
        <v>#REF!</v>
      </c>
      <c r="F303" s="322">
        <v>7008.8992903007784</v>
      </c>
      <c r="G303" s="322">
        <v>7328.4899113158253</v>
      </c>
      <c r="H303" s="322">
        <v>8805.8991000726019</v>
      </c>
      <c r="I303" s="322">
        <v>11819.647533390598</v>
      </c>
      <c r="J303" s="322">
        <v>11407.854909444557</v>
      </c>
      <c r="K303" s="322">
        <v>8913.002191041398</v>
      </c>
      <c r="L303" s="322">
        <v>7913.0401969918812</v>
      </c>
      <c r="M303" s="322">
        <v>7067.9022886404009</v>
      </c>
      <c r="N303" s="322">
        <v>7851.2182582209934</v>
      </c>
      <c r="O303" s="322">
        <v>7815.4839895678633</v>
      </c>
      <c r="P303" s="322">
        <v>6383.8871636798876</v>
      </c>
      <c r="Q303" s="322">
        <v>4573.6186397302345</v>
      </c>
      <c r="R303" s="441">
        <f>AVERAGE(S303:AD303)</f>
        <v>10178.154663990897</v>
      </c>
      <c r="S303" s="690">
        <f>S302*1000000/Q8</f>
        <v>7250.8939676853888</v>
      </c>
      <c r="T303" s="690">
        <f t="shared" ref="T303:AD303" si="1321">T302*1000000/S8</f>
        <v>5724.4604823094523</v>
      </c>
      <c r="U303" s="690">
        <f t="shared" si="1321"/>
        <v>6955.0520803415857</v>
      </c>
      <c r="V303" s="690">
        <f t="shared" si="1321"/>
        <v>9836.9332799430504</v>
      </c>
      <c r="W303" s="690">
        <f t="shared" si="1321"/>
        <v>11894.495959576479</v>
      </c>
      <c r="X303" s="690">
        <f t="shared" si="1321"/>
        <v>11921.960536547434</v>
      </c>
      <c r="Y303" s="690">
        <f t="shared" si="1321"/>
        <v>12085.615925058548</v>
      </c>
      <c r="Z303" s="690">
        <f t="shared" si="1321"/>
        <v>12246.966504323625</v>
      </c>
      <c r="AA303" s="690">
        <f t="shared" si="1321"/>
        <v>13266.826394248959</v>
      </c>
      <c r="AB303" s="690">
        <f t="shared" si="1321"/>
        <v>10045.34856263821</v>
      </c>
      <c r="AC303" s="690">
        <f t="shared" si="1321"/>
        <v>9211.935407926112</v>
      </c>
      <c r="AD303" s="690">
        <f t="shared" si="1321"/>
        <v>11697.366867291928</v>
      </c>
      <c r="AE303" s="441">
        <f>AVERAGE(AF303:AQ303)</f>
        <v>22908.880550644881</v>
      </c>
      <c r="AF303" s="690">
        <f>AF302*1000000/AD8</f>
        <v>12523.613603760676</v>
      </c>
      <c r="AG303" s="690">
        <f t="shared" ref="AG303:AM303" si="1322">AG302*1000000/AF8</f>
        <v>10825.307058996492</v>
      </c>
      <c r="AH303" s="690">
        <f t="shared" si="1322"/>
        <v>18681.898123135052</v>
      </c>
      <c r="AI303" s="690">
        <f t="shared" si="1322"/>
        <v>20678.744342242619</v>
      </c>
      <c r="AJ303" s="690">
        <f t="shared" si="1322"/>
        <v>24104.280463653307</v>
      </c>
      <c r="AK303" s="690">
        <f t="shared" si="1322"/>
        <v>25769.371738966995</v>
      </c>
      <c r="AL303" s="690">
        <f t="shared" si="1322"/>
        <v>31082.108498016103</v>
      </c>
      <c r="AM303" s="690">
        <f t="shared" si="1322"/>
        <v>18995.144097070399</v>
      </c>
      <c r="AN303" s="690">
        <f>AN302*1000000/AM10</f>
        <v>76261.397953229505</v>
      </c>
      <c r="AO303" s="690">
        <f>AO302*1000000/AN8</f>
        <v>21418.666025276598</v>
      </c>
      <c r="AP303" s="690">
        <f>AP302*1000000/AO8</f>
        <v>8352.2750147405659</v>
      </c>
      <c r="AQ303" s="860">
        <f>AQ302*1000000/AP8</f>
        <v>6213.7596886502697</v>
      </c>
      <c r="AR303" s="861">
        <f>AVERAGE(AS303:BD303)</f>
        <v>17688.712603940166</v>
      </c>
      <c r="AS303" s="856">
        <f>AS302*1000000/AQ8</f>
        <v>25770.988272245275</v>
      </c>
      <c r="AT303" s="690">
        <f t="shared" ref="AT303:BD303" si="1323">AT302*1000000/AS8</f>
        <v>18122.946055470904</v>
      </c>
      <c r="AU303" s="690">
        <f t="shared" si="1323"/>
        <v>26149.25508465396</v>
      </c>
      <c r="AV303" s="690">
        <f t="shared" si="1323"/>
        <v>20253.073636166391</v>
      </c>
      <c r="AW303" s="690">
        <f t="shared" si="1323"/>
        <v>16375.242688108925</v>
      </c>
      <c r="AX303" s="690">
        <f t="shared" si="1323"/>
        <v>16349.54135144352</v>
      </c>
      <c r="AY303" s="690">
        <f t="shared" si="1323"/>
        <v>18210.661709364533</v>
      </c>
      <c r="AZ303" s="690">
        <f t="shared" si="1323"/>
        <v>11787.443893158443</v>
      </c>
      <c r="BA303" s="690">
        <f t="shared" si="1323"/>
        <v>22348.840657122069</v>
      </c>
      <c r="BB303" s="690">
        <f t="shared" si="1323"/>
        <v>12811.46942062798</v>
      </c>
      <c r="BC303" s="690">
        <f t="shared" si="1323"/>
        <v>14155.264430706333</v>
      </c>
      <c r="BD303" s="690">
        <f t="shared" si="1323"/>
        <v>9929.8240482137153</v>
      </c>
      <c r="BE303" s="861">
        <f>AVERAGE(BF303:BQ303)</f>
        <v>17920.763732617783</v>
      </c>
      <c r="BF303" s="1856">
        <f>BF302*1000000/BD8</f>
        <v>12676.344802314903</v>
      </c>
      <c r="BG303" s="1868">
        <f t="shared" ref="BG303:BQ303" si="1324">BG302*1000000/BF8</f>
        <v>21294.294232469063</v>
      </c>
      <c r="BH303" s="1868">
        <f t="shared" si="1324"/>
        <v>18911.29453557622</v>
      </c>
      <c r="BI303" s="1868">
        <f t="shared" si="1324"/>
        <v>17017.808192011391</v>
      </c>
      <c r="BJ303" s="1868">
        <f t="shared" si="1324"/>
        <v>16532.662225890119</v>
      </c>
      <c r="BK303" s="1868">
        <f t="shared" si="1324"/>
        <v>18854.432121085691</v>
      </c>
      <c r="BL303" s="1868">
        <f t="shared" si="1324"/>
        <v>18763.051483443363</v>
      </c>
      <c r="BM303" s="1868">
        <f t="shared" si="1324"/>
        <v>20107.52884144905</v>
      </c>
      <c r="BN303" s="1868">
        <f t="shared" si="1324"/>
        <v>22050.402118716134</v>
      </c>
      <c r="BO303" s="1868">
        <f t="shared" si="1324"/>
        <v>14608.108776247243</v>
      </c>
      <c r="BP303" s="1868">
        <f t="shared" si="1324"/>
        <v>15824.821978219783</v>
      </c>
      <c r="BQ303" s="1869">
        <f t="shared" si="1324"/>
        <v>18408.415483990462</v>
      </c>
      <c r="BR303" s="861">
        <f>AVERAGE(BS303:CD303)</f>
        <v>16698.732845420567</v>
      </c>
      <c r="BS303" s="1856">
        <f>BS302*1000000/BQ8</f>
        <v>15940.275145283862</v>
      </c>
      <c r="BT303" s="1868">
        <f>BT302*1000000/BS8</f>
        <v>9064.6431727205345</v>
      </c>
      <c r="BU303" s="1868">
        <f>BU302*1000000/BT8</f>
        <v>21223.110561910824</v>
      </c>
      <c r="BV303" s="1868">
        <f>BV302*1000000/BU8</f>
        <v>15575.342386506203</v>
      </c>
      <c r="BW303" s="1868">
        <f>BW302*1000000/BV8</f>
        <v>19035.095825406665</v>
      </c>
      <c r="BX303" s="1868">
        <f>BX302*1000000/BW8</f>
        <v>17921.82411257807</v>
      </c>
      <c r="BY303" s="1868">
        <f t="shared" ref="BY303:CC303" si="1325">BY302*1000000/BX8</f>
        <v>18191.79551711346</v>
      </c>
      <c r="BZ303" s="1868">
        <f t="shared" si="1325"/>
        <v>23733.608461225438</v>
      </c>
      <c r="CA303" s="1868">
        <f t="shared" si="1325"/>
        <v>16691.80247558574</v>
      </c>
      <c r="CB303" s="1868">
        <f t="shared" si="1325"/>
        <v>16165.150393916263</v>
      </c>
      <c r="CC303" s="1868">
        <f t="shared" si="1325"/>
        <v>13695.673215618006</v>
      </c>
      <c r="CD303" s="1869">
        <f t="shared" ref="CD303" si="1326">CD302*1000000/CC8</f>
        <v>13146.472877181712</v>
      </c>
      <c r="CE303" s="861">
        <f>AVERAGE(CF303:CQ303)</f>
        <v>16871.949511183324</v>
      </c>
      <c r="CF303" s="1893">
        <v>16560.048534067701</v>
      </c>
      <c r="CG303" s="1896">
        <v>17060.048534067701</v>
      </c>
      <c r="CH303" s="1896">
        <v>17060.048534067701</v>
      </c>
      <c r="CI303" s="1896">
        <v>17060.048534067701</v>
      </c>
      <c r="CJ303" s="1896">
        <v>17060.048534067701</v>
      </c>
      <c r="CK303" s="1896">
        <v>17060.048534067701</v>
      </c>
      <c r="CL303" s="1896">
        <v>18060.048534067701</v>
      </c>
      <c r="CM303" s="1896">
        <v>18160.048534067701</v>
      </c>
      <c r="CN303" s="1896">
        <v>18060.048534067701</v>
      </c>
      <c r="CO303" s="1896">
        <v>18060.048534067701</v>
      </c>
      <c r="CP303" s="1896">
        <v>17060.048534067701</v>
      </c>
      <c r="CQ303" s="2810">
        <f>CQ302*1000000/CP8</f>
        <v>11202.860259455194</v>
      </c>
    </row>
    <row r="304" spans="1:95"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488"/>
      <c r="R304" s="121"/>
      <c r="S304" s="648"/>
      <c r="T304" s="121"/>
      <c r="U304" s="121"/>
      <c r="V304" s="121"/>
      <c r="W304" s="121"/>
      <c r="X304" s="121"/>
      <c r="Y304" s="121"/>
      <c r="Z304" s="121"/>
      <c r="AA304" s="121"/>
      <c r="AB304" s="121"/>
      <c r="AC304" s="121"/>
      <c r="AD304" s="488"/>
      <c r="AE304" s="121"/>
      <c r="AF304" s="712"/>
      <c r="AG304" s="713"/>
      <c r="AH304" s="713"/>
      <c r="AI304" s="713"/>
      <c r="AJ304" s="713"/>
      <c r="AK304" s="713"/>
      <c r="AL304" s="713"/>
      <c r="AM304" s="713"/>
      <c r="AN304" s="713"/>
      <c r="AO304" s="713"/>
      <c r="AP304" s="713"/>
      <c r="AQ304" s="644"/>
      <c r="AR304" s="121"/>
      <c r="AS304" s="712"/>
      <c r="AT304" s="713"/>
      <c r="AU304" s="713"/>
      <c r="AV304" s="713"/>
      <c r="AW304" s="713"/>
      <c r="AX304" s="713"/>
      <c r="AY304" s="713"/>
      <c r="AZ304" s="713"/>
      <c r="BA304" s="713"/>
      <c r="BB304" s="713"/>
      <c r="BC304" s="713"/>
      <c r="BD304" s="644"/>
      <c r="BE304" s="1666"/>
      <c r="BF304" s="1427"/>
      <c r="BG304" s="644"/>
      <c r="BH304" s="644"/>
      <c r="BI304" s="644"/>
      <c r="BJ304" s="644"/>
      <c r="BK304" s="644"/>
      <c r="BL304" s="644"/>
      <c r="BM304" s="644"/>
      <c r="BN304" s="644"/>
      <c r="BO304" s="644"/>
      <c r="BP304" s="644"/>
      <c r="BQ304" s="644"/>
      <c r="BR304" s="1666"/>
      <c r="BS304" s="1427"/>
      <c r="BT304" s="644"/>
      <c r="BU304" s="644"/>
      <c r="BV304" s="644"/>
      <c r="BW304" s="644"/>
      <c r="BX304" s="644"/>
      <c r="BY304" s="644"/>
      <c r="BZ304" s="644"/>
      <c r="CA304" s="644"/>
      <c r="CB304" s="644"/>
      <c r="CC304" s="644"/>
      <c r="CD304" s="644"/>
      <c r="CE304" s="1666"/>
      <c r="CF304" s="1427"/>
      <c r="CG304" s="644"/>
      <c r="CH304" s="644"/>
      <c r="CI304" s="644"/>
      <c r="CJ304" s="644"/>
      <c r="CK304" s="644"/>
      <c r="CL304" s="644"/>
      <c r="CM304" s="644"/>
      <c r="CN304" s="644"/>
      <c r="CO304" s="644"/>
      <c r="CP304" s="644"/>
      <c r="CQ304" s="644"/>
    </row>
    <row r="305" spans="2:95" ht="21">
      <c r="B305" s="11" t="s">
        <v>685</v>
      </c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488"/>
      <c r="R305" s="121"/>
      <c r="S305" s="121"/>
      <c r="T305" s="121"/>
      <c r="U305" s="121"/>
      <c r="V305" s="121"/>
      <c r="W305" s="121"/>
      <c r="X305" s="121"/>
      <c r="Y305" s="121"/>
      <c r="Z305" s="121"/>
      <c r="AA305" s="121"/>
      <c r="AB305" s="121"/>
      <c r="AC305" s="121"/>
      <c r="AD305" s="488"/>
      <c r="AE305" s="121"/>
      <c r="AF305" s="121"/>
      <c r="AG305" s="121"/>
      <c r="AH305" s="121"/>
      <c r="AI305" s="121"/>
      <c r="AJ305" s="121"/>
      <c r="AK305" s="121"/>
      <c r="AL305" s="121"/>
      <c r="AM305" s="121"/>
      <c r="AN305" s="121"/>
      <c r="AO305" s="121"/>
      <c r="AP305" s="121"/>
      <c r="AQ305" s="488"/>
      <c r="AR305" s="121"/>
      <c r="AS305" s="121"/>
      <c r="AT305" s="121"/>
      <c r="AU305" s="121"/>
      <c r="AV305" s="121"/>
      <c r="AW305" s="121"/>
      <c r="AX305" s="121"/>
      <c r="AY305" s="121"/>
      <c r="AZ305" s="121"/>
      <c r="BA305" s="121"/>
      <c r="BB305" s="121"/>
      <c r="BC305" s="121"/>
      <c r="BD305" s="488"/>
      <c r="BE305" s="488"/>
      <c r="BF305" s="1666"/>
      <c r="BG305" s="488"/>
      <c r="BH305" s="488"/>
      <c r="BI305" s="488"/>
      <c r="BJ305" s="488"/>
      <c r="BK305" s="488"/>
      <c r="BL305" s="488"/>
      <c r="BM305" s="488"/>
      <c r="BN305" s="488"/>
      <c r="BO305" s="488"/>
      <c r="BP305" s="488"/>
      <c r="BQ305" s="488"/>
      <c r="BR305" s="488"/>
      <c r="BS305" s="1666"/>
      <c r="BT305" s="488"/>
      <c r="BU305" s="488"/>
      <c r="BV305" s="488"/>
      <c r="BW305" s="488"/>
      <c r="BX305" s="488"/>
      <c r="BY305" s="488"/>
      <c r="BZ305" s="488"/>
      <c r="CA305" s="488"/>
      <c r="CC305" s="488"/>
      <c r="CD305" s="488"/>
      <c r="CE305" s="488"/>
      <c r="CF305" s="1666"/>
      <c r="CG305" s="488"/>
      <c r="CH305" s="488"/>
      <c r="CI305" s="488"/>
      <c r="CJ305" s="488"/>
      <c r="CK305" s="488"/>
      <c r="CL305" s="488"/>
      <c r="CM305" s="488"/>
      <c r="CN305" s="488"/>
      <c r="CO305" s="488"/>
      <c r="CP305" s="488"/>
      <c r="CQ305" s="488"/>
    </row>
    <row r="306" spans="2:95">
      <c r="B306" s="3330" t="s">
        <v>212</v>
      </c>
      <c r="C306" s="3331"/>
      <c r="D306" s="72" t="s">
        <v>14</v>
      </c>
      <c r="E306" s="346">
        <f>SUM(F306:Q306)</f>
        <v>1624.9330730000001</v>
      </c>
      <c r="F306" s="361">
        <v>166.48060899999999</v>
      </c>
      <c r="G306" s="361">
        <v>139.75605400000001</v>
      </c>
      <c r="H306" s="361">
        <v>122.79602</v>
      </c>
      <c r="I306" s="361">
        <v>154.56028499999999</v>
      </c>
      <c r="J306" s="361">
        <v>141.682399</v>
      </c>
      <c r="K306" s="361">
        <v>164.395184</v>
      </c>
      <c r="L306" s="361">
        <v>139.98235600000001</v>
      </c>
      <c r="M306" s="361">
        <v>131.148201</v>
      </c>
      <c r="N306" s="361">
        <v>127.454404</v>
      </c>
      <c r="O306" s="361">
        <v>117.232125</v>
      </c>
      <c r="P306" s="361">
        <v>114.340909</v>
      </c>
      <c r="Q306" s="361">
        <v>105.104527</v>
      </c>
      <c r="R306" s="346">
        <f>SUM(S306:AD306)</f>
        <v>1489.2856000000002</v>
      </c>
      <c r="S306" s="361">
        <v>107.22720700000001</v>
      </c>
      <c r="T306" s="361">
        <v>110.822255</v>
      </c>
      <c r="U306" s="361">
        <v>112.649233</v>
      </c>
      <c r="V306" s="361">
        <v>146.578228</v>
      </c>
      <c r="W306" s="361">
        <v>134.792542</v>
      </c>
      <c r="X306" s="361">
        <v>137.90639200000001</v>
      </c>
      <c r="Y306" s="361">
        <v>137.53049799999999</v>
      </c>
      <c r="Z306" s="361">
        <v>104.486602</v>
      </c>
      <c r="AA306" s="361">
        <v>99.518731000000002</v>
      </c>
      <c r="AB306" s="361">
        <v>113.24715500000001</v>
      </c>
      <c r="AC306" s="361">
        <v>154.19135</v>
      </c>
      <c r="AD306" s="361">
        <v>130.335407</v>
      </c>
      <c r="AE306" s="346">
        <f>SUM(AF306:AQ306)</f>
        <v>2210.6378059999997</v>
      </c>
      <c r="AF306" s="124">
        <v>136.28664499999999</v>
      </c>
      <c r="AG306" s="124">
        <v>118.124668</v>
      </c>
      <c r="AH306" s="124">
        <v>143.647976</v>
      </c>
      <c r="AI306" s="124">
        <v>178.51714999999999</v>
      </c>
      <c r="AJ306" s="124">
        <v>186.94122899999999</v>
      </c>
      <c r="AK306" s="124">
        <v>188.9179</v>
      </c>
      <c r="AL306" s="124">
        <v>198.558742</v>
      </c>
      <c r="AM306" s="124">
        <v>211.71278000000001</v>
      </c>
      <c r="AN306" s="124">
        <v>227.90592799999999</v>
      </c>
      <c r="AO306" s="124">
        <v>201.284178</v>
      </c>
      <c r="AP306" s="124">
        <v>239.33255800000001</v>
      </c>
      <c r="AQ306" s="124">
        <v>179.408052</v>
      </c>
      <c r="AR306" s="858">
        <f>SUM(AS306:BD306)</f>
        <v>2488.3532279999995</v>
      </c>
      <c r="AS306" s="124">
        <v>194.27126799999999</v>
      </c>
      <c r="AT306" s="124">
        <v>200.644037</v>
      </c>
      <c r="AU306" s="124">
        <v>218.04976099999999</v>
      </c>
      <c r="AV306" s="124">
        <v>203.56248299999999</v>
      </c>
      <c r="AW306" s="124">
        <v>221.128241</v>
      </c>
      <c r="AX306" s="124">
        <v>222.84430599999999</v>
      </c>
      <c r="AY306" s="124">
        <v>207.047372</v>
      </c>
      <c r="AZ306" s="124">
        <v>232.67757900000001</v>
      </c>
      <c r="BA306" s="124">
        <v>197.614499</v>
      </c>
      <c r="BB306" s="124">
        <v>193.87720300000001</v>
      </c>
      <c r="BC306" s="124">
        <v>231.59873999999999</v>
      </c>
      <c r="BD306" s="124">
        <v>165.03773899999999</v>
      </c>
      <c r="BE306" s="858">
        <f>SUM(BF306:BQ306)</f>
        <v>1978.168169</v>
      </c>
      <c r="BF306" s="1873">
        <v>238.525068</v>
      </c>
      <c r="BG306" s="1874">
        <v>178.60021</v>
      </c>
      <c r="BH306" s="1874">
        <v>186.904687</v>
      </c>
      <c r="BI306" s="1874">
        <v>134.145432</v>
      </c>
      <c r="BJ306" s="1874">
        <v>146.90395599999999</v>
      </c>
      <c r="BK306" s="1874">
        <v>132.98604</v>
      </c>
      <c r="BL306" s="1874">
        <v>181.104421</v>
      </c>
      <c r="BM306" s="1874">
        <v>155.27162100000001</v>
      </c>
      <c r="BN306" s="1874">
        <v>148.68358699999999</v>
      </c>
      <c r="BO306" s="1874">
        <v>150.99447599999999</v>
      </c>
      <c r="BP306" s="1874">
        <v>153.916314</v>
      </c>
      <c r="BQ306" s="1875">
        <v>170.13235700000001</v>
      </c>
      <c r="BR306" s="858">
        <f>SUM(BS306:CD306)</f>
        <v>2062.401018</v>
      </c>
      <c r="BS306" s="1873">
        <v>136.81943200000001</v>
      </c>
      <c r="BT306" s="1874">
        <v>155.087614</v>
      </c>
      <c r="BU306" s="1874">
        <v>161.48718</v>
      </c>
      <c r="BV306" s="1874">
        <v>182.861704</v>
      </c>
      <c r="BW306" s="1874">
        <v>185.91220200000001</v>
      </c>
      <c r="BX306" s="1874">
        <v>168.87907100000001</v>
      </c>
      <c r="BY306" s="538">
        <v>226.649023</v>
      </c>
      <c r="BZ306" s="538">
        <v>191.438256</v>
      </c>
      <c r="CA306" s="538">
        <v>184.85152099999999</v>
      </c>
      <c r="CB306" s="538">
        <v>151.666628</v>
      </c>
      <c r="CC306" s="538">
        <v>140.28958299999999</v>
      </c>
      <c r="CD306" s="539">
        <v>176.45880399999999</v>
      </c>
      <c r="CE306" s="858">
        <f>SUM(CF306:CQ306)</f>
        <v>2261.1926757295555</v>
      </c>
      <c r="CF306" s="1873">
        <f t="shared" ref="CF306:CQ306" si="1327">(CF308*CF8)/1000000</f>
        <v>199.00957505345218</v>
      </c>
      <c r="CG306" s="1874">
        <f t="shared" si="1327"/>
        <v>161.99641090854914</v>
      </c>
      <c r="CH306" s="1874">
        <f t="shared" si="1327"/>
        <v>215.0062059806354</v>
      </c>
      <c r="CI306" s="1874">
        <f t="shared" si="1327"/>
        <v>172.56623100354597</v>
      </c>
      <c r="CJ306" s="1874">
        <f t="shared" si="1327"/>
        <v>172.37166339188659</v>
      </c>
      <c r="CK306" s="1874">
        <f t="shared" si="1327"/>
        <v>170.31054814307896</v>
      </c>
      <c r="CL306" s="538">
        <f t="shared" si="1327"/>
        <v>224.46543618925548</v>
      </c>
      <c r="CM306" s="538">
        <f t="shared" si="1327"/>
        <v>177.66758263083676</v>
      </c>
      <c r="CN306" s="538">
        <f t="shared" si="1327"/>
        <v>237.64651829633405</v>
      </c>
      <c r="CO306" s="538">
        <f t="shared" si="1327"/>
        <v>193.28944093933063</v>
      </c>
      <c r="CP306" s="538">
        <f t="shared" si="1327"/>
        <v>179.86908999539781</v>
      </c>
      <c r="CQ306" s="539">
        <f t="shared" si="1327"/>
        <v>156.99397319725253</v>
      </c>
    </row>
    <row r="307" spans="2:95" hidden="1">
      <c r="B307" s="3332"/>
      <c r="C307" s="3333"/>
      <c r="D307" s="71" t="s">
        <v>211</v>
      </c>
      <c r="E307" s="347">
        <f>E306*1000000/(인건비!F6+인건비!F7)/12</f>
        <v>57625.827115398257</v>
      </c>
      <c r="F307" s="637"/>
      <c r="G307" s="637"/>
      <c r="H307" s="637"/>
      <c r="I307" s="637"/>
      <c r="J307" s="637"/>
      <c r="K307" s="637"/>
      <c r="L307" s="638"/>
      <c r="M307" s="638"/>
      <c r="N307" s="540"/>
      <c r="O307" s="540"/>
      <c r="P307" s="540"/>
      <c r="Q307" s="540"/>
      <c r="R307" s="347"/>
      <c r="S307" s="108"/>
      <c r="T307" s="108"/>
      <c r="U307" s="108"/>
      <c r="V307" s="108"/>
      <c r="W307" s="108"/>
      <c r="X307" s="108"/>
      <c r="Y307" s="540"/>
      <c r="Z307" s="540"/>
      <c r="AA307" s="540"/>
      <c r="AB307" s="540"/>
      <c r="AC307" s="540"/>
      <c r="AD307" s="540"/>
      <c r="AE307" s="347"/>
      <c r="AF307" s="108"/>
      <c r="AG307" s="108"/>
      <c r="AH307" s="108"/>
      <c r="AI307" s="108"/>
      <c r="AJ307" s="108"/>
      <c r="AK307" s="108"/>
      <c r="AL307" s="540"/>
      <c r="AM307" s="540"/>
      <c r="AN307" s="540"/>
      <c r="AO307" s="540"/>
      <c r="AP307" s="540"/>
      <c r="AQ307" s="540"/>
      <c r="AR307" s="125"/>
      <c r="AS307" s="857"/>
      <c r="AT307" s="108"/>
      <c r="AU307" s="108"/>
      <c r="AV307" s="108"/>
      <c r="AW307" s="108"/>
      <c r="AX307" s="108"/>
      <c r="AY307" s="540"/>
      <c r="AZ307" s="540"/>
      <c r="BA307" s="540"/>
      <c r="BB307" s="540"/>
      <c r="BC307" s="540"/>
      <c r="BD307" s="540"/>
      <c r="BE307" s="125"/>
      <c r="BF307" s="1693"/>
      <c r="BG307" s="1707"/>
      <c r="BH307" s="108"/>
      <c r="BI307" s="1715"/>
      <c r="BJ307" s="1715"/>
      <c r="BK307" s="108"/>
      <c r="BL307" s="975"/>
      <c r="BM307" s="975"/>
      <c r="BN307" s="975"/>
      <c r="BO307" s="975"/>
      <c r="BP307" s="975"/>
      <c r="BQ307" s="1768"/>
      <c r="BR307" s="125"/>
      <c r="BS307" s="1693"/>
      <c r="BT307" s="1707"/>
      <c r="BU307" s="108"/>
      <c r="BV307" s="1715"/>
      <c r="BW307" s="1715"/>
      <c r="BX307" s="108"/>
      <c r="BY307" s="975"/>
      <c r="BZ307" s="975"/>
      <c r="CA307" s="975"/>
      <c r="CB307" s="975"/>
      <c r="CC307" s="975"/>
      <c r="CD307" s="1768"/>
      <c r="CE307" s="125"/>
      <c r="CF307" s="1693"/>
      <c r="CG307" s="1707"/>
      <c r="CH307" s="108"/>
      <c r="CI307" s="1715"/>
      <c r="CJ307" s="1715"/>
      <c r="CK307" s="108"/>
      <c r="CL307" s="975"/>
      <c r="CM307" s="975"/>
      <c r="CN307" s="975"/>
      <c r="CO307" s="975"/>
      <c r="CP307" s="975"/>
      <c r="CQ307" s="1768"/>
    </row>
    <row r="308" spans="2:95">
      <c r="B308" s="3334"/>
      <c r="C308" s="3335"/>
      <c r="D308" s="76" t="s">
        <v>214</v>
      </c>
      <c r="E308" s="738">
        <f>E306*1000000/E8</f>
        <v>2508.5224934968705</v>
      </c>
      <c r="F308" s="322">
        <v>2861.2781692561525</v>
      </c>
      <c r="G308" s="322">
        <v>2359.6679554932721</v>
      </c>
      <c r="H308" s="322">
        <v>2068.2131608643658</v>
      </c>
      <c r="I308" s="322">
        <v>2836.1246490632511</v>
      </c>
      <c r="J308" s="322">
        <v>2055.8410696925289</v>
      </c>
      <c r="K308" s="322">
        <v>2735.1787568215095</v>
      </c>
      <c r="L308" s="322">
        <v>2438.122339499077</v>
      </c>
      <c r="M308" s="322">
        <v>1937.5112795284315</v>
      </c>
      <c r="N308" s="322">
        <v>2308.3711377549171</v>
      </c>
      <c r="O308" s="322">
        <v>1845.5939074307305</v>
      </c>
      <c r="P308" s="322">
        <v>1721.2758023724934</v>
      </c>
      <c r="Q308" s="322">
        <v>1794.3581220657277</v>
      </c>
      <c r="R308" s="738">
        <f t="shared" ref="R308:AW308" si="1328">R306*1000000/R8</f>
        <v>2270.2005289513199</v>
      </c>
      <c r="S308" s="690">
        <f t="shared" si="1328"/>
        <v>1887.470638972012</v>
      </c>
      <c r="T308" s="690">
        <f t="shared" si="1328"/>
        <v>2121.9341528328259</v>
      </c>
      <c r="U308" s="690">
        <f t="shared" si="1328"/>
        <v>2004.791475351486</v>
      </c>
      <c r="V308" s="690">
        <f t="shared" si="1328"/>
        <v>2826.9122678444005</v>
      </c>
      <c r="W308" s="690">
        <f t="shared" si="1328"/>
        <v>2620.3837869362364</v>
      </c>
      <c r="X308" s="690">
        <f t="shared" si="1328"/>
        <v>2583.7263138173303</v>
      </c>
      <c r="Y308" s="690">
        <f t="shared" si="1328"/>
        <v>2733.9329688897724</v>
      </c>
      <c r="Z308" s="690">
        <f t="shared" si="1328"/>
        <v>1581.3333636019674</v>
      </c>
      <c r="AA308" s="690">
        <f t="shared" si="1328"/>
        <v>1913.6377463705412</v>
      </c>
      <c r="AB308" s="690">
        <f t="shared" si="1328"/>
        <v>1709.0814493978448</v>
      </c>
      <c r="AC308" s="690">
        <f t="shared" si="1328"/>
        <v>2846.7496861383943</v>
      </c>
      <c r="AD308" s="690">
        <f t="shared" si="1328"/>
        <v>2876.462823596919</v>
      </c>
      <c r="AE308" s="738">
        <f t="shared" si="1328"/>
        <v>3634.5544861466415</v>
      </c>
      <c r="AF308" s="690">
        <f t="shared" si="1328"/>
        <v>2862.3830676495913</v>
      </c>
      <c r="AG308" s="690">
        <f t="shared" si="1328"/>
        <v>2085.6448611331816</v>
      </c>
      <c r="AH308" s="690">
        <f t="shared" si="1328"/>
        <v>2829.3312323964469</v>
      </c>
      <c r="AI308" s="690">
        <f t="shared" si="1328"/>
        <v>3466.0832168375273</v>
      </c>
      <c r="AJ308" s="690">
        <f t="shared" si="1328"/>
        <v>3513.6686903240357</v>
      </c>
      <c r="AK308" s="690">
        <f t="shared" si="1328"/>
        <v>3638.7746061096345</v>
      </c>
      <c r="AL308" s="690">
        <f t="shared" si="1328"/>
        <v>4341.0306515085267</v>
      </c>
      <c r="AM308" s="690">
        <f t="shared" si="1328"/>
        <v>3533.8471039893175</v>
      </c>
      <c r="AN308" s="690">
        <f t="shared" si="1328"/>
        <v>4983.2931298377571</v>
      </c>
      <c r="AO308" s="690">
        <f t="shared" si="1328"/>
        <v>2967.0427181603773</v>
      </c>
      <c r="AP308" s="690">
        <f t="shared" si="1328"/>
        <v>5611.1541509389726</v>
      </c>
      <c r="AQ308" s="860">
        <f t="shared" si="1328"/>
        <v>5169.6649377593358</v>
      </c>
      <c r="AR308" s="859">
        <f t="shared" si="1328"/>
        <v>4692.7394088892906</v>
      </c>
      <c r="AS308" s="690">
        <f t="shared" si="1328"/>
        <v>4872.7481189884611</v>
      </c>
      <c r="AT308" s="690">
        <f t="shared" si="1328"/>
        <v>3783.4064911843898</v>
      </c>
      <c r="AU308" s="690">
        <f t="shared" si="1328"/>
        <v>5247.2963222844892</v>
      </c>
      <c r="AV308" s="690">
        <f t="shared" si="1328"/>
        <v>5189.7328876681713</v>
      </c>
      <c r="AW308" s="690">
        <f t="shared" si="1328"/>
        <v>5138.2783874376219</v>
      </c>
      <c r="AX308" s="690">
        <f t="shared" ref="AX308:CD308" si="1329">AX306*1000000/AX8</f>
        <v>5469.4268556904317</v>
      </c>
      <c r="AY308" s="690">
        <f t="shared" si="1329"/>
        <v>5147.69499405435</v>
      </c>
      <c r="AZ308" s="690">
        <f t="shared" si="1329"/>
        <v>3998.1898588474437</v>
      </c>
      <c r="BA308" s="690">
        <f t="shared" si="1329"/>
        <v>5330.4400249510754</v>
      </c>
      <c r="BB308" s="690">
        <f t="shared" si="1329"/>
        <v>2852.3563200109547</v>
      </c>
      <c r="BC308" s="690">
        <f t="shared" si="1329"/>
        <v>6097.0558579046819</v>
      </c>
      <c r="BD308" s="690">
        <f t="shared" si="1329"/>
        <v>5264.296192823499</v>
      </c>
      <c r="BE308" s="859">
        <f t="shared" si="1329"/>
        <v>3601.57408725701</v>
      </c>
      <c r="BF308" s="1856">
        <f t="shared" si="1329"/>
        <v>4392.4032852091923</v>
      </c>
      <c r="BG308" s="1868">
        <f t="shared" si="1329"/>
        <v>4665.1397450632121</v>
      </c>
      <c r="BH308" s="1868">
        <f t="shared" si="1329"/>
        <v>4752.0959802700163</v>
      </c>
      <c r="BI308" s="1868">
        <f t="shared" si="1329"/>
        <v>3163.0613534543741</v>
      </c>
      <c r="BJ308" s="1868">
        <f t="shared" si="1329"/>
        <v>3405.0473077903716</v>
      </c>
      <c r="BK308" s="1868">
        <f t="shared" si="1329"/>
        <v>3470.1364715705972</v>
      </c>
      <c r="BL308" s="1868">
        <f t="shared" si="1329"/>
        <v>3282.0068683061199</v>
      </c>
      <c r="BM308" s="1868">
        <f t="shared" si="1329"/>
        <v>3772.6661564253955</v>
      </c>
      <c r="BN308" s="1868">
        <f t="shared" si="1329"/>
        <v>2375.9721787209564</v>
      </c>
      <c r="BO308" s="1868">
        <f t="shared" si="1329"/>
        <v>2717.9277472774729</v>
      </c>
      <c r="BP308" s="1868">
        <f t="shared" si="1329"/>
        <v>3563.4550505869006</v>
      </c>
      <c r="BQ308" s="1869">
        <f t="shared" si="1329"/>
        <v>4753.3626788109077</v>
      </c>
      <c r="BR308" s="859">
        <f t="shared" si="1329"/>
        <v>3207.7958515181963</v>
      </c>
      <c r="BS308" s="1856">
        <f t="shared" si="1329"/>
        <v>4056.9142179392143</v>
      </c>
      <c r="BT308" s="1868">
        <f t="shared" si="1329"/>
        <v>2295.1121601823215</v>
      </c>
      <c r="BU308" s="1868">
        <f t="shared" si="1329"/>
        <v>3751.8512150922356</v>
      </c>
      <c r="BV308" s="1868">
        <f t="shared" si="1329"/>
        <v>3908.7212021460787</v>
      </c>
      <c r="BW308" s="1868">
        <f t="shared" si="1329"/>
        <v>2939.555727725512</v>
      </c>
      <c r="BX308" s="1868">
        <f t="shared" si="1329"/>
        <v>3297.3245406798524</v>
      </c>
      <c r="BY308" s="1868">
        <f t="shared" si="1329"/>
        <v>3293.9341791652132</v>
      </c>
      <c r="BZ308" s="1868">
        <f t="shared" si="1329"/>
        <v>3846.7679942129166</v>
      </c>
      <c r="CA308" s="1868">
        <f t="shared" si="1329"/>
        <v>2662.3773386527632</v>
      </c>
      <c r="CB308" s="1868">
        <f t="shared" si="1329"/>
        <v>2694.1881550431663</v>
      </c>
      <c r="CC308" s="1868">
        <f t="shared" si="1329"/>
        <v>3004.381261377021</v>
      </c>
      <c r="CD308" s="1869">
        <f t="shared" si="1329"/>
        <v>3806.683291985762</v>
      </c>
      <c r="CE308" s="859">
        <f>CE306*1000000/CE8</f>
        <v>3374.9131772942023</v>
      </c>
      <c r="CF308" s="1893">
        <v>3374.9131772942023</v>
      </c>
      <c r="CG308" s="1896">
        <v>3374.9131772942023</v>
      </c>
      <c r="CH308" s="1896">
        <v>3374.9131772942023</v>
      </c>
      <c r="CI308" s="1896">
        <v>3374.9131772942023</v>
      </c>
      <c r="CJ308" s="1896">
        <v>3374.9131772942023</v>
      </c>
      <c r="CK308" s="1896">
        <v>3374.9131772942023</v>
      </c>
      <c r="CL308" s="1896">
        <v>3374.9131772942023</v>
      </c>
      <c r="CM308" s="1896">
        <v>3374.9131772942023</v>
      </c>
      <c r="CN308" s="1896">
        <v>3374.9131772942023</v>
      </c>
      <c r="CO308" s="1896">
        <v>3374.9131772942023</v>
      </c>
      <c r="CP308" s="1896">
        <v>3374.9131772942023</v>
      </c>
      <c r="CQ308" s="2810">
        <v>3374.9131772942023</v>
      </c>
    </row>
    <row r="309" spans="2:95">
      <c r="BR309" s="423"/>
      <c r="BS309" s="423"/>
      <c r="BT309" s="423"/>
      <c r="BU309" s="423"/>
      <c r="BV309" s="423"/>
      <c r="BW309" s="423"/>
      <c r="BX309" s="423"/>
      <c r="BY309" s="423"/>
      <c r="BZ309" s="423"/>
      <c r="CA309" s="423"/>
      <c r="CB309" s="423"/>
      <c r="CC309" s="423"/>
      <c r="CE309" s="423"/>
      <c r="CF309" s="423"/>
      <c r="CG309" s="423"/>
      <c r="CH309" s="423"/>
      <c r="CI309" s="423"/>
      <c r="CJ309" s="423"/>
      <c r="CK309" s="423"/>
      <c r="CL309" s="423"/>
      <c r="CM309" s="423"/>
      <c r="CN309" s="423"/>
      <c r="CO309" s="423"/>
      <c r="CP309" s="423"/>
    </row>
    <row r="310" spans="2:95">
      <c r="BF310" s="371"/>
      <c r="BR310" s="423"/>
      <c r="BS310" s="1419"/>
      <c r="BT310" s="423"/>
      <c r="BU310" s="423"/>
      <c r="BV310" s="423"/>
      <c r="BW310" s="423"/>
      <c r="BX310" s="423"/>
      <c r="BY310" s="423"/>
      <c r="BZ310" s="423"/>
      <c r="CA310" s="423"/>
      <c r="CB310" s="423"/>
      <c r="CC310" s="423"/>
      <c r="CE310" s="423"/>
      <c r="CF310" s="1419"/>
      <c r="CG310" s="423"/>
      <c r="CH310" s="423"/>
      <c r="CI310" s="423"/>
      <c r="CJ310" s="423"/>
      <c r="CK310" s="423"/>
      <c r="CL310" s="423"/>
      <c r="CM310" s="423"/>
      <c r="CN310" s="423"/>
      <c r="CO310" s="423"/>
      <c r="CP310" s="423"/>
    </row>
    <row r="311" spans="2:95">
      <c r="BR311" s="423"/>
      <c r="BS311" s="1419"/>
      <c r="BT311" s="423"/>
      <c r="BU311" s="423"/>
      <c r="BV311" s="423"/>
      <c r="BW311" s="423"/>
      <c r="BX311" s="423"/>
      <c r="BY311" s="423"/>
      <c r="BZ311" s="423"/>
      <c r="CA311" s="423"/>
      <c r="CB311" s="423"/>
      <c r="CC311" s="423"/>
      <c r="CE311" s="2500" t="s">
        <v>712</v>
      </c>
      <c r="CF311" s="1419"/>
      <c r="CG311" s="423"/>
      <c r="CH311" s="423"/>
      <c r="CI311" s="423"/>
      <c r="CJ311" s="423"/>
      <c r="CK311" s="423"/>
      <c r="CL311" s="423"/>
      <c r="CM311" s="423"/>
      <c r="CN311" s="423"/>
      <c r="CO311" s="423"/>
      <c r="CP311" s="423"/>
    </row>
    <row r="312" spans="2:95">
      <c r="BR312" s="423"/>
      <c r="BS312" s="1419"/>
      <c r="BT312" s="423"/>
      <c r="BU312" s="423"/>
      <c r="BV312" s="423"/>
      <c r="BW312" s="423"/>
      <c r="BX312" s="423"/>
      <c r="BY312" s="423"/>
      <c r="BZ312" s="423"/>
      <c r="CA312" s="423"/>
      <c r="CB312" s="423"/>
      <c r="CC312" s="423"/>
      <c r="CE312" s="2501" t="s">
        <v>713</v>
      </c>
      <c r="CF312" s="2502">
        <v>381004.56963229802</v>
      </c>
      <c r="CG312" s="2502">
        <f>CF312+CF316</f>
        <v>375133.15836539119</v>
      </c>
      <c r="CH312" s="2502">
        <f t="shared" ref="CH312:CQ312" si="1330">CG312+CG316</f>
        <v>362215.34592437616</v>
      </c>
      <c r="CI312" s="2502">
        <f t="shared" si="1330"/>
        <v>354903.52116552863</v>
      </c>
      <c r="CJ312" s="2502">
        <f t="shared" si="1330"/>
        <v>346044.7921520347</v>
      </c>
      <c r="CK312" s="2502">
        <f t="shared" si="1330"/>
        <v>337919.0264486192</v>
      </c>
      <c r="CL312" s="2502">
        <f t="shared" si="1330"/>
        <v>330841.04538010032</v>
      </c>
      <c r="CM312" s="2502">
        <f t="shared" si="1330"/>
        <v>328991.40846283711</v>
      </c>
      <c r="CN312" s="2502">
        <f t="shared" si="1330"/>
        <v>321690.32908690773</v>
      </c>
      <c r="CO312" s="2502">
        <f t="shared" si="1330"/>
        <v>319398.82519002125</v>
      </c>
      <c r="CP312" s="2502">
        <f t="shared" si="1330"/>
        <v>315734.65593363042</v>
      </c>
      <c r="CQ312" s="2502">
        <f t="shared" si="1330"/>
        <v>312842.79934213054</v>
      </c>
    </row>
    <row r="313" spans="2:95">
      <c r="BR313" s="423"/>
      <c r="BS313" s="1419"/>
      <c r="BT313" s="423"/>
      <c r="BU313" s="423"/>
      <c r="BV313" s="423"/>
      <c r="BW313" s="423"/>
      <c r="BX313" s="423"/>
      <c r="BY313" s="423"/>
      <c r="BZ313" s="423"/>
      <c r="CA313" s="423"/>
      <c r="CB313" s="423"/>
      <c r="CC313" s="423"/>
      <c r="CE313" s="2501" t="s">
        <v>716</v>
      </c>
      <c r="CF313" s="2502">
        <f>CF9</f>
        <v>28419</v>
      </c>
      <c r="CG313" s="2502">
        <f t="shared" ref="CG313:CQ313" si="1331">CG9</f>
        <v>20844.17181187019</v>
      </c>
      <c r="CH313" s="2502">
        <f t="shared" si="1331"/>
        <v>25287.556374346335</v>
      </c>
      <c r="CI313" s="2502">
        <f t="shared" si="1331"/>
        <v>23082.587891403622</v>
      </c>
      <c r="CJ313" s="2502">
        <f t="shared" si="1331"/>
        <v>23018.265590267609</v>
      </c>
      <c r="CK313" s="2502">
        <f t="shared" si="1331"/>
        <v>23334.73131185682</v>
      </c>
      <c r="CL313" s="2502">
        <f t="shared" si="1331"/>
        <v>27926.057166945804</v>
      </c>
      <c r="CM313" s="2502">
        <f t="shared" si="1331"/>
        <v>22308.147385725966</v>
      </c>
      <c r="CN313" s="2502">
        <f t="shared" si="1331"/>
        <v>26660.625720935201</v>
      </c>
      <c r="CO313" s="2502">
        <f t="shared" si="1331"/>
        <v>25081.725010711078</v>
      </c>
      <c r="CP313" s="2502">
        <f t="shared" si="1331"/>
        <v>25524.262442526884</v>
      </c>
      <c r="CQ313" s="2502">
        <f t="shared" si="1331"/>
        <v>20244.256524936201</v>
      </c>
    </row>
    <row r="314" spans="2:95">
      <c r="BR314" s="423"/>
      <c r="BS314" s="1419"/>
      <c r="BT314" s="423"/>
      <c r="BU314" s="423"/>
      <c r="BV314" s="423"/>
      <c r="BW314" s="423"/>
      <c r="BX314" s="423"/>
      <c r="BY314" s="423"/>
      <c r="BZ314" s="423"/>
      <c r="CA314" s="423"/>
      <c r="CB314" s="423"/>
      <c r="CC314" s="423"/>
      <c r="CE314" s="2504" t="s">
        <v>717</v>
      </c>
      <c r="CF314" s="3169">
        <v>0.09</v>
      </c>
      <c r="CG314" s="3169">
        <f>CF314</f>
        <v>0.09</v>
      </c>
      <c r="CH314" s="3169">
        <f t="shared" ref="CH314" si="1332">CG314</f>
        <v>0.09</v>
      </c>
      <c r="CI314" s="3169">
        <f t="shared" ref="CI314" si="1333">CH314</f>
        <v>0.09</v>
      </c>
      <c r="CJ314" s="3169">
        <f t="shared" ref="CJ314" si="1334">CI314</f>
        <v>0.09</v>
      </c>
      <c r="CK314" s="3169">
        <f t="shared" ref="CK314" si="1335">CJ314</f>
        <v>0.09</v>
      </c>
      <c r="CL314" s="3169">
        <f t="shared" ref="CL314" si="1336">CK314</f>
        <v>0.09</v>
      </c>
      <c r="CM314" s="3169">
        <f t="shared" ref="CM314" si="1337">CL314</f>
        <v>0.09</v>
      </c>
      <c r="CN314" s="3169">
        <f t="shared" ref="CN314" si="1338">CM314</f>
        <v>0.09</v>
      </c>
      <c r="CO314" s="3169">
        <f t="shared" ref="CO314" si="1339">CN314</f>
        <v>0.09</v>
      </c>
      <c r="CP314" s="3169">
        <f t="shared" ref="CP314" si="1340">CO314</f>
        <v>0.09</v>
      </c>
      <c r="CQ314" s="3169">
        <f t="shared" ref="CQ314" si="1341">CP314</f>
        <v>0.09</v>
      </c>
    </row>
    <row r="315" spans="2:95">
      <c r="BR315" s="423"/>
      <c r="BS315" s="1419"/>
      <c r="BT315" s="423"/>
      <c r="BU315" s="423"/>
      <c r="BV315" s="423"/>
      <c r="BW315" s="423"/>
      <c r="BX315" s="423"/>
      <c r="BY315" s="423"/>
      <c r="BZ315" s="423"/>
      <c r="CA315" s="423"/>
      <c r="CB315" s="423"/>
      <c r="CC315" s="423"/>
      <c r="CE315" s="2501" t="s">
        <v>718</v>
      </c>
      <c r="CF315" s="2502">
        <f>CF312*CF314</f>
        <v>34290.41126690682</v>
      </c>
      <c r="CG315" s="2502">
        <f>CG312*CG314</f>
        <v>33761.98425288521</v>
      </c>
      <c r="CH315" s="2502">
        <f t="shared" ref="CH315:CQ315" si="1342">CH312*CH314</f>
        <v>32599.381133193852</v>
      </c>
      <c r="CI315" s="2502">
        <f t="shared" si="1342"/>
        <v>31941.316904897576</v>
      </c>
      <c r="CJ315" s="2502">
        <f t="shared" si="1342"/>
        <v>31144.031293683121</v>
      </c>
      <c r="CK315" s="2502">
        <f t="shared" si="1342"/>
        <v>30412.712380375728</v>
      </c>
      <c r="CL315" s="2502">
        <f t="shared" si="1342"/>
        <v>29775.694084209026</v>
      </c>
      <c r="CM315" s="2502">
        <f t="shared" si="1342"/>
        <v>29609.22676165534</v>
      </c>
      <c r="CN315" s="2502">
        <f t="shared" si="1342"/>
        <v>28952.129617821694</v>
      </c>
      <c r="CO315" s="2502">
        <f t="shared" si="1342"/>
        <v>28745.89426710191</v>
      </c>
      <c r="CP315" s="2502">
        <f t="shared" si="1342"/>
        <v>28416.119034026739</v>
      </c>
      <c r="CQ315" s="2502">
        <f t="shared" si="1342"/>
        <v>28155.851940791748</v>
      </c>
    </row>
    <row r="316" spans="2:95">
      <c r="BR316" s="423"/>
      <c r="BS316" s="1419"/>
      <c r="BT316" s="423"/>
      <c r="BU316" s="423"/>
      <c r="BV316" s="423"/>
      <c r="BW316" s="423"/>
      <c r="BX316" s="423"/>
      <c r="BY316" s="423"/>
      <c r="BZ316" s="423"/>
      <c r="CA316" s="423"/>
      <c r="CB316" s="423"/>
      <c r="CC316" s="423"/>
      <c r="CE316" s="2501" t="s">
        <v>714</v>
      </c>
      <c r="CF316" s="2503">
        <f>CF313-CF315</f>
        <v>-5871.4112669068199</v>
      </c>
      <c r="CG316" s="2503">
        <f t="shared" ref="CG316" si="1343">CG313-CG315</f>
        <v>-12917.812441015019</v>
      </c>
      <c r="CH316" s="2503">
        <f t="shared" ref="CH316" si="1344">CH313-CH315</f>
        <v>-7311.8247588475169</v>
      </c>
      <c r="CI316" s="2503">
        <f t="shared" ref="CI316" si="1345">CI313-CI315</f>
        <v>-8858.729013493954</v>
      </c>
      <c r="CJ316" s="2503">
        <f t="shared" ref="CJ316" si="1346">CJ313-CJ315</f>
        <v>-8125.7657034155127</v>
      </c>
      <c r="CK316" s="2503">
        <f t="shared" ref="CK316" si="1347">CK313-CK315</f>
        <v>-7077.9810685189077</v>
      </c>
      <c r="CL316" s="2503">
        <f t="shared" ref="CL316" si="1348">CL313-CL315</f>
        <v>-1849.6369172632221</v>
      </c>
      <c r="CM316" s="2503">
        <f t="shared" ref="CM316" si="1349">CM313-CM315</f>
        <v>-7301.0793759293738</v>
      </c>
      <c r="CN316" s="2503">
        <f t="shared" ref="CN316" si="1350">CN313-CN315</f>
        <v>-2291.5038968864937</v>
      </c>
      <c r="CO316" s="2503">
        <f t="shared" ref="CO316" si="1351">CO313-CO315</f>
        <v>-3664.1692563908327</v>
      </c>
      <c r="CP316" s="2503">
        <f t="shared" ref="CP316" si="1352">CP313-CP315</f>
        <v>-2891.8565914998544</v>
      </c>
      <c r="CQ316" s="2503">
        <f t="shared" ref="CQ316" si="1353">CQ313-CQ315</f>
        <v>-7911.5954158555469</v>
      </c>
    </row>
    <row r="317" spans="2:95">
      <c r="BR317" s="423"/>
      <c r="BS317" s="1419"/>
      <c r="BT317" s="423"/>
      <c r="BU317" s="423"/>
      <c r="BV317" s="423"/>
      <c r="BW317" s="423"/>
      <c r="BX317" s="423"/>
      <c r="BY317" s="423"/>
      <c r="BZ317" s="423"/>
      <c r="CA317" s="423"/>
      <c r="CB317" s="423"/>
      <c r="CC317" s="423"/>
      <c r="CE317" s="2506" t="s">
        <v>719</v>
      </c>
      <c r="CF317" s="3170">
        <v>36162.056371869752</v>
      </c>
      <c r="CG317" s="3170">
        <v>36162.056371869752</v>
      </c>
      <c r="CH317" s="3170">
        <v>36162.056371869752</v>
      </c>
      <c r="CI317" s="3170">
        <v>36162.056371869752</v>
      </c>
      <c r="CJ317" s="3170">
        <v>36162.056371869752</v>
      </c>
      <c r="CK317" s="3170">
        <v>36162.056371869752</v>
      </c>
      <c r="CL317" s="3170">
        <v>36162.056371869752</v>
      </c>
      <c r="CM317" s="3170">
        <v>36162.056371869752</v>
      </c>
      <c r="CN317" s="3170">
        <v>36162.056371869752</v>
      </c>
      <c r="CO317" s="3170">
        <v>36162.056371869752</v>
      </c>
      <c r="CP317" s="3170">
        <v>36162.056371869752</v>
      </c>
      <c r="CQ317" s="3170">
        <v>36162.056371869752</v>
      </c>
    </row>
    <row r="318" spans="2:95">
      <c r="BR318" s="423"/>
      <c r="BS318" s="1419"/>
      <c r="BT318" s="423"/>
      <c r="BU318" s="423"/>
      <c r="BV318" s="423"/>
      <c r="BW318" s="423"/>
      <c r="BX318" s="423"/>
      <c r="BY318" s="423"/>
      <c r="BZ318" s="423"/>
      <c r="CA318" s="423"/>
      <c r="CB318" s="423"/>
      <c r="CC318" s="423"/>
      <c r="CE318" s="2507" t="s">
        <v>715</v>
      </c>
      <c r="CF318" s="2505">
        <f>CF317*2%</f>
        <v>723.24112743739511</v>
      </c>
      <c r="CG318" s="2505">
        <f>CG317*2%</f>
        <v>723.24112743739511</v>
      </c>
      <c r="CH318" s="2505">
        <f t="shared" ref="CH318:CQ318" si="1354">CH317*2%</f>
        <v>723.24112743739511</v>
      </c>
      <c r="CI318" s="2505">
        <f t="shared" si="1354"/>
        <v>723.24112743739511</v>
      </c>
      <c r="CJ318" s="2505">
        <f t="shared" si="1354"/>
        <v>723.24112743739511</v>
      </c>
      <c r="CK318" s="2505">
        <f t="shared" si="1354"/>
        <v>723.24112743739511</v>
      </c>
      <c r="CL318" s="2505">
        <f t="shared" si="1354"/>
        <v>723.24112743739511</v>
      </c>
      <c r="CM318" s="2505">
        <f t="shared" si="1354"/>
        <v>723.24112743739511</v>
      </c>
      <c r="CN318" s="2505">
        <f t="shared" si="1354"/>
        <v>723.24112743739511</v>
      </c>
      <c r="CO318" s="2505">
        <f t="shared" si="1354"/>
        <v>723.24112743739511</v>
      </c>
      <c r="CP318" s="2505">
        <f t="shared" si="1354"/>
        <v>723.24112743739511</v>
      </c>
      <c r="CQ318" s="2505">
        <f t="shared" si="1354"/>
        <v>723.24112743739511</v>
      </c>
    </row>
    <row r="319" spans="2:95">
      <c r="BR319" s="423"/>
      <c r="BS319" s="1419"/>
      <c r="BT319" s="423"/>
      <c r="BU319" s="423"/>
      <c r="BV319" s="423"/>
      <c r="BW319" s="423"/>
      <c r="BX319" s="423"/>
      <c r="BY319" s="423"/>
      <c r="BZ319" s="423"/>
      <c r="CA319" s="423"/>
      <c r="CB319" s="423"/>
      <c r="CC319" s="423"/>
      <c r="CE319" s="2507" t="s">
        <v>720</v>
      </c>
      <c r="CF319" s="2503">
        <f t="shared" ref="CF319:CQ319" si="1355">(CF318*CF312)/1000000</f>
        <v>275.55817449966275</v>
      </c>
      <c r="CG319" s="2503">
        <f t="shared" si="1355"/>
        <v>271.31172839533639</v>
      </c>
      <c r="CH319" s="2503">
        <f t="shared" si="1355"/>
        <v>261.96903516147188</v>
      </c>
      <c r="CI319" s="2503">
        <f t="shared" si="1355"/>
        <v>256.68082277925834</v>
      </c>
      <c r="CJ319" s="2503">
        <f t="shared" si="1355"/>
        <v>250.27382561987662</v>
      </c>
      <c r="CK319" s="2503">
        <f t="shared" si="1355"/>
        <v>244.39693767124629</v>
      </c>
      <c r="CL319" s="2503">
        <f t="shared" si="1355"/>
        <v>239.27785066327016</v>
      </c>
      <c r="CM319" s="2503">
        <f t="shared" si="1355"/>
        <v>237.94011717387889</v>
      </c>
      <c r="CN319" s="2503">
        <f t="shared" si="1355"/>
        <v>232.6596762945218</v>
      </c>
      <c r="CO319" s="2503">
        <f t="shared" si="1355"/>
        <v>231.00236643261044</v>
      </c>
      <c r="CP319" s="2503">
        <f t="shared" si="1355"/>
        <v>228.3522885284969</v>
      </c>
      <c r="CQ319" s="2503">
        <f t="shared" si="1355"/>
        <v>226.26077890687327</v>
      </c>
    </row>
    <row r="320" spans="2:95">
      <c r="BR320" s="423"/>
      <c r="BS320" s="1419"/>
      <c r="BT320" s="423"/>
      <c r="BU320" s="423"/>
      <c r="BV320" s="423"/>
      <c r="BW320" s="423"/>
      <c r="BX320" s="423"/>
      <c r="BY320" s="423"/>
      <c r="BZ320" s="423"/>
      <c r="CA320" s="423"/>
      <c r="CB320" s="423"/>
      <c r="CC320" s="423"/>
      <c r="CE320" s="423"/>
      <c r="CF320" s="1419"/>
      <c r="CG320" s="423"/>
      <c r="CH320" s="423"/>
      <c r="CI320" s="423"/>
      <c r="CJ320" s="423"/>
      <c r="CK320" s="423"/>
      <c r="CL320" s="423"/>
      <c r="CM320" s="423"/>
      <c r="CN320" s="423"/>
      <c r="CO320" s="423"/>
      <c r="CP320" s="423"/>
    </row>
    <row r="321" spans="70:95">
      <c r="BR321" s="423"/>
      <c r="BS321" s="1419"/>
      <c r="BT321" s="423"/>
      <c r="BU321" s="423"/>
      <c r="BV321" s="423"/>
      <c r="BW321" s="423"/>
      <c r="BX321" s="423"/>
      <c r="BY321" s="423"/>
      <c r="BZ321" s="423"/>
      <c r="CA321" s="423"/>
      <c r="CB321" s="423"/>
      <c r="CC321" s="423"/>
      <c r="CE321" s="423"/>
      <c r="CF321" s="1419"/>
      <c r="CG321" s="423"/>
      <c r="CH321" s="423"/>
      <c r="CI321" s="423"/>
      <c r="CJ321" s="423"/>
      <c r="CK321" s="423"/>
      <c r="CL321" s="423"/>
      <c r="CM321" s="423"/>
      <c r="CN321" s="423"/>
      <c r="CO321" s="423"/>
      <c r="CP321" s="423"/>
    </row>
    <row r="322" spans="70:95">
      <c r="BR322" s="423"/>
      <c r="BS322" s="1419"/>
      <c r="BT322" s="423"/>
      <c r="BU322" s="423"/>
      <c r="BV322" s="423"/>
      <c r="BW322" s="423"/>
      <c r="BX322" s="423"/>
      <c r="BY322" s="423"/>
      <c r="BZ322" s="423"/>
      <c r="CA322" s="423"/>
      <c r="CB322" s="423"/>
      <c r="CC322" s="423"/>
      <c r="CE322" s="2500" t="s">
        <v>721</v>
      </c>
      <c r="CF322" s="1419"/>
      <c r="CG322" s="423"/>
      <c r="CH322" s="423"/>
      <c r="CI322" s="423"/>
      <c r="CJ322" s="423"/>
      <c r="CK322" s="423"/>
      <c r="CL322" s="423"/>
      <c r="CM322" s="423"/>
      <c r="CN322" s="423"/>
      <c r="CO322" s="423"/>
      <c r="CP322" s="423"/>
    </row>
    <row r="323" spans="70:95">
      <c r="BR323" s="423"/>
      <c r="BS323" s="1419"/>
      <c r="BT323" s="423"/>
      <c r="BU323" s="423"/>
      <c r="BV323" s="423"/>
      <c r="BW323" s="423"/>
      <c r="BX323" s="423"/>
      <c r="BY323" s="423"/>
      <c r="BZ323" s="423"/>
      <c r="CA323" s="423"/>
      <c r="CB323" s="423"/>
      <c r="CC323" s="423"/>
      <c r="CE323" s="2511" t="s">
        <v>713</v>
      </c>
      <c r="CF323" s="2515">
        <v>257331.20075942879</v>
      </c>
      <c r="CG323" s="2515">
        <f>CF323+CF327</f>
        <v>261828.97479026255</v>
      </c>
      <c r="CH323" s="2515">
        <f t="shared" ref="CH323:CQ323" si="1356">CG323+CG327</f>
        <v>266368.03031744139</v>
      </c>
      <c r="CI323" s="2515">
        <f t="shared" si="1356"/>
        <v>274767.91108457866</v>
      </c>
      <c r="CJ323" s="2515">
        <f t="shared" si="1356"/>
        <v>278692.77365784865</v>
      </c>
      <c r="CK323" s="2515">
        <f t="shared" si="1356"/>
        <v>282300.7890181726</v>
      </c>
      <c r="CL323" s="2515">
        <f t="shared" si="1356"/>
        <v>286506.31089765934</v>
      </c>
      <c r="CM323" s="2515">
        <f t="shared" si="1356"/>
        <v>293920.69709517236</v>
      </c>
      <c r="CN323" s="2515">
        <f t="shared" si="1356"/>
        <v>299450.35973115236</v>
      </c>
      <c r="CO323" s="2515">
        <f t="shared" si="1356"/>
        <v>312455.86739858851</v>
      </c>
      <c r="CP323" s="2515">
        <f t="shared" si="1356"/>
        <v>318886.26350732933</v>
      </c>
      <c r="CQ323" s="2515">
        <f t="shared" si="1356"/>
        <v>322833.63208202389</v>
      </c>
    </row>
    <row r="324" spans="70:95">
      <c r="BR324" s="423"/>
      <c r="BS324" s="1419"/>
      <c r="BT324" s="423"/>
      <c r="BU324" s="423"/>
      <c r="BV324" s="423"/>
      <c r="BW324" s="423"/>
      <c r="BX324" s="423"/>
      <c r="BY324" s="423"/>
      <c r="BZ324" s="423"/>
      <c r="CA324" s="423"/>
      <c r="CB324" s="423"/>
      <c r="CC324" s="423"/>
      <c r="CE324" s="2511" t="s">
        <v>716</v>
      </c>
      <c r="CF324" s="2515">
        <f t="shared" ref="CF324:CQ324" si="1357">CF14+CF15</f>
        <v>9644.3980460223502</v>
      </c>
      <c r="CG324" s="2515">
        <f t="shared" si="1357"/>
        <v>9775.63502298407</v>
      </c>
      <c r="CH324" s="2515">
        <f t="shared" si="1357"/>
        <v>13727.2413734861</v>
      </c>
      <c r="CI324" s="2515">
        <f t="shared" si="1357"/>
        <v>9420.2207949615495</v>
      </c>
      <c r="CJ324" s="2515">
        <f t="shared" si="1357"/>
        <v>9181.8708334809417</v>
      </c>
      <c r="CK324" s="2515">
        <f t="shared" si="1357"/>
        <v>9851.5376598502007</v>
      </c>
      <c r="CL324" s="2515">
        <f t="shared" si="1357"/>
        <v>13144.512415466201</v>
      </c>
      <c r="CM324" s="2515">
        <f t="shared" si="1357"/>
        <v>11408.076577883474</v>
      </c>
      <c r="CN324" s="2515">
        <f t="shared" si="1357"/>
        <v>18994.514862059201</v>
      </c>
      <c r="CO324" s="2515">
        <f t="shared" si="1357"/>
        <v>12679.513456712601</v>
      </c>
      <c r="CP324" s="2515">
        <f t="shared" si="1357"/>
        <v>10325.093844841131</v>
      </c>
      <c r="CQ324" s="2515">
        <f t="shared" si="1357"/>
        <v>9819.2433627373102</v>
      </c>
    </row>
    <row r="325" spans="70:95">
      <c r="BR325" s="423"/>
      <c r="BS325" s="1419"/>
      <c r="BT325" s="423"/>
      <c r="BU325" s="423"/>
      <c r="BV325" s="423"/>
      <c r="BW325" s="423"/>
      <c r="BX325" s="423"/>
      <c r="BY325" s="423"/>
      <c r="BZ325" s="423"/>
      <c r="CA325" s="423"/>
      <c r="CB325" s="423"/>
      <c r="CC325" s="423"/>
      <c r="CE325" s="2512" t="s">
        <v>717</v>
      </c>
      <c r="CF325" s="3166">
        <v>0.02</v>
      </c>
      <c r="CG325" s="3166">
        <f>CF325</f>
        <v>0.02</v>
      </c>
      <c r="CH325" s="3166">
        <f t="shared" ref="CH325:CQ325" si="1358">CG325</f>
        <v>0.02</v>
      </c>
      <c r="CI325" s="3166">
        <f t="shared" si="1358"/>
        <v>0.02</v>
      </c>
      <c r="CJ325" s="3166">
        <f t="shared" si="1358"/>
        <v>0.02</v>
      </c>
      <c r="CK325" s="3166">
        <f t="shared" si="1358"/>
        <v>0.02</v>
      </c>
      <c r="CL325" s="3166">
        <f t="shared" si="1358"/>
        <v>0.02</v>
      </c>
      <c r="CM325" s="3166">
        <f t="shared" si="1358"/>
        <v>0.02</v>
      </c>
      <c r="CN325" s="3166">
        <f t="shared" si="1358"/>
        <v>0.02</v>
      </c>
      <c r="CO325" s="3166">
        <f t="shared" si="1358"/>
        <v>0.02</v>
      </c>
      <c r="CP325" s="3166">
        <f t="shared" si="1358"/>
        <v>0.02</v>
      </c>
      <c r="CQ325" s="3166">
        <f t="shared" si="1358"/>
        <v>0.02</v>
      </c>
    </row>
    <row r="326" spans="70:95">
      <c r="BR326" s="423"/>
      <c r="BS326" s="1419"/>
      <c r="BT326" s="423"/>
      <c r="BU326" s="423"/>
      <c r="BV326" s="423"/>
      <c r="BW326" s="423"/>
      <c r="BX326" s="423"/>
      <c r="BY326" s="423"/>
      <c r="BZ326" s="423"/>
      <c r="CA326" s="423"/>
      <c r="CB326" s="423"/>
      <c r="CC326" s="423"/>
      <c r="CE326" s="2511" t="s">
        <v>718</v>
      </c>
      <c r="CF326" s="2515">
        <f t="shared" ref="CF326" si="1359">CF323*CF325</f>
        <v>5146.6240151885759</v>
      </c>
      <c r="CG326" s="2515">
        <f>CG323*CG325</f>
        <v>5236.5794958052511</v>
      </c>
      <c r="CH326" s="2515">
        <f t="shared" ref="CH326:CQ326" si="1360">CH323*CH325</f>
        <v>5327.3606063488278</v>
      </c>
      <c r="CI326" s="2515">
        <f t="shared" si="1360"/>
        <v>5495.3582216915738</v>
      </c>
      <c r="CJ326" s="2515">
        <f t="shared" si="1360"/>
        <v>5573.8554731569729</v>
      </c>
      <c r="CK326" s="2515">
        <f t="shared" si="1360"/>
        <v>5646.015780363452</v>
      </c>
      <c r="CL326" s="2515">
        <f t="shared" si="1360"/>
        <v>5730.1262179531868</v>
      </c>
      <c r="CM326" s="2515">
        <f t="shared" si="1360"/>
        <v>5878.4139419034473</v>
      </c>
      <c r="CN326" s="2515">
        <f t="shared" si="1360"/>
        <v>5989.0071946230473</v>
      </c>
      <c r="CO326" s="2515">
        <f t="shared" si="1360"/>
        <v>6249.11734797177</v>
      </c>
      <c r="CP326" s="2515">
        <f t="shared" si="1360"/>
        <v>6377.7252701465868</v>
      </c>
      <c r="CQ326" s="2515">
        <f t="shared" si="1360"/>
        <v>6456.6726416404781</v>
      </c>
    </row>
    <row r="327" spans="70:95">
      <c r="BR327" s="423"/>
      <c r="BS327" s="1419"/>
      <c r="BT327" s="423"/>
      <c r="BU327" s="423"/>
      <c r="BV327" s="423"/>
      <c r="BW327" s="423"/>
      <c r="BX327" s="423"/>
      <c r="BY327" s="423"/>
      <c r="BZ327" s="423"/>
      <c r="CA327" s="423"/>
      <c r="CB327" s="423"/>
      <c r="CC327" s="423"/>
      <c r="CE327" s="2511" t="s">
        <v>714</v>
      </c>
      <c r="CF327" s="2515">
        <f t="shared" ref="CF327" si="1361">CF324-CF326</f>
        <v>4497.7740308337743</v>
      </c>
      <c r="CG327" s="2515">
        <f>CG324-CG326</f>
        <v>4539.0555271788189</v>
      </c>
      <c r="CH327" s="2515">
        <f t="shared" ref="CH327:CQ327" si="1362">CH324-CH326</f>
        <v>8399.8807671372724</v>
      </c>
      <c r="CI327" s="2515">
        <f t="shared" si="1362"/>
        <v>3924.8625732699757</v>
      </c>
      <c r="CJ327" s="2515">
        <f t="shared" si="1362"/>
        <v>3608.0153603239687</v>
      </c>
      <c r="CK327" s="2515">
        <f t="shared" si="1362"/>
        <v>4205.5218794867487</v>
      </c>
      <c r="CL327" s="2515">
        <f t="shared" si="1362"/>
        <v>7414.3861975130139</v>
      </c>
      <c r="CM327" s="2515">
        <f t="shared" si="1362"/>
        <v>5529.6626359800266</v>
      </c>
      <c r="CN327" s="2515">
        <f t="shared" si="1362"/>
        <v>13005.507667436153</v>
      </c>
      <c r="CO327" s="2515">
        <f t="shared" si="1362"/>
        <v>6430.3961087408306</v>
      </c>
      <c r="CP327" s="2515">
        <f t="shared" si="1362"/>
        <v>3947.3685746945439</v>
      </c>
      <c r="CQ327" s="2515">
        <f t="shared" si="1362"/>
        <v>3362.5707210968321</v>
      </c>
    </row>
    <row r="328" spans="70:95">
      <c r="BR328" s="423"/>
      <c r="BS328" s="1419"/>
      <c r="BT328" s="423"/>
      <c r="BU328" s="423"/>
      <c r="BV328" s="423"/>
      <c r="BW328" s="423"/>
      <c r="BX328" s="423"/>
      <c r="BY328" s="423"/>
      <c r="BZ328" s="423"/>
      <c r="CA328" s="423"/>
      <c r="CB328" s="423"/>
      <c r="CC328" s="423"/>
      <c r="CE328" s="2513" t="s">
        <v>719</v>
      </c>
      <c r="CF328" s="3167">
        <v>27772.120493973449</v>
      </c>
      <c r="CG328" s="3167">
        <f>CF328</f>
        <v>27772.120493973449</v>
      </c>
      <c r="CH328" s="3167">
        <f t="shared" ref="CH328:CQ328" si="1363">CG328</f>
        <v>27772.120493973449</v>
      </c>
      <c r="CI328" s="3167">
        <f t="shared" si="1363"/>
        <v>27772.120493973449</v>
      </c>
      <c r="CJ328" s="3167">
        <f t="shared" si="1363"/>
        <v>27772.120493973449</v>
      </c>
      <c r="CK328" s="3167">
        <f t="shared" si="1363"/>
        <v>27772.120493973449</v>
      </c>
      <c r="CL328" s="3167">
        <f t="shared" si="1363"/>
        <v>27772.120493973449</v>
      </c>
      <c r="CM328" s="3167">
        <f t="shared" si="1363"/>
        <v>27772.120493973449</v>
      </c>
      <c r="CN328" s="3167">
        <f t="shared" si="1363"/>
        <v>27772.120493973449</v>
      </c>
      <c r="CO328" s="3167">
        <f t="shared" si="1363"/>
        <v>27772.120493973449</v>
      </c>
      <c r="CP328" s="3167">
        <f t="shared" si="1363"/>
        <v>27772.120493973449</v>
      </c>
      <c r="CQ328" s="3167">
        <f t="shared" si="1363"/>
        <v>27772.120493973449</v>
      </c>
    </row>
    <row r="329" spans="70:95">
      <c r="BW329" s="423"/>
      <c r="BX329" s="423"/>
      <c r="BY329" s="423"/>
      <c r="BZ329" s="423"/>
      <c r="CA329" s="423"/>
      <c r="CB329" s="423"/>
      <c r="CC329" s="423"/>
      <c r="CE329" s="2514" t="s">
        <v>715</v>
      </c>
      <c r="CF329" s="2516">
        <f t="shared" ref="CF329" si="1364">CF328*2%</f>
        <v>555.44240987946898</v>
      </c>
      <c r="CG329" s="2516">
        <f>CG328*2%</f>
        <v>555.44240987946898</v>
      </c>
      <c r="CH329" s="2516">
        <f t="shared" ref="CH329:CQ329" si="1365">CH328*2%</f>
        <v>555.44240987946898</v>
      </c>
      <c r="CI329" s="2516">
        <f t="shared" si="1365"/>
        <v>555.44240987946898</v>
      </c>
      <c r="CJ329" s="2516">
        <f t="shared" si="1365"/>
        <v>555.44240987946898</v>
      </c>
      <c r="CK329" s="2516">
        <f t="shared" si="1365"/>
        <v>555.44240987946898</v>
      </c>
      <c r="CL329" s="2516">
        <f t="shared" si="1365"/>
        <v>555.44240987946898</v>
      </c>
      <c r="CM329" s="2516">
        <f t="shared" si="1365"/>
        <v>555.44240987946898</v>
      </c>
      <c r="CN329" s="2516">
        <f t="shared" si="1365"/>
        <v>555.44240987946898</v>
      </c>
      <c r="CO329" s="2516">
        <f t="shared" si="1365"/>
        <v>555.44240987946898</v>
      </c>
      <c r="CP329" s="2516">
        <f t="shared" si="1365"/>
        <v>555.44240987946898</v>
      </c>
      <c r="CQ329" s="2516">
        <f t="shared" si="1365"/>
        <v>555.44240987946898</v>
      </c>
    </row>
    <row r="330" spans="70:95">
      <c r="BW330" s="423"/>
      <c r="BX330" s="423"/>
      <c r="BY330" s="423"/>
      <c r="BZ330" s="423"/>
      <c r="CA330" s="423"/>
      <c r="CB330" s="423"/>
      <c r="CC330" s="423"/>
      <c r="CE330" s="2514" t="s">
        <v>720</v>
      </c>
      <c r="CF330" s="3168">
        <f t="shared" ref="CF330" si="1366">(CF329*CF323)/1000000</f>
        <v>142.93266228699457</v>
      </c>
      <c r="CG330" s="3168">
        <f>(CG329*CG323)/1000000</f>
        <v>145.43091673377415</v>
      </c>
      <c r="CH330" s="3168">
        <f t="shared" ref="CH330:CQ330" si="1367">(CH329*CH323)/1000000</f>
        <v>147.9521006743671</v>
      </c>
      <c r="CI330" s="3168">
        <f t="shared" si="1367"/>
        <v>152.61775069036602</v>
      </c>
      <c r="CJ330" s="3168">
        <f t="shared" si="1367"/>
        <v>154.79778581650885</v>
      </c>
      <c r="CK330" s="3168">
        <f t="shared" si="1367"/>
        <v>156.8018305631293</v>
      </c>
      <c r="CL330" s="3168">
        <f t="shared" si="1367"/>
        <v>159.13775577067227</v>
      </c>
      <c r="CM330" s="3168">
        <f t="shared" si="1367"/>
        <v>163.25602030799598</v>
      </c>
      <c r="CN330" s="3168">
        <f t="shared" si="1367"/>
        <v>166.32742944834516</v>
      </c>
      <c r="CO330" s="3168">
        <f t="shared" si="1367"/>
        <v>173.5512399688518</v>
      </c>
      <c r="CP330" s="3168">
        <f t="shared" si="1367"/>
        <v>177.12295467997038</v>
      </c>
      <c r="CQ330" s="3168">
        <f t="shared" si="1367"/>
        <v>179.31549059378119</v>
      </c>
    </row>
  </sheetData>
  <mergeCells count="51">
    <mergeCell ref="CE6:CQ6"/>
    <mergeCell ref="C164:C172"/>
    <mergeCell ref="B242:C251"/>
    <mergeCell ref="C173:C180"/>
    <mergeCell ref="B130:B180"/>
    <mergeCell ref="C130:C138"/>
    <mergeCell ref="B231:C241"/>
    <mergeCell ref="B196:C206"/>
    <mergeCell ref="C148:C154"/>
    <mergeCell ref="C155:C163"/>
    <mergeCell ref="B181:C190"/>
    <mergeCell ref="C139:C147"/>
    <mergeCell ref="B129:D129"/>
    <mergeCell ref="B116:C125"/>
    <mergeCell ref="AR6:BD6"/>
    <mergeCell ref="AE6:AQ6"/>
    <mergeCell ref="B289:C291"/>
    <mergeCell ref="B220:C230"/>
    <mergeCell ref="B282:C285"/>
    <mergeCell ref="B286:C286"/>
    <mergeCell ref="B207:C218"/>
    <mergeCell ref="B253:C266"/>
    <mergeCell ref="B267:C278"/>
    <mergeCell ref="B306:C308"/>
    <mergeCell ref="B302:C303"/>
    <mergeCell ref="B292:C293"/>
    <mergeCell ref="B297:C298"/>
    <mergeCell ref="B299:D299"/>
    <mergeCell ref="B295:D295"/>
    <mergeCell ref="B294:C294"/>
    <mergeCell ref="B6:D7"/>
    <mergeCell ref="B52:C64"/>
    <mergeCell ref="B96:C105"/>
    <mergeCell ref="B40:C49"/>
    <mergeCell ref="E6:Q6"/>
    <mergeCell ref="B128:D128"/>
    <mergeCell ref="BR6:CD6"/>
    <mergeCell ref="B127:D127"/>
    <mergeCell ref="BE6:BQ6"/>
    <mergeCell ref="B29:C39"/>
    <mergeCell ref="B8:C18"/>
    <mergeCell ref="B25:D25"/>
    <mergeCell ref="B24:D24"/>
    <mergeCell ref="B50:C51"/>
    <mergeCell ref="B126:D126"/>
    <mergeCell ref="B106:C115"/>
    <mergeCell ref="B75:C84"/>
    <mergeCell ref="B65:C74"/>
    <mergeCell ref="B85:C95"/>
    <mergeCell ref="R6:AD6"/>
    <mergeCell ref="B19:C21"/>
  </mergeCells>
  <phoneticPr fontId="4" type="noConversion"/>
  <pageMargins left="0.7" right="0.7" top="0.75" bottom="0.75" header="0.3" footer="0.3"/>
  <pageSetup paperSize="9" scale="27" fitToHeight="0" orientation="landscape" r:id="rId1"/>
  <ignoredErrors>
    <ignoredError sqref="BE306 BE196 AE110:AE115 AR213:BE218 BE181 AE282:BE282 AR207 BF236:BQ236 BF246:BQ246 BF110:BQ114 BE125 BE190 BE289:BE294 BE297:BE299 BR282:BR285 BX19:CA19 AN292:AN293 AN299:AN306 BT74:CD75 BR110:CA110 BE52:BQ52 BR29:CD39 BR26:BR27 BT26:CD26 BR115:CD115 BR111 AE272:BE272 AE273:BD278 BR22:CD22 BT84:CD85 BR120:BR126 BR106:CA108 AE106:AE108 BR116:BR118 AR210:BE211 AE266:BE266 BU27 BR287:BR301 BR190 AS110:BD112 AR107:BE109 AR113:BE114 AR110:AR112 BE110:BE112 BW27:CD27 CB19:CE19 BR24:CD25 BR20:BR21 BR19:BW19 AY19:BE19 AR19 R20:BQ21 R19:AQ19 AS19:AX19 BF19:BQ19 BS246:BX246 BR230 BR237:BR246 CE116:CE127 CE128:CE190 AE269:BE270 BE206:BX206 BR266:BR267 AE267:BE267 R268:CC268 R267:AD267 BF267:BQ267 BS267:CC267 BR233:BR235 E45 CE41:CQ49 BR49 BR46 BF47:BL47 BR44 BE49 BF48:BL48 BE46:BQ46 BF42:BL42 BE44:BQ44 BE40 AR40:BD40 AE41:BR41 AE40:AQ40 AE45:BR45 AE44:BD44 AE43:BR43 AE42:BE42 BM42:BR42 AE47:BE47 AE46:BD46 AE50:BR51 AE48:BE48 BM48:BR48 AE49:BD49 BF49:BQ49 BM47:BR47 R45 CF40:CQ40 BR40 CE40 CE51:CQ51 CE50 CG50:CQ50 CE206 CE268:CQ268 CE267:CQ267 BR112:CA114 CG284:CM284 CM302 CE282" formula="1"/>
    <ignoredError sqref="BQ24 BR273 BR79:BR85 BR213 BR75 BR77 CD231:CD241 CD269:CD278 CB109:CD109 CB111:CD111 CD286 CD303 CD308 CD299 CD292:CD293" evalError="1"/>
    <ignoredError sqref="BS288:CC288 BS295:CC295 BS300:CC301 BS304:CC304 BS307:CC307 BS287:BU287 BW287:CC287 BS299:BW299 BS297:CC297 BS296:CB296 BS305:CA305" formulaRange="1"/>
    <ignoredError sqref="BS52:CD52 BF40:BQ40 BS40:CD40" formula="1" formulaRange="1"/>
    <ignoredError sqref="BE273:BE278 BR236 CD267 CD268 CB106:CD108 CB112:CD114 CB110:CD110" evalError="1" formula="1"/>
    <ignoredError sqref="CD305 CD296 CD297 CD287 CD307 CD304 CD300:CD301 CD295 CD288" evalError="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5">
    <tabColor theme="8" tint="0.39997558519241921"/>
  </sheetPr>
  <dimension ref="B1:CQ83"/>
  <sheetViews>
    <sheetView showGridLines="0" zoomScale="85" zoomScaleNormal="85" workbookViewId="0">
      <pane xSplit="4" ySplit="6" topLeftCell="E7" activePane="bottomRight" state="frozen"/>
      <selection activeCell="DA43" sqref="DA43"/>
      <selection pane="topRight" activeCell="DA43" sqref="DA43"/>
      <selection pane="bottomLeft" activeCell="DA43" sqref="DA43"/>
      <selection pane="bottomRight" activeCell="B5" sqref="B5:D6"/>
    </sheetView>
  </sheetViews>
  <sheetFormatPr defaultRowHeight="17" outlineLevelCol="1"/>
  <cols>
    <col min="1" max="1" width="4.08203125" customWidth="1"/>
    <col min="4" max="4" width="16.08203125" customWidth="1"/>
    <col min="5" max="5" width="8.75"/>
    <col min="6" max="7" width="10.5" hidden="1" customWidth="1" outlineLevel="1"/>
    <col min="8" max="8" width="12.33203125" hidden="1" customWidth="1" outlineLevel="1"/>
    <col min="9" max="10" width="10.5" hidden="1" customWidth="1" outlineLevel="1"/>
    <col min="11" max="11" width="9.33203125" hidden="1" customWidth="1" outlineLevel="1"/>
    <col min="12" max="17" width="10.5" hidden="1" customWidth="1" outlineLevel="1"/>
    <col min="18" max="18" width="8.75" collapsed="1"/>
    <col min="19" max="20" width="10.5" hidden="1" customWidth="1" outlineLevel="1"/>
    <col min="21" max="21" width="12.33203125" hidden="1" customWidth="1" outlineLevel="1"/>
    <col min="22" max="23" width="10.5" hidden="1" customWidth="1" outlineLevel="1"/>
    <col min="24" max="24" width="9.33203125" hidden="1" customWidth="1" outlineLevel="1"/>
    <col min="25" max="30" width="10.5" hidden="1" customWidth="1" outlineLevel="1"/>
    <col min="31" max="31" width="8.75" collapsed="1"/>
    <col min="32" max="33" width="10.5" hidden="1" customWidth="1" outlineLevel="1"/>
    <col min="34" max="34" width="12.33203125" hidden="1" customWidth="1" outlineLevel="1"/>
    <col min="35" max="36" width="10.5" hidden="1" customWidth="1" outlineLevel="1"/>
    <col min="37" max="37" width="9.33203125" hidden="1" customWidth="1" outlineLevel="1"/>
    <col min="38" max="43" width="10.5" hidden="1" customWidth="1" outlineLevel="1"/>
    <col min="44" max="44" width="9" collapsed="1"/>
    <col min="45" max="46" width="10.5" hidden="1" customWidth="1" outlineLevel="1"/>
    <col min="47" max="47" width="12.33203125" hidden="1" customWidth="1" outlineLevel="1"/>
    <col min="48" max="49" width="10.5" hidden="1" customWidth="1" outlineLevel="1"/>
    <col min="50" max="50" width="9.33203125" hidden="1" customWidth="1" outlineLevel="1"/>
    <col min="51" max="56" width="10.5" hidden="1" customWidth="1" outlineLevel="1"/>
    <col min="57" max="57" width="8.6640625" collapsed="1"/>
    <col min="58" max="59" width="10.5" hidden="1" customWidth="1" outlineLevel="1"/>
    <col min="60" max="60" width="12.33203125" hidden="1" customWidth="1" outlineLevel="1"/>
    <col min="61" max="62" width="10.5" hidden="1" customWidth="1" outlineLevel="1"/>
    <col min="63" max="63" width="9.33203125" hidden="1" customWidth="1" outlineLevel="1"/>
    <col min="64" max="69" width="10.5" hidden="1" customWidth="1" outlineLevel="1"/>
    <col min="70" max="70" width="8.6640625" collapsed="1"/>
    <col min="71" max="72" width="10.5" customWidth="1" outlineLevel="1"/>
    <col min="73" max="73" width="11" customWidth="1" outlineLevel="1"/>
    <col min="74" max="75" width="10.5" customWidth="1" outlineLevel="1"/>
    <col min="76" max="76" width="10.58203125" customWidth="1" outlineLevel="1"/>
    <col min="77" max="82" width="10.5" customWidth="1" outlineLevel="1"/>
    <col min="83" max="83" width="8.6640625" customWidth="1"/>
    <col min="84" max="85" width="10.5" customWidth="1" outlineLevel="1"/>
    <col min="86" max="86" width="11" customWidth="1" outlineLevel="1"/>
    <col min="87" max="88" width="10.5" customWidth="1" outlineLevel="1"/>
    <col min="89" max="89" width="10.58203125" customWidth="1" outlineLevel="1"/>
    <col min="90" max="95" width="10.5" customWidth="1" outlineLevel="1"/>
  </cols>
  <sheetData>
    <row r="1" spans="2:95" s="129" customFormat="1"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678"/>
      <c r="R1" s="421"/>
      <c r="S1" s="711"/>
      <c r="T1" s="421"/>
      <c r="U1" s="421"/>
      <c r="V1" s="421"/>
      <c r="W1" s="421"/>
      <c r="X1" s="421"/>
      <c r="Y1" s="421"/>
      <c r="Z1" s="421"/>
      <c r="AA1" s="421"/>
      <c r="AB1" s="421"/>
      <c r="AC1" s="421"/>
      <c r="AD1" s="421"/>
      <c r="AG1" s="421"/>
      <c r="AH1" s="421"/>
      <c r="AI1" s="421"/>
      <c r="AJ1" s="421"/>
      <c r="AK1" s="421"/>
      <c r="AL1" s="421"/>
      <c r="AM1" s="421"/>
      <c r="AN1" s="421"/>
      <c r="AO1" s="421"/>
      <c r="AP1" s="421"/>
      <c r="AQ1" s="421"/>
      <c r="AR1" s="1974">
        <f>AR7/AE7-1</f>
        <v>-1.4654798089448473E-3</v>
      </c>
      <c r="AS1" s="2210"/>
      <c r="AT1" s="3112"/>
      <c r="AU1" s="3112"/>
      <c r="AV1" s="3112"/>
      <c r="AW1" s="3112"/>
      <c r="AX1" s="3112"/>
      <c r="AY1" s="3112"/>
      <c r="AZ1" s="3112"/>
      <c r="BA1" s="3112"/>
      <c r="BB1" s="3112"/>
      <c r="BC1" s="3112"/>
      <c r="BD1" s="3112"/>
      <c r="BE1" s="1974">
        <f>BE7/AR7-1</f>
        <v>-0.19137902918954175</v>
      </c>
      <c r="BF1" s="2210"/>
      <c r="BG1" s="3112"/>
      <c r="BH1" s="3112"/>
      <c r="BI1" s="3112"/>
      <c r="BJ1" s="3112"/>
      <c r="BK1" s="3112"/>
      <c r="BL1" s="3112"/>
      <c r="BM1" s="3112"/>
      <c r="BN1" s="3112"/>
      <c r="BO1" s="3112"/>
      <c r="BP1" s="3112"/>
      <c r="BQ1" s="3112"/>
      <c r="BR1" s="1974">
        <f>BR7/BE7-1</f>
        <v>0.31550395934445619</v>
      </c>
      <c r="BS1" s="3113"/>
      <c r="BT1" s="3113"/>
      <c r="BU1" s="3113"/>
      <c r="BV1" s="3113"/>
      <c r="BW1" s="3113"/>
      <c r="BX1" s="3113"/>
      <c r="BY1" s="3113"/>
      <c r="BZ1" s="3113"/>
      <c r="CA1" s="3113"/>
      <c r="CB1" s="3113"/>
      <c r="CC1" s="3113"/>
      <c r="CD1" s="3113"/>
      <c r="CE1" s="3114" t="s">
        <v>750</v>
      </c>
      <c r="CF1" s="3114">
        <v>7.0000000000000007E-2</v>
      </c>
      <c r="CG1" s="3115">
        <v>9.5145691354766596E-2</v>
      </c>
      <c r="CH1" s="3115">
        <v>7.0000000000000007E-2</v>
      </c>
      <c r="CI1" s="3115">
        <v>8.3968517627334399E-2</v>
      </c>
      <c r="CJ1" s="3115">
        <v>9.5000000000000001E-2</v>
      </c>
      <c r="CK1" s="3115">
        <v>8.8980238135895728E-2</v>
      </c>
      <c r="CL1" s="3115">
        <v>9.5000000000000001E-2</v>
      </c>
      <c r="CM1" s="3115">
        <v>8.3968517627334399E-2</v>
      </c>
      <c r="CN1" s="3115">
        <v>0.08</v>
      </c>
      <c r="CO1" s="3115">
        <v>8.3968517627334399E-2</v>
      </c>
      <c r="CP1" s="3115">
        <v>8.3968517627334399E-2</v>
      </c>
      <c r="CQ1" s="3115">
        <v>7.0000000000000007E-2</v>
      </c>
    </row>
    <row r="2" spans="2:95" s="129" customFormat="1"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678"/>
      <c r="R2" s="421"/>
      <c r="S2" s="711"/>
      <c r="T2" s="421"/>
      <c r="U2" s="421"/>
      <c r="V2" s="421"/>
      <c r="W2" s="421"/>
      <c r="X2" s="421"/>
      <c r="Y2" s="421"/>
      <c r="Z2" s="421"/>
      <c r="AA2" s="421"/>
      <c r="AB2" s="421"/>
      <c r="AC2" s="421"/>
      <c r="AD2" s="421"/>
      <c r="AG2" s="421"/>
      <c r="AH2" s="421"/>
      <c r="AI2" s="421"/>
      <c r="AJ2" s="421"/>
      <c r="AK2" s="421"/>
      <c r="AL2" s="421"/>
      <c r="AM2" s="421"/>
      <c r="AN2" s="421"/>
      <c r="AO2" s="421"/>
      <c r="AP2" s="421"/>
      <c r="AQ2" s="421"/>
      <c r="AR2" s="1974"/>
      <c r="AS2" s="2210"/>
      <c r="AT2" s="3112"/>
      <c r="AU2" s="3112"/>
      <c r="AV2" s="3112"/>
      <c r="AW2" s="3112"/>
      <c r="AX2" s="3112"/>
      <c r="AY2" s="3112"/>
      <c r="AZ2" s="3112"/>
      <c r="BA2" s="3112"/>
      <c r="BB2" s="3112"/>
      <c r="BC2" s="3112"/>
      <c r="BD2" s="3112"/>
      <c r="BE2" s="1974"/>
      <c r="BF2" s="2210"/>
      <c r="BG2" s="3112"/>
      <c r="BH2" s="3112"/>
      <c r="BI2" s="3112"/>
      <c r="BJ2" s="3112"/>
      <c r="BK2" s="3112"/>
      <c r="BL2" s="3112"/>
      <c r="BM2" s="3112"/>
      <c r="BN2" s="3112"/>
      <c r="BO2" s="3112"/>
      <c r="BP2" s="3112"/>
      <c r="BQ2" s="3112"/>
      <c r="BR2" s="2964" t="s">
        <v>754</v>
      </c>
      <c r="BS2" s="3116"/>
      <c r="BT2" s="3116"/>
      <c r="BU2" s="3116"/>
      <c r="BV2" s="3116"/>
      <c r="BW2" s="3116"/>
      <c r="BX2" s="3116"/>
      <c r="BY2" s="3116"/>
      <c r="BZ2" s="3116"/>
      <c r="CA2" s="3116"/>
      <c r="CB2" s="3116"/>
      <c r="CC2" s="3116"/>
      <c r="CD2" s="3116"/>
      <c r="CE2" s="2976">
        <f>CE7/BR7-1</f>
        <v>-0.1313101376106941</v>
      </c>
      <c r="CF2" s="3117"/>
      <c r="CG2" s="3118"/>
      <c r="CH2" s="3118"/>
      <c r="CI2" s="3118"/>
      <c r="CJ2" s="3118"/>
      <c r="CK2" s="3118"/>
      <c r="CL2" s="3118"/>
      <c r="CM2" s="3118"/>
      <c r="CN2" s="3118"/>
      <c r="CO2" s="3118"/>
      <c r="CP2" s="3118"/>
      <c r="CQ2" s="2964"/>
    </row>
    <row r="3" spans="2:95" s="129" customFormat="1">
      <c r="E3" s="421"/>
      <c r="F3" s="421"/>
      <c r="G3" s="421"/>
      <c r="H3" s="421"/>
      <c r="I3" s="421"/>
      <c r="J3" s="421"/>
      <c r="K3" s="421"/>
      <c r="L3" s="421"/>
      <c r="M3" s="421"/>
      <c r="N3" s="421"/>
      <c r="O3" s="421"/>
      <c r="P3" s="421"/>
      <c r="Q3" s="678"/>
      <c r="R3" s="421"/>
      <c r="S3" s="711"/>
      <c r="T3" s="421"/>
      <c r="U3" s="421"/>
      <c r="V3" s="421"/>
      <c r="W3" s="421"/>
      <c r="X3" s="421"/>
      <c r="Y3" s="421"/>
      <c r="Z3" s="421"/>
      <c r="AA3" s="421"/>
      <c r="AB3" s="421"/>
      <c r="AC3" s="421"/>
      <c r="AD3" s="421"/>
      <c r="AG3" s="421"/>
      <c r="AH3" s="421"/>
      <c r="AI3" s="421"/>
      <c r="AJ3" s="421"/>
      <c r="AK3" s="421"/>
      <c r="AL3" s="421"/>
      <c r="AM3" s="421"/>
      <c r="AN3" s="421"/>
      <c r="AO3" s="421"/>
      <c r="AP3" s="421"/>
      <c r="AQ3" s="421"/>
      <c r="AR3" s="1974"/>
      <c r="AS3" s="2210"/>
      <c r="AT3" s="3112"/>
      <c r="AU3" s="3112"/>
      <c r="AV3" s="3112"/>
      <c r="AW3" s="3112"/>
      <c r="AX3" s="3112"/>
      <c r="AY3" s="3112"/>
      <c r="AZ3" s="3112"/>
      <c r="BA3" s="3112"/>
      <c r="BB3" s="3112"/>
      <c r="BC3" s="3112"/>
      <c r="BD3" s="3112"/>
      <c r="BE3" s="1974"/>
      <c r="BF3" s="2210"/>
      <c r="BG3" s="3112"/>
      <c r="BH3" s="3112"/>
      <c r="BI3" s="3112"/>
      <c r="BJ3" s="3112"/>
      <c r="BK3" s="3112"/>
      <c r="BL3" s="3112"/>
      <c r="BM3" s="3112"/>
      <c r="BN3" s="3112"/>
      <c r="BO3" s="3112"/>
      <c r="BP3" s="3112"/>
      <c r="BQ3" s="3112"/>
      <c r="BR3" s="2964" t="s">
        <v>755</v>
      </c>
      <c r="BS3" s="3113"/>
      <c r="BT3" s="3113"/>
      <c r="BU3" s="3113"/>
      <c r="BV3" s="3113"/>
      <c r="BW3" s="3113"/>
      <c r="BX3" s="3113"/>
      <c r="BY3" s="3113"/>
      <c r="BZ3" s="3113"/>
      <c r="CA3" s="3113"/>
      <c r="CB3" s="3113"/>
      <c r="CC3" s="3113"/>
      <c r="CD3" s="3113"/>
      <c r="CE3" s="2976">
        <f>CE7/BE7-1</f>
        <v>0.14276495341552287</v>
      </c>
      <c r="CF3" s="3117"/>
      <c r="CG3" s="3118"/>
      <c r="CH3" s="3118"/>
      <c r="CI3" s="3118"/>
      <c r="CJ3" s="3118"/>
      <c r="CK3" s="3118"/>
      <c r="CL3" s="3118"/>
      <c r="CM3" s="3118"/>
      <c r="CN3" s="3118"/>
      <c r="CO3" s="3118"/>
      <c r="CP3" s="3118"/>
      <c r="CQ3" s="3118"/>
    </row>
    <row r="4" spans="2:95" ht="21">
      <c r="B4" s="1632" t="s">
        <v>564</v>
      </c>
      <c r="C4" s="129"/>
      <c r="D4" s="129"/>
      <c r="E4" s="421"/>
      <c r="F4" s="1169"/>
      <c r="G4" s="1169"/>
      <c r="H4" s="1169"/>
      <c r="I4" s="1169"/>
      <c r="J4" s="1169"/>
      <c r="K4" s="130"/>
      <c r="R4" s="1632"/>
      <c r="S4" s="1169"/>
      <c r="T4" s="1169"/>
      <c r="U4" s="1169"/>
      <c r="V4" s="1169"/>
      <c r="W4" s="1169"/>
      <c r="X4" s="1169"/>
      <c r="Y4" s="129"/>
      <c r="Z4" s="129"/>
      <c r="AA4" s="129"/>
      <c r="AB4" s="129"/>
      <c r="AC4" s="129"/>
      <c r="AD4" s="129"/>
      <c r="AE4" s="1632"/>
      <c r="AF4" s="1169"/>
      <c r="AG4" s="1169"/>
      <c r="AH4" s="1169"/>
      <c r="AI4" s="1169"/>
      <c r="AJ4" s="130"/>
      <c r="AK4" s="130"/>
      <c r="AR4" s="2208" t="s">
        <v>429</v>
      </c>
      <c r="AS4" s="3119"/>
      <c r="AT4" s="3119"/>
      <c r="AU4" s="3119"/>
      <c r="AV4" s="3119"/>
      <c r="AW4" s="3119"/>
      <c r="AX4" s="3119"/>
      <c r="AY4" s="2210"/>
      <c r="AZ4" s="2210"/>
      <c r="BA4" s="2210"/>
      <c r="BB4" s="2210"/>
      <c r="BC4" s="2210"/>
      <c r="BD4" s="2210"/>
      <c r="BE4" s="2208" t="s">
        <v>429</v>
      </c>
      <c r="BF4" s="3119"/>
      <c r="BG4" s="3119"/>
      <c r="BH4" s="3120"/>
      <c r="BI4" s="3119"/>
      <c r="BJ4" s="3119"/>
      <c r="BK4" s="3121"/>
      <c r="BL4" s="1884"/>
      <c r="BM4" s="1884"/>
      <c r="BN4" s="1884"/>
      <c r="BO4" s="1884"/>
      <c r="BP4" s="1884"/>
      <c r="BQ4" s="1884"/>
      <c r="BR4" s="2208" t="s">
        <v>429</v>
      </c>
      <c r="BS4" s="3119"/>
      <c r="BT4" s="3119"/>
      <c r="BU4" s="3120"/>
      <c r="BV4" s="3119"/>
      <c r="BW4" s="3119"/>
      <c r="BX4" s="3121"/>
      <c r="BY4" s="1884"/>
      <c r="BZ4" s="1884"/>
      <c r="CA4" s="1884"/>
      <c r="CB4" s="1884"/>
      <c r="CC4" s="1884"/>
      <c r="CD4" s="1884"/>
      <c r="CE4" s="2208" t="s">
        <v>429</v>
      </c>
      <c r="CF4" s="3119"/>
      <c r="CG4" s="3119"/>
      <c r="CH4" s="3120"/>
      <c r="CI4" s="3119"/>
      <c r="CJ4" s="3119"/>
      <c r="CK4" s="3121"/>
      <c r="CL4" s="1884"/>
      <c r="CM4" s="1884"/>
      <c r="CN4" s="1884"/>
      <c r="CO4" s="1884"/>
      <c r="CP4" s="1884"/>
      <c r="CQ4" s="1884"/>
    </row>
    <row r="5" spans="2:95">
      <c r="B5" s="3325" t="s">
        <v>0</v>
      </c>
      <c r="C5" s="3325"/>
      <c r="D5" s="3366"/>
      <c r="E5" s="3365" t="s">
        <v>363</v>
      </c>
      <c r="F5" s="3310"/>
      <c r="G5" s="3310"/>
      <c r="H5" s="3310"/>
      <c r="I5" s="3310"/>
      <c r="J5" s="3310"/>
      <c r="K5" s="3310"/>
      <c r="L5" s="3310"/>
      <c r="M5" s="3310"/>
      <c r="N5" s="3310"/>
      <c r="O5" s="3310"/>
      <c r="P5" s="3310"/>
      <c r="Q5" s="3310"/>
      <c r="R5" s="3310" t="s">
        <v>377</v>
      </c>
      <c r="S5" s="3310"/>
      <c r="T5" s="3310"/>
      <c r="U5" s="3310"/>
      <c r="V5" s="3310"/>
      <c r="W5" s="3310"/>
      <c r="X5" s="3310"/>
      <c r="Y5" s="3310"/>
      <c r="Z5" s="3310"/>
      <c r="AA5" s="3310"/>
      <c r="AB5" s="3310"/>
      <c r="AC5" s="3310"/>
      <c r="AD5" s="3310"/>
      <c r="AE5" s="3310" t="s">
        <v>394</v>
      </c>
      <c r="AF5" s="3310"/>
      <c r="AG5" s="3310"/>
      <c r="AH5" s="3310"/>
      <c r="AI5" s="3310"/>
      <c r="AJ5" s="3310"/>
      <c r="AK5" s="3310"/>
      <c r="AL5" s="3310"/>
      <c r="AM5" s="3310"/>
      <c r="AN5" s="3310"/>
      <c r="AO5" s="3310"/>
      <c r="AP5" s="3310"/>
      <c r="AQ5" s="3310"/>
      <c r="AR5" s="3310" t="s">
        <v>413</v>
      </c>
      <c r="AS5" s="3310"/>
      <c r="AT5" s="3310"/>
      <c r="AU5" s="3310"/>
      <c r="AV5" s="3310"/>
      <c r="AW5" s="3310"/>
      <c r="AX5" s="3310"/>
      <c r="AY5" s="3310"/>
      <c r="AZ5" s="3310"/>
      <c r="BA5" s="3310"/>
      <c r="BB5" s="3310"/>
      <c r="BC5" s="3310"/>
      <c r="BD5" s="3310"/>
      <c r="BE5" s="3310" t="s">
        <v>468</v>
      </c>
      <c r="BF5" s="3310"/>
      <c r="BG5" s="3310"/>
      <c r="BH5" s="3310"/>
      <c r="BI5" s="3310"/>
      <c r="BJ5" s="3310"/>
      <c r="BK5" s="3310"/>
      <c r="BL5" s="3310"/>
      <c r="BM5" s="3310"/>
      <c r="BN5" s="3310"/>
      <c r="BO5" s="3310"/>
      <c r="BP5" s="3310"/>
      <c r="BQ5" s="3362"/>
      <c r="BR5" s="3310" t="s">
        <v>849</v>
      </c>
      <c r="BS5" s="3310"/>
      <c r="BT5" s="3310"/>
      <c r="BU5" s="3310"/>
      <c r="BV5" s="3310"/>
      <c r="BW5" s="3310"/>
      <c r="BX5" s="3310"/>
      <c r="BY5" s="3310"/>
      <c r="BZ5" s="3310"/>
      <c r="CA5" s="3310"/>
      <c r="CB5" s="3310"/>
      <c r="CC5" s="3310"/>
      <c r="CD5" s="3310"/>
      <c r="CE5" s="3258" t="s">
        <v>699</v>
      </c>
      <c r="CF5" s="3259"/>
      <c r="CG5" s="3259"/>
      <c r="CH5" s="3259"/>
      <c r="CI5" s="3259"/>
      <c r="CJ5" s="3259"/>
      <c r="CK5" s="3259"/>
      <c r="CL5" s="3259"/>
      <c r="CM5" s="3259"/>
      <c r="CN5" s="3259"/>
      <c r="CO5" s="3259"/>
      <c r="CP5" s="3259"/>
      <c r="CQ5" s="3259"/>
    </row>
    <row r="6" spans="2:95">
      <c r="B6" s="3367"/>
      <c r="C6" s="3367"/>
      <c r="D6" s="3368"/>
      <c r="E6" s="424" t="s">
        <v>1</v>
      </c>
      <c r="F6" s="20" t="s">
        <v>2</v>
      </c>
      <c r="G6" s="21" t="s">
        <v>3</v>
      </c>
      <c r="H6" s="21" t="s">
        <v>4</v>
      </c>
      <c r="I6" s="21" t="s">
        <v>5</v>
      </c>
      <c r="J6" s="21" t="s">
        <v>6</v>
      </c>
      <c r="K6" s="21" t="s">
        <v>7</v>
      </c>
      <c r="L6" s="21" t="s">
        <v>8</v>
      </c>
      <c r="M6" s="21" t="s">
        <v>9</v>
      </c>
      <c r="N6" s="21" t="s">
        <v>10</v>
      </c>
      <c r="O6" s="21" t="s">
        <v>11</v>
      </c>
      <c r="P6" s="21" t="s">
        <v>12</v>
      </c>
      <c r="Q6" s="87" t="s">
        <v>13</v>
      </c>
      <c r="R6" s="424" t="s">
        <v>1</v>
      </c>
      <c r="S6" s="20" t="s">
        <v>2</v>
      </c>
      <c r="T6" s="21" t="s">
        <v>3</v>
      </c>
      <c r="U6" s="21" t="s">
        <v>4</v>
      </c>
      <c r="V6" s="21" t="s">
        <v>5</v>
      </c>
      <c r="W6" s="21" t="s">
        <v>6</v>
      </c>
      <c r="X6" s="21" t="s">
        <v>7</v>
      </c>
      <c r="Y6" s="21" t="s">
        <v>8</v>
      </c>
      <c r="Z6" s="21" t="s">
        <v>9</v>
      </c>
      <c r="AA6" s="21" t="s">
        <v>10</v>
      </c>
      <c r="AB6" s="21" t="s">
        <v>11</v>
      </c>
      <c r="AC6" s="21" t="s">
        <v>12</v>
      </c>
      <c r="AD6" s="87" t="s">
        <v>13</v>
      </c>
      <c r="AE6" s="424" t="s">
        <v>1</v>
      </c>
      <c r="AF6" s="20" t="s">
        <v>2</v>
      </c>
      <c r="AG6" s="21" t="s">
        <v>3</v>
      </c>
      <c r="AH6" s="21" t="s">
        <v>4</v>
      </c>
      <c r="AI6" s="21" t="s">
        <v>5</v>
      </c>
      <c r="AJ6" s="21" t="s">
        <v>6</v>
      </c>
      <c r="AK6" s="21" t="s">
        <v>7</v>
      </c>
      <c r="AL6" s="21" t="s">
        <v>8</v>
      </c>
      <c r="AM6" s="21" t="s">
        <v>9</v>
      </c>
      <c r="AN6" s="21" t="s">
        <v>10</v>
      </c>
      <c r="AO6" s="21" t="s">
        <v>11</v>
      </c>
      <c r="AP6" s="21" t="s">
        <v>12</v>
      </c>
      <c r="AQ6" s="87" t="s">
        <v>13</v>
      </c>
      <c r="AR6" s="424" t="s">
        <v>1</v>
      </c>
      <c r="AS6" s="20" t="s">
        <v>2</v>
      </c>
      <c r="AT6" s="21" t="s">
        <v>3</v>
      </c>
      <c r="AU6" s="21" t="s">
        <v>4</v>
      </c>
      <c r="AV6" s="21" t="s">
        <v>5</v>
      </c>
      <c r="AW6" s="21" t="s">
        <v>6</v>
      </c>
      <c r="AX6" s="21" t="s">
        <v>7</v>
      </c>
      <c r="AY6" s="21" t="s">
        <v>8</v>
      </c>
      <c r="AZ6" s="21" t="s">
        <v>9</v>
      </c>
      <c r="BA6" s="21" t="s">
        <v>10</v>
      </c>
      <c r="BB6" s="21" t="s">
        <v>11</v>
      </c>
      <c r="BC6" s="21" t="s">
        <v>12</v>
      </c>
      <c r="BD6" s="87" t="s">
        <v>13</v>
      </c>
      <c r="BE6" s="424" t="s">
        <v>1</v>
      </c>
      <c r="BF6" s="20" t="s">
        <v>2</v>
      </c>
      <c r="BG6" s="21" t="s">
        <v>3</v>
      </c>
      <c r="BH6" s="21" t="s">
        <v>4</v>
      </c>
      <c r="BI6" s="21" t="s">
        <v>5</v>
      </c>
      <c r="BJ6" s="21" t="s">
        <v>6</v>
      </c>
      <c r="BK6" s="21" t="s">
        <v>7</v>
      </c>
      <c r="BL6" s="21" t="s">
        <v>8</v>
      </c>
      <c r="BM6" s="21" t="s">
        <v>9</v>
      </c>
      <c r="BN6" s="21" t="s">
        <v>10</v>
      </c>
      <c r="BO6" s="21" t="s">
        <v>11</v>
      </c>
      <c r="BP6" s="21" t="s">
        <v>12</v>
      </c>
      <c r="BQ6" s="864" t="s">
        <v>13</v>
      </c>
      <c r="BR6" s="424" t="s">
        <v>1</v>
      </c>
      <c r="BS6" s="20" t="s">
        <v>2</v>
      </c>
      <c r="BT6" s="21" t="s">
        <v>3</v>
      </c>
      <c r="BU6" s="21" t="s">
        <v>4</v>
      </c>
      <c r="BV6" s="21" t="s">
        <v>5</v>
      </c>
      <c r="BW6" s="21" t="s">
        <v>6</v>
      </c>
      <c r="BX6" s="21" t="s">
        <v>7</v>
      </c>
      <c r="BY6" s="21" t="s">
        <v>847</v>
      </c>
      <c r="BZ6" s="21" t="s">
        <v>848</v>
      </c>
      <c r="CA6" s="21" t="s">
        <v>506</v>
      </c>
      <c r="CB6" s="21" t="s">
        <v>505</v>
      </c>
      <c r="CC6" s="21" t="s">
        <v>441</v>
      </c>
      <c r="CD6" s="87" t="s">
        <v>442</v>
      </c>
      <c r="CE6" s="2540" t="s">
        <v>1</v>
      </c>
      <c r="CF6" s="2541" t="s">
        <v>711</v>
      </c>
      <c r="CG6" s="2542" t="s">
        <v>709</v>
      </c>
      <c r="CH6" s="2542" t="s">
        <v>707</v>
      </c>
      <c r="CI6" s="2542" t="s">
        <v>705</v>
      </c>
      <c r="CJ6" s="2542" t="s">
        <v>703</v>
      </c>
      <c r="CK6" s="2542" t="s">
        <v>701</v>
      </c>
      <c r="CL6" s="2542" t="s">
        <v>688</v>
      </c>
      <c r="CM6" s="2542" t="s">
        <v>690</v>
      </c>
      <c r="CN6" s="2542" t="s">
        <v>692</v>
      </c>
      <c r="CO6" s="2542" t="s">
        <v>694</v>
      </c>
      <c r="CP6" s="2542" t="s">
        <v>696</v>
      </c>
      <c r="CQ6" s="2543" t="s">
        <v>698</v>
      </c>
    </row>
    <row r="7" spans="2:95">
      <c r="B7" s="3369" t="s">
        <v>353</v>
      </c>
      <c r="C7" s="3370"/>
      <c r="D7" s="104" t="s">
        <v>14</v>
      </c>
      <c r="E7" s="118">
        <f>SUM(F7:Q7)</f>
        <v>150801</v>
      </c>
      <c r="F7" s="9">
        <f>SUM(F8:F20)</f>
        <v>14367</v>
      </c>
      <c r="G7" s="10">
        <f t="shared" ref="G7:H7" si="0">SUM(G8:G20)</f>
        <v>13887</v>
      </c>
      <c r="H7" s="10">
        <f t="shared" si="0"/>
        <v>13989</v>
      </c>
      <c r="I7" s="10">
        <f>SUM(I8:I20)</f>
        <v>12132</v>
      </c>
      <c r="J7" s="10">
        <f t="shared" ref="J7:O7" si="1">SUM(J8:J20)</f>
        <v>12726</v>
      </c>
      <c r="K7" s="10">
        <f t="shared" si="1"/>
        <v>14235</v>
      </c>
      <c r="L7" s="10">
        <v>13036</v>
      </c>
      <c r="M7" s="10">
        <v>12716</v>
      </c>
      <c r="N7" s="10">
        <f t="shared" si="1"/>
        <v>12792</v>
      </c>
      <c r="O7" s="10">
        <f t="shared" si="1"/>
        <v>11454</v>
      </c>
      <c r="P7" s="10">
        <f t="shared" ref="P7:Q7" si="2">SUM(P8:P20)</f>
        <v>8425</v>
      </c>
      <c r="Q7" s="10">
        <f t="shared" si="2"/>
        <v>11042</v>
      </c>
      <c r="R7" s="118">
        <f>SUM(S7:AD7)</f>
        <v>171023.4</v>
      </c>
      <c r="S7" s="9">
        <f t="shared" ref="S7:Y7" si="3">SUM(S8:S20)</f>
        <v>13608</v>
      </c>
      <c r="T7" s="9">
        <f t="shared" si="3"/>
        <v>12789</v>
      </c>
      <c r="U7" s="9">
        <f t="shared" si="3"/>
        <v>14935</v>
      </c>
      <c r="V7" s="9">
        <f t="shared" si="3"/>
        <v>14121</v>
      </c>
      <c r="W7" s="9">
        <f t="shared" si="3"/>
        <v>14801</v>
      </c>
      <c r="X7" s="9">
        <f t="shared" si="3"/>
        <v>15365</v>
      </c>
      <c r="Y7" s="9">
        <f t="shared" si="3"/>
        <v>13959.4</v>
      </c>
      <c r="Z7" s="9">
        <f t="shared" ref="Z7:AD7" si="4">SUM(Z8:Z20)</f>
        <v>14770</v>
      </c>
      <c r="AA7" s="9">
        <f t="shared" si="4"/>
        <v>12883</v>
      </c>
      <c r="AB7" s="9">
        <f t="shared" si="4"/>
        <v>14379</v>
      </c>
      <c r="AC7" s="9">
        <f t="shared" si="4"/>
        <v>14557</v>
      </c>
      <c r="AD7" s="9">
        <f t="shared" si="4"/>
        <v>14856</v>
      </c>
      <c r="AE7" s="118">
        <f>SUM(AF7:AQ7)</f>
        <v>184240</v>
      </c>
      <c r="AF7" s="9">
        <f t="shared" ref="AF7:AG7" si="5">SUM(AF8:AF20)</f>
        <v>14163</v>
      </c>
      <c r="AG7" s="9">
        <f t="shared" si="5"/>
        <v>14124</v>
      </c>
      <c r="AH7" s="9">
        <f t="shared" ref="AH7:AQ7" si="6">SUM(AH8:AH20)</f>
        <v>14848</v>
      </c>
      <c r="AI7" s="9">
        <f t="shared" si="6"/>
        <v>16406</v>
      </c>
      <c r="AJ7" s="9">
        <f t="shared" si="6"/>
        <v>17203</v>
      </c>
      <c r="AK7" s="9">
        <f t="shared" si="6"/>
        <v>17267</v>
      </c>
      <c r="AL7" s="9">
        <f t="shared" si="6"/>
        <v>15394</v>
      </c>
      <c r="AM7" s="9">
        <f t="shared" si="6"/>
        <v>16970</v>
      </c>
      <c r="AN7" s="9">
        <f t="shared" si="6"/>
        <v>13746</v>
      </c>
      <c r="AO7" s="9">
        <f t="shared" si="6"/>
        <v>16210</v>
      </c>
      <c r="AP7" s="9">
        <f t="shared" si="6"/>
        <v>14780</v>
      </c>
      <c r="AQ7" s="9">
        <f t="shared" si="6"/>
        <v>13129</v>
      </c>
      <c r="AR7" s="118">
        <f>SUM(AS7:BD7)</f>
        <v>183970</v>
      </c>
      <c r="AS7" s="9">
        <f t="shared" ref="AS7:BD7" si="7">SUM(AS8:AS20)</f>
        <v>14977</v>
      </c>
      <c r="AT7" s="9">
        <f t="shared" si="7"/>
        <v>17190</v>
      </c>
      <c r="AU7" s="9">
        <f t="shared" si="7"/>
        <v>16356</v>
      </c>
      <c r="AV7" s="9">
        <f t="shared" si="7"/>
        <v>15493</v>
      </c>
      <c r="AW7" s="9">
        <f t="shared" si="7"/>
        <v>16547</v>
      </c>
      <c r="AX7" s="9">
        <f t="shared" si="7"/>
        <v>15722</v>
      </c>
      <c r="AY7" s="9">
        <f t="shared" si="7"/>
        <v>13751</v>
      </c>
      <c r="AZ7" s="9">
        <f t="shared" si="7"/>
        <v>18127</v>
      </c>
      <c r="BA7" s="9">
        <f t="shared" si="7"/>
        <v>12979</v>
      </c>
      <c r="BB7" s="9">
        <f t="shared" si="7"/>
        <v>16315</v>
      </c>
      <c r="BC7" s="9">
        <f t="shared" si="7"/>
        <v>14666</v>
      </c>
      <c r="BD7" s="9">
        <f t="shared" si="7"/>
        <v>11847</v>
      </c>
      <c r="BE7" s="118">
        <f>SUM(BF7:BQ7)</f>
        <v>148762</v>
      </c>
      <c r="BF7" s="9">
        <f t="shared" ref="BF7:BQ7" si="8">SUM(BF8:BF20)</f>
        <v>16641</v>
      </c>
      <c r="BG7" s="9">
        <f t="shared" si="8"/>
        <v>12975</v>
      </c>
      <c r="BH7" s="9">
        <f t="shared" si="8"/>
        <v>13375</v>
      </c>
      <c r="BI7" s="9">
        <f t="shared" si="8"/>
        <v>13284</v>
      </c>
      <c r="BJ7" s="9">
        <f t="shared" si="8"/>
        <v>14141</v>
      </c>
      <c r="BK7" s="9">
        <f t="shared" si="8"/>
        <v>12399</v>
      </c>
      <c r="BL7" s="9">
        <f t="shared" si="8"/>
        <v>15415</v>
      </c>
      <c r="BM7" s="9">
        <f t="shared" si="8"/>
        <v>8055</v>
      </c>
      <c r="BN7" s="9">
        <f t="shared" si="8"/>
        <v>8140</v>
      </c>
      <c r="BO7" s="9">
        <f t="shared" si="8"/>
        <v>8481</v>
      </c>
      <c r="BP7" s="9">
        <f t="shared" si="8"/>
        <v>13542</v>
      </c>
      <c r="BQ7" s="1163">
        <f t="shared" si="8"/>
        <v>12314</v>
      </c>
      <c r="BR7" s="118">
        <f>SUM(BS7:CD7)</f>
        <v>195697</v>
      </c>
      <c r="BS7" s="9">
        <f t="shared" ref="BS7:CD7" si="9">SUM(BS8:BS20)</f>
        <v>11204</v>
      </c>
      <c r="BT7" s="9">
        <f t="shared" si="9"/>
        <v>18387</v>
      </c>
      <c r="BU7" s="9">
        <f t="shared" si="9"/>
        <v>8872</v>
      </c>
      <c r="BV7" s="9">
        <f t="shared" si="9"/>
        <v>16227</v>
      </c>
      <c r="BW7" s="9">
        <f t="shared" si="9"/>
        <v>23980</v>
      </c>
      <c r="BX7" s="9">
        <f t="shared" si="9"/>
        <v>18232</v>
      </c>
      <c r="BY7" s="9">
        <f t="shared" si="9"/>
        <v>21233</v>
      </c>
      <c r="BZ7" s="9">
        <f t="shared" si="9"/>
        <v>18693</v>
      </c>
      <c r="CA7" s="9">
        <f t="shared" si="9"/>
        <v>18094</v>
      </c>
      <c r="CB7" s="9">
        <f t="shared" si="9"/>
        <v>14034</v>
      </c>
      <c r="CC7" s="9">
        <f t="shared" si="9"/>
        <v>13517</v>
      </c>
      <c r="CD7" s="268">
        <f t="shared" si="9"/>
        <v>13224</v>
      </c>
      <c r="CE7" s="118">
        <f>SUM(CF7:CQ7)</f>
        <v>170000</v>
      </c>
      <c r="CF7" s="9">
        <f t="shared" ref="CF7:CQ7" si="10">SUM(CF8:CF20)</f>
        <v>11900.000000000002</v>
      </c>
      <c r="CG7" s="9">
        <f t="shared" si="10"/>
        <v>16174.767530310322</v>
      </c>
      <c r="CH7" s="9">
        <f t="shared" si="10"/>
        <v>11900.000000000002</v>
      </c>
      <c r="CI7" s="9">
        <f t="shared" si="10"/>
        <v>14274.647996646849</v>
      </c>
      <c r="CJ7" s="9">
        <f t="shared" si="10"/>
        <v>16150</v>
      </c>
      <c r="CK7" s="9">
        <f t="shared" si="10"/>
        <v>15126.640483102276</v>
      </c>
      <c r="CL7" s="9">
        <f t="shared" si="10"/>
        <v>16150</v>
      </c>
      <c r="CM7" s="9">
        <f t="shared" si="10"/>
        <v>14274.647996646849</v>
      </c>
      <c r="CN7" s="9">
        <f t="shared" si="10"/>
        <v>13600.000000000002</v>
      </c>
      <c r="CO7" s="9">
        <f t="shared" si="10"/>
        <v>14274.647996646849</v>
      </c>
      <c r="CP7" s="9">
        <f t="shared" si="10"/>
        <v>14274.647996646849</v>
      </c>
      <c r="CQ7" s="268">
        <f t="shared" si="10"/>
        <v>11900.000000000002</v>
      </c>
    </row>
    <row r="8" spans="2:95">
      <c r="B8" s="3369"/>
      <c r="C8" s="3370"/>
      <c r="D8" s="101" t="s">
        <v>15</v>
      </c>
      <c r="E8" s="23">
        <f t="shared" ref="E8:E15" si="11">SUM(F8:Q8)</f>
        <v>59051</v>
      </c>
      <c r="F8" s="314">
        <v>6558</v>
      </c>
      <c r="G8" s="314">
        <v>5724</v>
      </c>
      <c r="H8" s="314">
        <v>5297</v>
      </c>
      <c r="I8" s="314">
        <v>4436</v>
      </c>
      <c r="J8" s="314">
        <v>5442</v>
      </c>
      <c r="K8" s="314">
        <v>5460</v>
      </c>
      <c r="L8" s="314">
        <v>4930</v>
      </c>
      <c r="M8" s="314">
        <v>5334</v>
      </c>
      <c r="N8" s="314">
        <v>4872</v>
      </c>
      <c r="O8" s="314">
        <v>4302</v>
      </c>
      <c r="P8" s="314">
        <v>2741</v>
      </c>
      <c r="Q8" s="314">
        <v>3955</v>
      </c>
      <c r="R8" s="23">
        <f>SUM(S8:AD8)</f>
        <v>71715.199999999997</v>
      </c>
      <c r="S8" s="314">
        <v>5957</v>
      </c>
      <c r="T8" s="314">
        <v>5551</v>
      </c>
      <c r="U8" s="314">
        <v>6538</v>
      </c>
      <c r="V8" s="314">
        <v>5648</v>
      </c>
      <c r="W8" s="314">
        <v>5657</v>
      </c>
      <c r="X8" s="314">
        <v>6507</v>
      </c>
      <c r="Y8" s="314">
        <v>5313.2</v>
      </c>
      <c r="Z8" s="314">
        <v>6659</v>
      </c>
      <c r="AA8" s="314">
        <v>5501</v>
      </c>
      <c r="AB8" s="314">
        <v>6133</v>
      </c>
      <c r="AC8" s="314">
        <v>5562</v>
      </c>
      <c r="AD8" s="314">
        <v>6689</v>
      </c>
      <c r="AE8" s="23">
        <f>SUM(AF8:AQ8)</f>
        <v>81570</v>
      </c>
      <c r="AF8" s="314">
        <v>6320</v>
      </c>
      <c r="AG8" s="314">
        <v>6848</v>
      </c>
      <c r="AH8" s="314">
        <v>6742</v>
      </c>
      <c r="AI8" s="314">
        <v>8113</v>
      </c>
      <c r="AJ8" s="314">
        <v>8893</v>
      </c>
      <c r="AK8" s="314">
        <v>8416</v>
      </c>
      <c r="AL8" s="314">
        <v>7040</v>
      </c>
      <c r="AM8" s="314">
        <v>7859</v>
      </c>
      <c r="AN8" s="314">
        <v>5404</v>
      </c>
      <c r="AO8" s="314">
        <v>6062</v>
      </c>
      <c r="AP8" s="314">
        <v>5255</v>
      </c>
      <c r="AQ8" s="314">
        <v>4618</v>
      </c>
      <c r="AR8" s="23">
        <f>SUM(AS8:BD8)</f>
        <v>66497</v>
      </c>
      <c r="AS8" s="314">
        <v>5170</v>
      </c>
      <c r="AT8" s="314">
        <v>6553</v>
      </c>
      <c r="AU8" s="314">
        <v>5908</v>
      </c>
      <c r="AV8" s="314">
        <v>5071</v>
      </c>
      <c r="AW8" s="314">
        <v>5930</v>
      </c>
      <c r="AX8" s="314">
        <v>5388</v>
      </c>
      <c r="AY8" s="314">
        <v>5122</v>
      </c>
      <c r="AZ8" s="314">
        <v>6801</v>
      </c>
      <c r="BA8" s="314">
        <v>5054</v>
      </c>
      <c r="BB8" s="314">
        <v>6222</v>
      </c>
      <c r="BC8" s="314">
        <v>5264</v>
      </c>
      <c r="BD8" s="314">
        <v>4014</v>
      </c>
      <c r="BE8" s="23">
        <f>SUM(BF8:BQ8)</f>
        <v>62279</v>
      </c>
      <c r="BF8" s="314">
        <v>6033</v>
      </c>
      <c r="BG8" s="314">
        <v>4745</v>
      </c>
      <c r="BH8" s="314">
        <v>5577</v>
      </c>
      <c r="BI8" s="314">
        <v>5389</v>
      </c>
      <c r="BJ8" s="314">
        <v>5755</v>
      </c>
      <c r="BK8" s="314">
        <v>5297</v>
      </c>
      <c r="BL8" s="314">
        <v>6297</v>
      </c>
      <c r="BM8" s="314">
        <v>3396</v>
      </c>
      <c r="BN8" s="314">
        <v>3423</v>
      </c>
      <c r="BO8" s="314">
        <v>3898</v>
      </c>
      <c r="BP8" s="314">
        <v>6558</v>
      </c>
      <c r="BQ8" s="1936">
        <v>5911</v>
      </c>
      <c r="BR8" s="23">
        <f>SUM(BS8:CD8)</f>
        <v>84027</v>
      </c>
      <c r="BS8" s="314">
        <v>5569</v>
      </c>
      <c r="BT8" s="314">
        <v>7758</v>
      </c>
      <c r="BU8" s="314">
        <v>3884</v>
      </c>
      <c r="BV8" s="314">
        <v>6739</v>
      </c>
      <c r="BW8" s="314">
        <v>10648</v>
      </c>
      <c r="BX8" s="314">
        <v>8587</v>
      </c>
      <c r="BY8" s="314">
        <v>8014.0000000000009</v>
      </c>
      <c r="BZ8" s="314">
        <v>8983</v>
      </c>
      <c r="CA8" s="314">
        <v>6181</v>
      </c>
      <c r="CB8" s="314">
        <v>5974</v>
      </c>
      <c r="CC8" s="314">
        <v>5855</v>
      </c>
      <c r="CD8" s="396">
        <v>5835</v>
      </c>
      <c r="CE8" s="23">
        <f>SUM(CF8:CQ8)</f>
        <v>75780.461679370346</v>
      </c>
      <c r="CF8" s="3">
        <v>5304.6323175559255</v>
      </c>
      <c r="CG8" s="3">
        <v>7210.1844176670902</v>
      </c>
      <c r="CH8" s="3">
        <v>5304.6323175559255</v>
      </c>
      <c r="CI8" s="3">
        <v>6363.1730323317488</v>
      </c>
      <c r="CJ8" s="3">
        <v>7199.1438595401842</v>
      </c>
      <c r="CK8" s="3">
        <v>6742.963526278495</v>
      </c>
      <c r="CL8" s="3">
        <v>7199.1438595401842</v>
      </c>
      <c r="CM8" s="3">
        <v>6363.1730323317488</v>
      </c>
      <c r="CN8" s="3">
        <v>6062.4369343496292</v>
      </c>
      <c r="CO8" s="3">
        <v>6363.1730323317488</v>
      </c>
      <c r="CP8" s="3">
        <v>6363.1730323317488</v>
      </c>
      <c r="CQ8" s="25">
        <v>5304.6323175559255</v>
      </c>
    </row>
    <row r="9" spans="2:95">
      <c r="B9" s="3369"/>
      <c r="C9" s="3370"/>
      <c r="D9" s="101" t="s">
        <v>16</v>
      </c>
      <c r="E9" s="23">
        <f t="shared" si="11"/>
        <v>76196</v>
      </c>
      <c r="F9" s="314">
        <v>5684</v>
      </c>
      <c r="G9" s="314">
        <v>5712</v>
      </c>
      <c r="H9" s="314">
        <v>6391</v>
      </c>
      <c r="I9" s="314">
        <v>6821</v>
      </c>
      <c r="J9" s="314">
        <v>6754</v>
      </c>
      <c r="K9" s="314">
        <v>7568</v>
      </c>
      <c r="L9" s="314">
        <v>6840</v>
      </c>
      <c r="M9" s="314">
        <v>6555</v>
      </c>
      <c r="N9" s="314">
        <v>6753</v>
      </c>
      <c r="O9" s="314">
        <v>6162</v>
      </c>
      <c r="P9" s="314">
        <v>4883</v>
      </c>
      <c r="Q9" s="314">
        <v>6073</v>
      </c>
      <c r="R9" s="23">
        <f>SUM(S9:AD9)</f>
        <v>86360.2</v>
      </c>
      <c r="S9" s="314">
        <v>6622</v>
      </c>
      <c r="T9" s="314">
        <v>6289</v>
      </c>
      <c r="U9" s="314">
        <v>7339</v>
      </c>
      <c r="V9" s="314">
        <v>7430</v>
      </c>
      <c r="W9" s="314">
        <v>7918</v>
      </c>
      <c r="X9" s="314">
        <v>7646</v>
      </c>
      <c r="Y9" s="314">
        <v>7497.2</v>
      </c>
      <c r="Z9" s="314">
        <v>7166</v>
      </c>
      <c r="AA9" s="314">
        <v>6396</v>
      </c>
      <c r="AB9" s="314">
        <v>7185</v>
      </c>
      <c r="AC9" s="314">
        <v>7721</v>
      </c>
      <c r="AD9" s="314">
        <v>7151</v>
      </c>
      <c r="AE9" s="23">
        <f>SUM(AF9:AQ9)</f>
        <v>92657</v>
      </c>
      <c r="AF9" s="314">
        <v>6969</v>
      </c>
      <c r="AG9" s="314">
        <v>6494</v>
      </c>
      <c r="AH9" s="314">
        <v>7011</v>
      </c>
      <c r="AI9" s="314">
        <v>7430</v>
      </c>
      <c r="AJ9" s="314">
        <v>7510</v>
      </c>
      <c r="AK9" s="314">
        <v>8107</v>
      </c>
      <c r="AL9" s="314">
        <v>7688</v>
      </c>
      <c r="AM9" s="314">
        <v>8306</v>
      </c>
      <c r="AN9" s="314">
        <v>7309</v>
      </c>
      <c r="AO9" s="314">
        <v>9031</v>
      </c>
      <c r="AP9" s="314">
        <v>8739</v>
      </c>
      <c r="AQ9" s="314">
        <v>8063</v>
      </c>
      <c r="AR9" s="23">
        <f t="shared" ref="AR9:AR15" si="12">SUM(AS9:BD9)</f>
        <v>108022</v>
      </c>
      <c r="AS9" s="314">
        <v>9162</v>
      </c>
      <c r="AT9" s="314">
        <v>9827</v>
      </c>
      <c r="AU9" s="314">
        <v>9820</v>
      </c>
      <c r="AV9" s="314">
        <v>9902</v>
      </c>
      <c r="AW9" s="314">
        <v>10095</v>
      </c>
      <c r="AX9" s="314">
        <v>9646</v>
      </c>
      <c r="AY9" s="314">
        <v>7980</v>
      </c>
      <c r="AZ9" s="314">
        <v>10546</v>
      </c>
      <c r="BA9" s="314">
        <v>7177</v>
      </c>
      <c r="BB9" s="314">
        <v>8412</v>
      </c>
      <c r="BC9" s="314">
        <v>8157</v>
      </c>
      <c r="BD9" s="314">
        <v>7298</v>
      </c>
      <c r="BE9" s="23">
        <f t="shared" ref="BE9:BE20" si="13">SUM(BF9:BQ9)</f>
        <v>81673</v>
      </c>
      <c r="BF9" s="314">
        <v>9967</v>
      </c>
      <c r="BG9" s="314">
        <v>7849</v>
      </c>
      <c r="BH9" s="314">
        <v>7336</v>
      </c>
      <c r="BI9" s="314">
        <v>7350</v>
      </c>
      <c r="BJ9" s="314">
        <v>7741</v>
      </c>
      <c r="BK9" s="314">
        <v>6672</v>
      </c>
      <c r="BL9" s="314">
        <v>8596</v>
      </c>
      <c r="BM9" s="314">
        <v>4551</v>
      </c>
      <c r="BN9" s="314">
        <v>4654</v>
      </c>
      <c r="BO9" s="314">
        <v>4530</v>
      </c>
      <c r="BP9" s="314">
        <v>6527</v>
      </c>
      <c r="BQ9" s="1936">
        <v>5900</v>
      </c>
      <c r="BR9" s="23">
        <f t="shared" ref="BR9:BR20" si="14">SUM(BS9:CD9)</f>
        <v>78621</v>
      </c>
      <c r="BS9" s="314">
        <v>4201</v>
      </c>
      <c r="BT9" s="314">
        <v>8834</v>
      </c>
      <c r="BU9" s="314">
        <v>3745</v>
      </c>
      <c r="BV9" s="314">
        <v>6920</v>
      </c>
      <c r="BW9" s="314">
        <v>10007</v>
      </c>
      <c r="BX9" s="314">
        <v>6188</v>
      </c>
      <c r="BY9" s="314">
        <v>8830</v>
      </c>
      <c r="BZ9" s="314">
        <v>8334</v>
      </c>
      <c r="CA9" s="314">
        <v>6834.9999999999991</v>
      </c>
      <c r="CB9" s="314">
        <v>5081</v>
      </c>
      <c r="CC9" s="314">
        <v>4894</v>
      </c>
      <c r="CD9" s="396">
        <v>4752</v>
      </c>
      <c r="CE9" s="23">
        <f t="shared" ref="CE9:CE10" si="15">SUM(CF9:CQ9)</f>
        <v>67939.829548100664</v>
      </c>
      <c r="CF9" s="3">
        <v>4755.7880683670473</v>
      </c>
      <c r="CG9" s="3">
        <v>6464.1820528790377</v>
      </c>
      <c r="CH9" s="3">
        <v>4755.7880683670473</v>
      </c>
      <c r="CI9" s="3">
        <v>5704.8067750077853</v>
      </c>
      <c r="CJ9" s="3">
        <v>6454.2838070695634</v>
      </c>
      <c r="CK9" s="3">
        <v>6045.3022121021622</v>
      </c>
      <c r="CL9" s="3">
        <v>6454.2838070695634</v>
      </c>
      <c r="CM9" s="3">
        <v>5704.8067750077853</v>
      </c>
      <c r="CN9" s="3">
        <v>5435.1863638480536</v>
      </c>
      <c r="CO9" s="3">
        <v>5704.8067750077853</v>
      </c>
      <c r="CP9" s="3">
        <v>5704.8067750077853</v>
      </c>
      <c r="CQ9" s="25">
        <v>4755.7880683670473</v>
      </c>
    </row>
    <row r="10" spans="2:95">
      <c r="B10" s="3369"/>
      <c r="C10" s="3370"/>
      <c r="D10" s="101" t="s">
        <v>575</v>
      </c>
      <c r="E10" s="23"/>
      <c r="F10" s="314"/>
      <c r="G10" s="314"/>
      <c r="H10" s="314"/>
      <c r="I10" s="314"/>
      <c r="J10" s="314"/>
      <c r="K10" s="314"/>
      <c r="L10" s="314"/>
      <c r="M10" s="314"/>
      <c r="N10" s="314"/>
      <c r="O10" s="314"/>
      <c r="P10" s="314"/>
      <c r="Q10" s="314"/>
      <c r="R10" s="23"/>
      <c r="S10" s="314"/>
      <c r="T10" s="314"/>
      <c r="U10" s="314"/>
      <c r="V10" s="314"/>
      <c r="W10" s="314"/>
      <c r="X10" s="314"/>
      <c r="Y10" s="314"/>
      <c r="Z10" s="314"/>
      <c r="AA10" s="314"/>
      <c r="AB10" s="314"/>
      <c r="AC10" s="314"/>
      <c r="AD10" s="314"/>
      <c r="AE10" s="23"/>
      <c r="AF10" s="314"/>
      <c r="AG10" s="314"/>
      <c r="AH10" s="314"/>
      <c r="AI10" s="314"/>
      <c r="AJ10" s="314"/>
      <c r="AK10" s="314"/>
      <c r="AL10" s="314"/>
      <c r="AM10" s="314"/>
      <c r="AN10" s="314"/>
      <c r="AO10" s="314"/>
      <c r="AP10" s="314"/>
      <c r="AQ10" s="314"/>
      <c r="AR10" s="23"/>
      <c r="AS10" s="314"/>
      <c r="AT10" s="314"/>
      <c r="AU10" s="314"/>
      <c r="AV10" s="314"/>
      <c r="AW10" s="314"/>
      <c r="AX10" s="314"/>
      <c r="AY10" s="314"/>
      <c r="AZ10" s="314"/>
      <c r="BA10" s="314"/>
      <c r="BB10" s="314"/>
      <c r="BC10" s="314"/>
      <c r="BD10" s="314"/>
      <c r="BE10" s="23"/>
      <c r="BF10" s="314"/>
      <c r="BG10" s="314"/>
      <c r="BH10" s="314"/>
      <c r="BI10" s="314"/>
      <c r="BJ10" s="314"/>
      <c r="BK10" s="314"/>
      <c r="BL10" s="314"/>
      <c r="BM10" s="314"/>
      <c r="BN10" s="314"/>
      <c r="BO10" s="314"/>
      <c r="BP10" s="314"/>
      <c r="BQ10" s="1936"/>
      <c r="BR10" s="23">
        <f t="shared" si="14"/>
        <v>29943</v>
      </c>
      <c r="BS10" s="314">
        <v>1245</v>
      </c>
      <c r="BT10" s="314">
        <v>1761</v>
      </c>
      <c r="BU10" s="314">
        <v>1119</v>
      </c>
      <c r="BV10" s="314">
        <v>2382</v>
      </c>
      <c r="BW10" s="314">
        <v>2801</v>
      </c>
      <c r="BX10" s="314">
        <v>3141</v>
      </c>
      <c r="BY10" s="314">
        <v>3871.0000000000005</v>
      </c>
      <c r="BZ10" s="314">
        <v>1176</v>
      </c>
      <c r="CA10" s="314">
        <v>4801</v>
      </c>
      <c r="CB10" s="314">
        <v>2789</v>
      </c>
      <c r="CC10" s="314">
        <v>2498</v>
      </c>
      <c r="CD10" s="396">
        <v>2359</v>
      </c>
      <c r="CE10" s="23">
        <f t="shared" si="15"/>
        <v>23858.815737046636</v>
      </c>
      <c r="CF10" s="3">
        <v>1670.117101593265</v>
      </c>
      <c r="CG10" s="3">
        <v>2270.0635182072879</v>
      </c>
      <c r="CH10" s="3">
        <v>1670.117101593265</v>
      </c>
      <c r="CI10" s="3">
        <v>2003.3893897835242</v>
      </c>
      <c r="CJ10" s="3">
        <v>2266.5874950194307</v>
      </c>
      <c r="CK10" s="3">
        <v>2122.9631059228664</v>
      </c>
      <c r="CL10" s="3">
        <v>2266.5874950194307</v>
      </c>
      <c r="CM10" s="3">
        <v>2003.3893897835242</v>
      </c>
      <c r="CN10" s="3">
        <v>1908.7052589637312</v>
      </c>
      <c r="CO10" s="3">
        <v>2003.3893897835242</v>
      </c>
      <c r="CP10" s="3">
        <v>2003.3893897835242</v>
      </c>
      <c r="CQ10" s="25">
        <v>1670.117101593265</v>
      </c>
    </row>
    <row r="11" spans="2:95" hidden="1">
      <c r="B11" s="3369"/>
      <c r="C11" s="3370"/>
      <c r="D11" s="101" t="s">
        <v>49</v>
      </c>
      <c r="E11" s="23">
        <f t="shared" si="11"/>
        <v>0</v>
      </c>
      <c r="F11" s="314"/>
      <c r="G11" s="341"/>
      <c r="H11" s="341"/>
      <c r="I11" s="341"/>
      <c r="J11" s="341"/>
      <c r="K11" s="341"/>
      <c r="L11" s="341"/>
      <c r="M11" s="341"/>
      <c r="N11" s="341"/>
      <c r="O11" s="341"/>
      <c r="P11" s="341"/>
      <c r="Q11" s="341"/>
      <c r="R11" s="23">
        <f t="shared" ref="R11:R15" si="16">SUM(S11:AD11)</f>
        <v>0</v>
      </c>
      <c r="S11" s="314"/>
      <c r="T11" s="314"/>
      <c r="U11" s="314"/>
      <c r="V11" s="314"/>
      <c r="W11" s="314"/>
      <c r="X11" s="314"/>
      <c r="Y11" s="314"/>
      <c r="Z11" s="314"/>
      <c r="AA11" s="314"/>
      <c r="AB11" s="314"/>
      <c r="AC11" s="314"/>
      <c r="AD11" s="314"/>
      <c r="AE11" s="23">
        <f t="shared" ref="AE11:AE15" si="17">SUM(AF11:AQ11)</f>
        <v>0</v>
      </c>
      <c r="AF11" s="314"/>
      <c r="AG11" s="314"/>
      <c r="AH11" s="314"/>
      <c r="AI11" s="314"/>
      <c r="AJ11" s="314"/>
      <c r="AK11" s="314"/>
      <c r="AL11" s="314"/>
      <c r="AM11" s="314"/>
      <c r="AN11" s="314"/>
      <c r="AO11" s="314"/>
      <c r="AP11" s="314"/>
      <c r="AQ11" s="314"/>
      <c r="AR11" s="23">
        <f t="shared" si="12"/>
        <v>0</v>
      </c>
      <c r="AS11" s="314"/>
      <c r="AT11" s="314"/>
      <c r="AU11" s="314"/>
      <c r="AV11" s="314"/>
      <c r="AW11" s="314"/>
      <c r="AX11" s="314"/>
      <c r="AY11" s="314"/>
      <c r="AZ11" s="314"/>
      <c r="BA11" s="314"/>
      <c r="BB11" s="314"/>
      <c r="BC11" s="314"/>
      <c r="BD11" s="314"/>
      <c r="BE11" s="23">
        <f t="shared" si="13"/>
        <v>0</v>
      </c>
      <c r="BF11" s="314"/>
      <c r="BG11" s="314"/>
      <c r="BH11" s="314"/>
      <c r="BI11" s="314"/>
      <c r="BJ11" s="314"/>
      <c r="BK11" s="314"/>
      <c r="BL11" s="314"/>
      <c r="BM11" s="314"/>
      <c r="BN11" s="314"/>
      <c r="BO11" s="314"/>
      <c r="BP11" s="314"/>
      <c r="BQ11" s="1936"/>
      <c r="BR11" s="23">
        <f t="shared" si="14"/>
        <v>0</v>
      </c>
      <c r="BS11" s="314"/>
      <c r="BT11" s="314"/>
      <c r="BU11" s="314"/>
      <c r="BV11" s="314"/>
      <c r="BW11" s="314"/>
      <c r="BX11" s="314"/>
      <c r="BY11" s="314"/>
      <c r="BZ11" s="314"/>
      <c r="CA11" s="314"/>
      <c r="CB11" s="314">
        <f t="shared" ref="CB11:CB15" si="18">BV11</f>
        <v>0</v>
      </c>
      <c r="CC11" s="314">
        <f t="shared" ref="CC11:CC15" si="19">BV11</f>
        <v>0</v>
      </c>
      <c r="CD11" s="396"/>
      <c r="CE11" s="23">
        <f t="shared" ref="CE11:CE20" si="20">SUM(CF11:CQ11)</f>
        <v>0</v>
      </c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25"/>
    </row>
    <row r="12" spans="2:95" hidden="1">
      <c r="B12" s="3369"/>
      <c r="C12" s="3370"/>
      <c r="D12" s="101" t="s">
        <v>47</v>
      </c>
      <c r="E12" s="23">
        <f t="shared" si="11"/>
        <v>3878</v>
      </c>
      <c r="F12" s="314">
        <v>1041</v>
      </c>
      <c r="G12" s="341">
        <v>1483</v>
      </c>
      <c r="H12" s="341">
        <v>1027</v>
      </c>
      <c r="I12" s="341">
        <v>323</v>
      </c>
      <c r="J12" s="341">
        <v>4</v>
      </c>
      <c r="K12" s="341">
        <v>0</v>
      </c>
      <c r="L12" s="341">
        <v>0</v>
      </c>
      <c r="M12" s="341">
        <v>0</v>
      </c>
      <c r="N12" s="341">
        <v>0</v>
      </c>
      <c r="O12" s="341">
        <v>0</v>
      </c>
      <c r="P12" s="341">
        <v>0</v>
      </c>
      <c r="Q12" s="341"/>
      <c r="R12" s="23">
        <f t="shared" si="16"/>
        <v>0</v>
      </c>
      <c r="S12" s="314"/>
      <c r="T12" s="314"/>
      <c r="U12" s="314"/>
      <c r="V12" s="314"/>
      <c r="W12" s="314"/>
      <c r="X12" s="314"/>
      <c r="Y12" s="314"/>
      <c r="Z12" s="314"/>
      <c r="AA12" s="314"/>
      <c r="AB12" s="314"/>
      <c r="AC12" s="314"/>
      <c r="AD12" s="314"/>
      <c r="AE12" s="23">
        <f t="shared" si="17"/>
        <v>0</v>
      </c>
      <c r="AF12" s="314"/>
      <c r="AG12" s="314"/>
      <c r="AH12" s="314"/>
      <c r="AI12" s="314"/>
      <c r="AJ12" s="314"/>
      <c r="AK12" s="314"/>
      <c r="AL12" s="314"/>
      <c r="AM12" s="314"/>
      <c r="AN12" s="314"/>
      <c r="AO12" s="314"/>
      <c r="AP12" s="314"/>
      <c r="AQ12" s="314"/>
      <c r="AR12" s="23">
        <f t="shared" si="12"/>
        <v>0</v>
      </c>
      <c r="AS12" s="314"/>
      <c r="AT12" s="314"/>
      <c r="AU12" s="314"/>
      <c r="AV12" s="314"/>
      <c r="AW12" s="314"/>
      <c r="AX12" s="314"/>
      <c r="AY12" s="314"/>
      <c r="AZ12" s="314"/>
      <c r="BA12" s="314"/>
      <c r="BB12" s="314"/>
      <c r="BC12" s="314"/>
      <c r="BD12" s="314"/>
      <c r="BE12" s="23">
        <f t="shared" si="13"/>
        <v>0</v>
      </c>
      <c r="BF12" s="314"/>
      <c r="BG12" s="314"/>
      <c r="BH12" s="314"/>
      <c r="BI12" s="314"/>
      <c r="BJ12" s="314"/>
      <c r="BK12" s="314"/>
      <c r="BL12" s="314"/>
      <c r="BM12" s="314"/>
      <c r="BN12" s="314"/>
      <c r="BO12" s="314"/>
      <c r="BP12" s="314"/>
      <c r="BQ12" s="1936"/>
      <c r="BR12" s="23">
        <f t="shared" si="14"/>
        <v>0</v>
      </c>
      <c r="BS12" s="314"/>
      <c r="BT12" s="314"/>
      <c r="BU12" s="314"/>
      <c r="BV12" s="314"/>
      <c r="BW12" s="314"/>
      <c r="BX12" s="314"/>
      <c r="BY12" s="314"/>
      <c r="BZ12" s="314"/>
      <c r="CA12" s="314"/>
      <c r="CB12" s="314">
        <f t="shared" si="18"/>
        <v>0</v>
      </c>
      <c r="CC12" s="314">
        <f t="shared" si="19"/>
        <v>0</v>
      </c>
      <c r="CD12" s="396"/>
      <c r="CE12" s="23">
        <f t="shared" si="20"/>
        <v>0</v>
      </c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25"/>
    </row>
    <row r="13" spans="2:95" hidden="1">
      <c r="B13" s="3369"/>
      <c r="C13" s="3370"/>
      <c r="D13" s="102" t="s">
        <v>255</v>
      </c>
      <c r="E13" s="24">
        <f t="shared" si="11"/>
        <v>0</v>
      </c>
      <c r="F13" s="316"/>
      <c r="G13" s="340"/>
      <c r="H13" s="340"/>
      <c r="I13" s="340"/>
      <c r="J13" s="340"/>
      <c r="K13" s="340"/>
      <c r="L13" s="340"/>
      <c r="M13" s="340"/>
      <c r="N13" s="340"/>
      <c r="O13" s="340"/>
      <c r="P13" s="340"/>
      <c r="Q13" s="340"/>
      <c r="R13" s="24">
        <f t="shared" si="16"/>
        <v>0</v>
      </c>
      <c r="S13" s="426"/>
      <c r="T13" s="316"/>
      <c r="U13" s="316"/>
      <c r="V13" s="316"/>
      <c r="W13" s="316"/>
      <c r="X13" s="316"/>
      <c r="Y13" s="316"/>
      <c r="Z13" s="316"/>
      <c r="AA13" s="316"/>
      <c r="AB13" s="316"/>
      <c r="AC13" s="316"/>
      <c r="AD13" s="316"/>
      <c r="AE13" s="24">
        <f t="shared" si="17"/>
        <v>0</v>
      </c>
      <c r="AF13" s="426"/>
      <c r="AG13" s="316"/>
      <c r="AH13" s="316"/>
      <c r="AI13" s="316"/>
      <c r="AJ13" s="316"/>
      <c r="AK13" s="316"/>
      <c r="AL13" s="316"/>
      <c r="AM13" s="316"/>
      <c r="AN13" s="316"/>
      <c r="AO13" s="316"/>
      <c r="AP13" s="316"/>
      <c r="AQ13" s="316"/>
      <c r="AR13" s="24">
        <f t="shared" si="12"/>
        <v>0</v>
      </c>
      <c r="AS13" s="426"/>
      <c r="AT13" s="316"/>
      <c r="AU13" s="316"/>
      <c r="AV13" s="316"/>
      <c r="AW13" s="316"/>
      <c r="AX13" s="316"/>
      <c r="AY13" s="316"/>
      <c r="AZ13" s="316"/>
      <c r="BA13" s="316"/>
      <c r="BB13" s="316"/>
      <c r="BC13" s="316"/>
      <c r="BD13" s="316"/>
      <c r="BE13" s="24">
        <f t="shared" si="13"/>
        <v>0</v>
      </c>
      <c r="BF13" s="426"/>
      <c r="BG13" s="316"/>
      <c r="BH13" s="316"/>
      <c r="BI13" s="316"/>
      <c r="BJ13" s="316"/>
      <c r="BK13" s="316"/>
      <c r="BL13" s="316"/>
      <c r="BM13" s="316"/>
      <c r="BN13" s="316"/>
      <c r="BO13" s="316"/>
      <c r="BP13" s="316"/>
      <c r="BQ13" s="1937"/>
      <c r="BR13" s="24">
        <f t="shared" si="14"/>
        <v>0</v>
      </c>
      <c r="BS13" s="426"/>
      <c r="BT13" s="316"/>
      <c r="BU13" s="316"/>
      <c r="BV13" s="316"/>
      <c r="BW13" s="316"/>
      <c r="BX13" s="316"/>
      <c r="BY13" s="316"/>
      <c r="BZ13" s="316"/>
      <c r="CA13" s="316"/>
      <c r="CB13" s="316">
        <f t="shared" si="18"/>
        <v>0</v>
      </c>
      <c r="CC13" s="316">
        <f t="shared" si="19"/>
        <v>0</v>
      </c>
      <c r="CD13" s="462"/>
      <c r="CE13" s="24">
        <f t="shared" si="20"/>
        <v>0</v>
      </c>
      <c r="CF13" s="631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100"/>
    </row>
    <row r="14" spans="2:95" hidden="1">
      <c r="B14" s="3369"/>
      <c r="C14" s="3370"/>
      <c r="D14" s="103" t="s">
        <v>496</v>
      </c>
      <c r="E14" s="22">
        <f t="shared" si="11"/>
        <v>0</v>
      </c>
      <c r="F14" s="315"/>
      <c r="G14" s="344"/>
      <c r="H14" s="344"/>
      <c r="I14" s="344"/>
      <c r="J14" s="344"/>
      <c r="K14" s="344"/>
      <c r="L14" s="344"/>
      <c r="M14" s="344"/>
      <c r="N14" s="344"/>
      <c r="O14" s="344"/>
      <c r="P14" s="344"/>
      <c r="Q14" s="344"/>
      <c r="R14" s="22">
        <f t="shared" si="16"/>
        <v>0</v>
      </c>
      <c r="S14" s="315"/>
      <c r="T14" s="315"/>
      <c r="U14" s="315"/>
      <c r="V14" s="315"/>
      <c r="W14" s="315"/>
      <c r="X14" s="315"/>
      <c r="Y14" s="315"/>
      <c r="Z14" s="315"/>
      <c r="AA14" s="315"/>
      <c r="AB14" s="315"/>
      <c r="AC14" s="315"/>
      <c r="AD14" s="315"/>
      <c r="AE14" s="22">
        <f t="shared" si="17"/>
        <v>0</v>
      </c>
      <c r="AF14" s="315"/>
      <c r="AG14" s="315"/>
      <c r="AH14" s="315"/>
      <c r="AI14" s="315"/>
      <c r="AJ14" s="315"/>
      <c r="AK14" s="315"/>
      <c r="AL14" s="315"/>
      <c r="AM14" s="315"/>
      <c r="AN14" s="315"/>
      <c r="AO14" s="315"/>
      <c r="AP14" s="315"/>
      <c r="AQ14" s="315"/>
      <c r="AR14" s="22">
        <f t="shared" si="12"/>
        <v>0</v>
      </c>
      <c r="AS14" s="315"/>
      <c r="AT14" s="315"/>
      <c r="AU14" s="315"/>
      <c r="AV14" s="315"/>
      <c r="AW14" s="315"/>
      <c r="AX14" s="315"/>
      <c r="AY14" s="315"/>
      <c r="AZ14" s="315"/>
      <c r="BA14" s="315"/>
      <c r="BB14" s="315"/>
      <c r="BC14" s="315"/>
      <c r="BD14" s="315"/>
      <c r="BE14" s="22">
        <f t="shared" si="13"/>
        <v>0</v>
      </c>
      <c r="BF14" s="315"/>
      <c r="BG14" s="315"/>
      <c r="BH14" s="315"/>
      <c r="BI14" s="315"/>
      <c r="BJ14" s="315"/>
      <c r="BK14" s="315"/>
      <c r="BL14" s="315"/>
      <c r="BM14" s="315"/>
      <c r="BN14" s="315"/>
      <c r="BO14" s="315"/>
      <c r="BP14" s="315"/>
      <c r="BQ14" s="1938"/>
      <c r="BR14" s="22">
        <f t="shared" si="14"/>
        <v>0</v>
      </c>
      <c r="BS14" s="315"/>
      <c r="BT14" s="315"/>
      <c r="BU14" s="315"/>
      <c r="BV14" s="315"/>
      <c r="BW14" s="315"/>
      <c r="BX14" s="315"/>
      <c r="BY14" s="315"/>
      <c r="BZ14" s="315"/>
      <c r="CA14" s="315"/>
      <c r="CB14" s="315">
        <f t="shared" si="18"/>
        <v>0</v>
      </c>
      <c r="CC14" s="315">
        <f t="shared" si="19"/>
        <v>0</v>
      </c>
      <c r="CD14" s="461"/>
      <c r="CE14" s="22">
        <f t="shared" si="20"/>
        <v>0</v>
      </c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34"/>
    </row>
    <row r="15" spans="2:95" hidden="1">
      <c r="B15" s="3369"/>
      <c r="C15" s="3370"/>
      <c r="D15" s="101" t="s">
        <v>17</v>
      </c>
      <c r="E15" s="23">
        <f t="shared" si="11"/>
        <v>0</v>
      </c>
      <c r="F15" s="314"/>
      <c r="G15" s="341"/>
      <c r="H15" s="341"/>
      <c r="I15" s="341"/>
      <c r="J15" s="341"/>
      <c r="K15" s="341"/>
      <c r="L15" s="341"/>
      <c r="M15" s="341"/>
      <c r="N15" s="341"/>
      <c r="O15" s="341"/>
      <c r="P15" s="341"/>
      <c r="Q15" s="341"/>
      <c r="R15" s="23">
        <f t="shared" si="16"/>
        <v>0</v>
      </c>
      <c r="S15" s="314"/>
      <c r="T15" s="314"/>
      <c r="U15" s="314"/>
      <c r="V15" s="314"/>
      <c r="W15" s="314"/>
      <c r="X15" s="314"/>
      <c r="Y15" s="314"/>
      <c r="Z15" s="314"/>
      <c r="AA15" s="314"/>
      <c r="AB15" s="314"/>
      <c r="AC15" s="314"/>
      <c r="AD15" s="314"/>
      <c r="AE15" s="23">
        <f t="shared" si="17"/>
        <v>0</v>
      </c>
      <c r="AF15" s="314"/>
      <c r="AG15" s="314"/>
      <c r="AH15" s="314"/>
      <c r="AI15" s="314"/>
      <c r="AJ15" s="314"/>
      <c r="AK15" s="314"/>
      <c r="AL15" s="314"/>
      <c r="AM15" s="314"/>
      <c r="AN15" s="314"/>
      <c r="AO15" s="314"/>
      <c r="AP15" s="314"/>
      <c r="AQ15" s="314"/>
      <c r="AR15" s="23">
        <f t="shared" si="12"/>
        <v>0</v>
      </c>
      <c r="AS15" s="314"/>
      <c r="AT15" s="314"/>
      <c r="AU15" s="314"/>
      <c r="AV15" s="314"/>
      <c r="AW15" s="314"/>
      <c r="AX15" s="314"/>
      <c r="AY15" s="314"/>
      <c r="AZ15" s="314"/>
      <c r="BA15" s="314"/>
      <c r="BB15" s="314"/>
      <c r="BC15" s="314"/>
      <c r="BD15" s="314"/>
      <c r="BE15" s="23">
        <f t="shared" si="13"/>
        <v>0</v>
      </c>
      <c r="BF15" s="314"/>
      <c r="BG15" s="314"/>
      <c r="BH15" s="314"/>
      <c r="BI15" s="314"/>
      <c r="BJ15" s="314"/>
      <c r="BK15" s="314"/>
      <c r="BL15" s="314"/>
      <c r="BM15" s="314"/>
      <c r="BN15" s="314"/>
      <c r="BO15" s="314"/>
      <c r="BP15" s="314"/>
      <c r="BQ15" s="1936"/>
      <c r="BR15" s="23">
        <f t="shared" si="14"/>
        <v>0</v>
      </c>
      <c r="BS15" s="314"/>
      <c r="BT15" s="314"/>
      <c r="BU15" s="314"/>
      <c r="BV15" s="314"/>
      <c r="BW15" s="314"/>
      <c r="BX15" s="314"/>
      <c r="BY15" s="314"/>
      <c r="BZ15" s="314"/>
      <c r="CA15" s="314"/>
      <c r="CB15" s="314">
        <f t="shared" si="18"/>
        <v>0</v>
      </c>
      <c r="CC15" s="314">
        <f t="shared" si="19"/>
        <v>0</v>
      </c>
      <c r="CD15" s="396"/>
      <c r="CE15" s="23">
        <f t="shared" si="20"/>
        <v>0</v>
      </c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25"/>
    </row>
    <row r="16" spans="2:95">
      <c r="B16" s="3369"/>
      <c r="C16" s="3370"/>
      <c r="D16" s="102" t="s">
        <v>577</v>
      </c>
      <c r="E16" s="24">
        <f>SUM(F16:Q16)</f>
        <v>11478</v>
      </c>
      <c r="F16" s="316">
        <v>1072</v>
      </c>
      <c r="G16" s="340">
        <v>961</v>
      </c>
      <c r="H16" s="340">
        <v>1246</v>
      </c>
      <c r="I16" s="340">
        <v>538</v>
      </c>
      <c r="J16" s="340">
        <v>472</v>
      </c>
      <c r="K16" s="340">
        <v>1142</v>
      </c>
      <c r="L16" s="340">
        <v>1248</v>
      </c>
      <c r="M16" s="340">
        <v>827</v>
      </c>
      <c r="N16" s="340">
        <v>1167</v>
      </c>
      <c r="O16" s="340">
        <v>990</v>
      </c>
      <c r="P16" s="340">
        <v>801</v>
      </c>
      <c r="Q16" s="340">
        <v>1014</v>
      </c>
      <c r="R16" s="24">
        <f>SUM(S16:AD16)</f>
        <v>12948</v>
      </c>
      <c r="S16" s="426">
        <v>1029</v>
      </c>
      <c r="T16" s="316">
        <v>949</v>
      </c>
      <c r="U16" s="316">
        <v>1058</v>
      </c>
      <c r="V16" s="316">
        <v>1043</v>
      </c>
      <c r="W16" s="316">
        <v>1226</v>
      </c>
      <c r="X16" s="316">
        <v>1212</v>
      </c>
      <c r="Y16" s="316">
        <v>1149</v>
      </c>
      <c r="Z16" s="316">
        <v>945</v>
      </c>
      <c r="AA16" s="316">
        <v>986</v>
      </c>
      <c r="AB16" s="316">
        <v>1061</v>
      </c>
      <c r="AC16" s="316">
        <v>1274</v>
      </c>
      <c r="AD16" s="316">
        <v>1016</v>
      </c>
      <c r="AE16" s="24">
        <f>SUM(AF16:AQ16)</f>
        <v>10013</v>
      </c>
      <c r="AF16" s="426">
        <v>874</v>
      </c>
      <c r="AG16" s="316">
        <v>782</v>
      </c>
      <c r="AH16" s="316">
        <v>1095</v>
      </c>
      <c r="AI16" s="316">
        <v>863</v>
      </c>
      <c r="AJ16" s="316">
        <v>800</v>
      </c>
      <c r="AK16" s="316">
        <v>744</v>
      </c>
      <c r="AL16" s="316">
        <v>666</v>
      </c>
      <c r="AM16" s="316">
        <v>805</v>
      </c>
      <c r="AN16" s="316">
        <v>1033</v>
      </c>
      <c r="AO16" s="316">
        <v>1117</v>
      </c>
      <c r="AP16" s="316">
        <v>786</v>
      </c>
      <c r="AQ16" s="316">
        <v>448</v>
      </c>
      <c r="AR16" s="1972">
        <f>AE16*$AR$1</f>
        <v>-14.673849326964756</v>
      </c>
      <c r="AS16" s="426">
        <v>645</v>
      </c>
      <c r="AT16" s="316">
        <v>810</v>
      </c>
      <c r="AU16" s="316">
        <v>628</v>
      </c>
      <c r="AV16" s="316">
        <v>520</v>
      </c>
      <c r="AW16" s="316">
        <v>522</v>
      </c>
      <c r="AX16" s="316">
        <v>688</v>
      </c>
      <c r="AY16" s="316">
        <v>649</v>
      </c>
      <c r="AZ16" s="316">
        <v>780</v>
      </c>
      <c r="BA16" s="316">
        <v>748</v>
      </c>
      <c r="BB16" s="316">
        <v>1681</v>
      </c>
      <c r="BC16" s="316">
        <v>1245</v>
      </c>
      <c r="BD16" s="316">
        <v>535</v>
      </c>
      <c r="BE16" s="24">
        <f t="shared" si="13"/>
        <v>4810</v>
      </c>
      <c r="BF16" s="426">
        <v>641</v>
      </c>
      <c r="BG16" s="316">
        <v>381</v>
      </c>
      <c r="BH16" s="316">
        <v>462</v>
      </c>
      <c r="BI16" s="316">
        <v>545</v>
      </c>
      <c r="BJ16" s="316">
        <v>645</v>
      </c>
      <c r="BK16" s="316">
        <v>430</v>
      </c>
      <c r="BL16" s="316">
        <v>522</v>
      </c>
      <c r="BM16" s="316">
        <v>108</v>
      </c>
      <c r="BN16" s="316">
        <v>63</v>
      </c>
      <c r="BO16" s="316">
        <v>53</v>
      </c>
      <c r="BP16" s="316">
        <v>457</v>
      </c>
      <c r="BQ16" s="1937">
        <v>503</v>
      </c>
      <c r="BR16" s="24">
        <f t="shared" si="14"/>
        <v>3106</v>
      </c>
      <c r="BS16" s="426">
        <v>189</v>
      </c>
      <c r="BT16" s="316">
        <v>34</v>
      </c>
      <c r="BU16" s="316">
        <v>124</v>
      </c>
      <c r="BV16" s="316">
        <v>186</v>
      </c>
      <c r="BW16" s="316">
        <v>524</v>
      </c>
      <c r="BX16" s="316">
        <v>316</v>
      </c>
      <c r="BY16" s="316">
        <v>518</v>
      </c>
      <c r="BZ16" s="316">
        <v>200</v>
      </c>
      <c r="CA16" s="316">
        <v>277</v>
      </c>
      <c r="CB16" s="316">
        <v>190</v>
      </c>
      <c r="CC16" s="316">
        <v>270</v>
      </c>
      <c r="CD16" s="462">
        <v>278</v>
      </c>
      <c r="CE16" s="24">
        <f t="shared" si="20"/>
        <v>2420.8930354823519</v>
      </c>
      <c r="CF16" s="631">
        <v>169.46251248376464</v>
      </c>
      <c r="CG16" s="6">
        <v>230.33754155690787</v>
      </c>
      <c r="CH16" s="6">
        <v>169.46251248376464</v>
      </c>
      <c r="CI16" s="6">
        <v>203.27879952379095</v>
      </c>
      <c r="CJ16" s="6">
        <v>229.98483837082344</v>
      </c>
      <c r="CK16" s="6">
        <v>215.41163879875114</v>
      </c>
      <c r="CL16" s="6">
        <v>229.98483837082344</v>
      </c>
      <c r="CM16" s="6">
        <v>203.27879952379095</v>
      </c>
      <c r="CN16" s="6">
        <v>193.67144283858815</v>
      </c>
      <c r="CO16" s="6">
        <v>203.27879952379095</v>
      </c>
      <c r="CP16" s="6">
        <v>203.27879952379095</v>
      </c>
      <c r="CQ16" s="100">
        <v>169.46251248376464</v>
      </c>
    </row>
    <row r="17" spans="2:95" hidden="1">
      <c r="B17" s="3369"/>
      <c r="C17" s="3370"/>
      <c r="D17" s="101" t="s">
        <v>18</v>
      </c>
      <c r="E17" s="23">
        <f t="shared" ref="E17:E20" si="21">SUM(F17:Q17)</f>
        <v>0</v>
      </c>
      <c r="F17" s="314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23">
        <f t="shared" ref="R17:R20" si="22">SUM(S17:AD17)</f>
        <v>0</v>
      </c>
      <c r="S17" s="314"/>
      <c r="T17" s="314"/>
      <c r="U17" s="314"/>
      <c r="V17" s="314"/>
      <c r="W17" s="314"/>
      <c r="X17" s="314"/>
      <c r="Y17" s="314"/>
      <c r="Z17" s="314"/>
      <c r="AA17" s="314"/>
      <c r="AB17" s="314"/>
      <c r="AC17" s="314"/>
      <c r="AD17" s="314"/>
      <c r="AE17" s="23">
        <f t="shared" ref="AE17:AE20" si="23">SUM(AF17:AQ17)</f>
        <v>0</v>
      </c>
      <c r="AF17" s="314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23">
        <f t="shared" ref="AR17:AR20" si="24">SUM(AS17:BD17)</f>
        <v>0</v>
      </c>
      <c r="AS17" s="314"/>
      <c r="AT17" s="314"/>
      <c r="AU17" s="314"/>
      <c r="AV17" s="314"/>
      <c r="AW17" s="314"/>
      <c r="AX17" s="314"/>
      <c r="AY17" s="314"/>
      <c r="AZ17" s="314"/>
      <c r="BA17" s="314"/>
      <c r="BB17" s="314"/>
      <c r="BC17" s="314"/>
      <c r="BD17" s="314"/>
      <c r="BE17" s="23">
        <f t="shared" si="13"/>
        <v>0</v>
      </c>
      <c r="BF17" s="314"/>
      <c r="BG17" s="314"/>
      <c r="BH17" s="314"/>
      <c r="BI17" s="314"/>
      <c r="BJ17" s="314"/>
      <c r="BK17" s="314"/>
      <c r="BL17" s="314"/>
      <c r="BM17" s="314"/>
      <c r="BN17" s="314"/>
      <c r="BO17" s="314"/>
      <c r="BP17" s="314"/>
      <c r="BQ17" s="1936"/>
      <c r="BR17" s="23">
        <f t="shared" si="14"/>
        <v>0</v>
      </c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25"/>
      <c r="CE17" s="23">
        <f t="shared" si="20"/>
        <v>0</v>
      </c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25"/>
    </row>
    <row r="18" spans="2:95" ht="15.75" hidden="1" customHeight="1">
      <c r="B18" s="3369"/>
      <c r="C18" s="3370"/>
      <c r="D18" s="101" t="s">
        <v>55</v>
      </c>
      <c r="E18" s="23">
        <f t="shared" si="21"/>
        <v>0</v>
      </c>
      <c r="F18" s="314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23">
        <f t="shared" si="22"/>
        <v>0</v>
      </c>
      <c r="S18" s="314"/>
      <c r="T18" s="314"/>
      <c r="U18" s="314"/>
      <c r="V18" s="314"/>
      <c r="W18" s="314"/>
      <c r="X18" s="314"/>
      <c r="Y18" s="314"/>
      <c r="Z18" s="314"/>
      <c r="AA18" s="314"/>
      <c r="AB18" s="314"/>
      <c r="AC18" s="314"/>
      <c r="AD18" s="314"/>
      <c r="AE18" s="23">
        <f t="shared" si="23"/>
        <v>0</v>
      </c>
      <c r="AF18" s="314"/>
      <c r="AG18" s="314"/>
      <c r="AH18" s="314"/>
      <c r="AI18" s="314"/>
      <c r="AJ18" s="314"/>
      <c r="AK18" s="314"/>
      <c r="AL18" s="314"/>
      <c r="AM18" s="314"/>
      <c r="AN18" s="314"/>
      <c r="AO18" s="314"/>
      <c r="AP18" s="314"/>
      <c r="AQ18" s="314"/>
      <c r="AR18" s="23">
        <f t="shared" si="24"/>
        <v>0</v>
      </c>
      <c r="AS18" s="314"/>
      <c r="AT18" s="314"/>
      <c r="AU18" s="314"/>
      <c r="AV18" s="314"/>
      <c r="AW18" s="314"/>
      <c r="AX18" s="314"/>
      <c r="AY18" s="314"/>
      <c r="AZ18" s="314"/>
      <c r="BA18" s="314"/>
      <c r="BB18" s="314"/>
      <c r="BC18" s="314"/>
      <c r="BD18" s="314"/>
      <c r="BE18" s="23">
        <f t="shared" si="13"/>
        <v>0</v>
      </c>
      <c r="BF18" s="314"/>
      <c r="BG18" s="314"/>
      <c r="BH18" s="314"/>
      <c r="BI18" s="314"/>
      <c r="BJ18" s="314"/>
      <c r="BK18" s="314"/>
      <c r="BL18" s="314"/>
      <c r="BM18" s="314"/>
      <c r="BN18" s="314"/>
      <c r="BO18" s="314"/>
      <c r="BP18" s="314"/>
      <c r="BQ18" s="1936"/>
      <c r="BR18" s="23">
        <f t="shared" si="14"/>
        <v>0</v>
      </c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25"/>
      <c r="CE18" s="23">
        <f t="shared" si="20"/>
        <v>0</v>
      </c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25"/>
    </row>
    <row r="19" spans="2:95" hidden="1">
      <c r="B19" s="3318"/>
      <c r="C19" s="3370"/>
      <c r="D19" s="101" t="s">
        <v>370</v>
      </c>
      <c r="E19" s="23">
        <f t="shared" si="21"/>
        <v>0</v>
      </c>
      <c r="F19" s="314"/>
      <c r="G19" s="341"/>
      <c r="H19" s="341"/>
      <c r="I19" s="341"/>
      <c r="J19" s="341"/>
      <c r="K19" s="341"/>
      <c r="L19" s="341"/>
      <c r="M19" s="341"/>
      <c r="N19" s="341"/>
      <c r="O19" s="341"/>
      <c r="P19" s="341"/>
      <c r="Q19" s="341"/>
      <c r="R19" s="23">
        <f t="shared" si="22"/>
        <v>0</v>
      </c>
      <c r="S19" s="314"/>
      <c r="T19" s="314"/>
      <c r="U19" s="314"/>
      <c r="V19" s="314"/>
      <c r="W19" s="314"/>
      <c r="X19" s="314"/>
      <c r="Y19" s="314"/>
      <c r="Z19" s="314"/>
      <c r="AA19" s="314"/>
      <c r="AB19" s="314"/>
      <c r="AC19" s="314"/>
      <c r="AD19" s="314"/>
      <c r="AE19" s="23">
        <f t="shared" si="23"/>
        <v>0</v>
      </c>
      <c r="AF19" s="314"/>
      <c r="AG19" s="314"/>
      <c r="AH19" s="314"/>
      <c r="AI19" s="314"/>
      <c r="AJ19" s="314"/>
      <c r="AK19" s="314"/>
      <c r="AL19" s="314"/>
      <c r="AM19" s="314"/>
      <c r="AN19" s="314"/>
      <c r="AO19" s="314"/>
      <c r="AP19" s="314"/>
      <c r="AQ19" s="314"/>
      <c r="AR19" s="23">
        <f t="shared" si="24"/>
        <v>0</v>
      </c>
      <c r="AS19" s="314"/>
      <c r="AT19" s="314"/>
      <c r="AU19" s="314"/>
      <c r="AV19" s="314"/>
      <c r="AW19" s="314"/>
      <c r="AX19" s="314"/>
      <c r="AY19" s="314"/>
      <c r="AZ19" s="314"/>
      <c r="BA19" s="314"/>
      <c r="BB19" s="314"/>
      <c r="BC19" s="314"/>
      <c r="BD19" s="314"/>
      <c r="BE19" s="23">
        <f t="shared" si="13"/>
        <v>0</v>
      </c>
      <c r="BF19" s="314"/>
      <c r="BG19" s="314"/>
      <c r="BH19" s="314"/>
      <c r="BI19" s="314"/>
      <c r="BJ19" s="314"/>
      <c r="BK19" s="314"/>
      <c r="BL19" s="314"/>
      <c r="BM19" s="314"/>
      <c r="BN19" s="314"/>
      <c r="BO19" s="314"/>
      <c r="BP19" s="314"/>
      <c r="BQ19" s="1936"/>
      <c r="BR19" s="23">
        <f t="shared" si="14"/>
        <v>0</v>
      </c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25"/>
      <c r="CE19" s="23">
        <f t="shared" si="20"/>
        <v>0</v>
      </c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25"/>
    </row>
    <row r="20" spans="2:95" hidden="1">
      <c r="B20" s="3371"/>
      <c r="C20" s="3372"/>
      <c r="D20" s="229" t="s">
        <v>369</v>
      </c>
      <c r="E20" s="249">
        <f t="shared" si="21"/>
        <v>198</v>
      </c>
      <c r="F20" s="320">
        <v>12</v>
      </c>
      <c r="G20" s="345">
        <v>7</v>
      </c>
      <c r="H20" s="345">
        <v>28</v>
      </c>
      <c r="I20" s="345">
        <v>14</v>
      </c>
      <c r="J20" s="345">
        <v>54</v>
      </c>
      <c r="K20" s="345">
        <v>65</v>
      </c>
      <c r="L20" s="345">
        <v>18</v>
      </c>
      <c r="M20" s="345"/>
      <c r="N20" s="345"/>
      <c r="O20" s="345"/>
      <c r="P20" s="345"/>
      <c r="Q20" s="345"/>
      <c r="R20" s="249">
        <f t="shared" si="22"/>
        <v>0</v>
      </c>
      <c r="S20" s="426"/>
      <c r="T20" s="316"/>
      <c r="U20" s="316"/>
      <c r="V20" s="316"/>
      <c r="W20" s="316"/>
      <c r="X20" s="316"/>
      <c r="Y20" s="316"/>
      <c r="Z20" s="316"/>
      <c r="AA20" s="316"/>
      <c r="AB20" s="316"/>
      <c r="AC20" s="316"/>
      <c r="AD20" s="316"/>
      <c r="AE20" s="249">
        <f t="shared" si="23"/>
        <v>0</v>
      </c>
      <c r="AF20" s="426"/>
      <c r="AG20" s="316"/>
      <c r="AH20" s="316"/>
      <c r="AI20" s="316"/>
      <c r="AJ20" s="316"/>
      <c r="AK20" s="316"/>
      <c r="AL20" s="316"/>
      <c r="AM20" s="316"/>
      <c r="AN20" s="316"/>
      <c r="AO20" s="316"/>
      <c r="AP20" s="316"/>
      <c r="AQ20" s="316"/>
      <c r="AR20" s="249">
        <f t="shared" si="24"/>
        <v>0</v>
      </c>
      <c r="AS20" s="426"/>
      <c r="AT20" s="316"/>
      <c r="AU20" s="316"/>
      <c r="AV20" s="316"/>
      <c r="AW20" s="316"/>
      <c r="AX20" s="316"/>
      <c r="AY20" s="316"/>
      <c r="AZ20" s="316"/>
      <c r="BA20" s="316"/>
      <c r="BB20" s="316"/>
      <c r="BC20" s="316"/>
      <c r="BD20" s="316"/>
      <c r="BE20" s="249">
        <f t="shared" si="13"/>
        <v>0</v>
      </c>
      <c r="BF20" s="426"/>
      <c r="BG20" s="316"/>
      <c r="BH20" s="316"/>
      <c r="BI20" s="316"/>
      <c r="BJ20" s="316"/>
      <c r="BK20" s="316"/>
      <c r="BL20" s="316"/>
      <c r="BM20" s="316"/>
      <c r="BN20" s="316"/>
      <c r="BO20" s="316"/>
      <c r="BP20" s="316"/>
      <c r="BQ20" s="1937"/>
      <c r="BR20" s="249">
        <f t="shared" si="14"/>
        <v>0</v>
      </c>
      <c r="BS20" s="631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100"/>
      <c r="CE20" s="249">
        <f t="shared" si="20"/>
        <v>0</v>
      </c>
      <c r="CF20" s="631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100"/>
    </row>
    <row r="21" spans="2:95" s="129" customFormat="1">
      <c r="B21" s="3360"/>
      <c r="C21" s="3360"/>
      <c r="D21" s="3360"/>
      <c r="E21" s="422"/>
      <c r="F21" s="422"/>
      <c r="G21" s="422"/>
      <c r="H21" s="422"/>
      <c r="I21" s="422"/>
      <c r="J21" s="422"/>
      <c r="K21" s="422"/>
      <c r="L21" s="422"/>
      <c r="M21" s="422"/>
      <c r="N21" s="422"/>
      <c r="O21" s="422"/>
      <c r="P21" s="422"/>
      <c r="Q21" s="422"/>
      <c r="R21" s="422"/>
      <c r="S21" s="422"/>
      <c r="T21" s="422"/>
      <c r="U21" s="422"/>
      <c r="V21" s="422"/>
      <c r="W21" s="422"/>
      <c r="X21" s="422"/>
      <c r="Y21" s="422"/>
      <c r="Z21" s="422"/>
      <c r="AA21" s="422"/>
      <c r="AB21" s="422"/>
      <c r="AC21" s="422"/>
      <c r="AD21" s="422"/>
      <c r="AE21" s="422"/>
      <c r="AF21" s="422"/>
      <c r="AG21" s="422"/>
      <c r="AH21" s="422"/>
      <c r="AI21" s="422"/>
      <c r="AJ21" s="422"/>
      <c r="AK21" s="422"/>
      <c r="AL21" s="422"/>
      <c r="AM21" s="422"/>
      <c r="AN21" s="422"/>
      <c r="AO21" s="422"/>
      <c r="AP21" s="422"/>
      <c r="AQ21" s="422"/>
      <c r="AR21" s="422"/>
      <c r="AS21" s="422"/>
      <c r="AT21" s="422"/>
      <c r="AU21" s="422"/>
      <c r="AV21" s="422"/>
      <c r="AW21" s="422"/>
      <c r="AX21" s="422"/>
      <c r="AY21" s="422"/>
      <c r="AZ21" s="422"/>
      <c r="BA21" s="422"/>
      <c r="BB21" s="422"/>
      <c r="BC21" s="422"/>
      <c r="BD21" s="422"/>
      <c r="BE21" s="422"/>
      <c r="BF21" s="422"/>
      <c r="BG21" s="422"/>
      <c r="BH21" s="422"/>
      <c r="BI21" s="422"/>
      <c r="BJ21" s="422"/>
      <c r="BK21" s="422"/>
      <c r="BL21" s="422"/>
      <c r="BM21" s="422"/>
      <c r="BN21" s="422"/>
      <c r="BO21" s="422"/>
      <c r="BP21" s="422"/>
      <c r="BQ21" s="1164"/>
      <c r="BR21" s="422"/>
      <c r="BS21" s="422"/>
      <c r="BT21" s="422"/>
      <c r="BU21" s="422"/>
      <c r="BV21" s="422"/>
      <c r="BW21" s="422"/>
      <c r="BX21" s="422"/>
      <c r="BY21" s="422"/>
      <c r="BZ21" s="422"/>
      <c r="CA21" s="422"/>
      <c r="CB21" s="422"/>
      <c r="CC21" s="422"/>
      <c r="CD21" s="422"/>
      <c r="CE21" s="422"/>
      <c r="CF21" s="422"/>
      <c r="CG21" s="422"/>
      <c r="CH21" s="422"/>
      <c r="CI21" s="422"/>
      <c r="CJ21" s="422"/>
      <c r="CK21" s="422"/>
      <c r="CL21" s="422"/>
      <c r="CM21" s="422"/>
      <c r="CN21" s="422"/>
      <c r="CO21" s="422"/>
      <c r="CP21" s="422"/>
      <c r="CQ21" s="422"/>
    </row>
    <row r="22" spans="2:95">
      <c r="B22" s="3361" t="s">
        <v>221</v>
      </c>
      <c r="C22" s="3361"/>
      <c r="D22" s="3321"/>
      <c r="E22" s="394">
        <f>E9/인프라!E6/12</f>
        <v>24.730931515741641</v>
      </c>
      <c r="F22" s="575">
        <f>F9/인프라!F6</f>
        <v>22.377952755905511</v>
      </c>
      <c r="G22" s="575">
        <f>G9/인프라!G6</f>
        <v>22.666666666666668</v>
      </c>
      <c r="H22" s="575">
        <f>H9/인프라!H6</f>
        <v>25.062745098039215</v>
      </c>
      <c r="I22" s="575">
        <f>I9/인프라!I6</f>
        <v>26.854330708661418</v>
      </c>
      <c r="J22" s="575">
        <f>J9/인프라!J6</f>
        <v>26.280155642023345</v>
      </c>
      <c r="K22" s="575">
        <f>K9/인프라!K6</f>
        <v>29.447470817120621</v>
      </c>
      <c r="L22" s="575">
        <f>L9/인프라!L6</f>
        <v>26.409266409266408</v>
      </c>
      <c r="M22" s="575">
        <f>M9/인프라!M6</f>
        <v>25.60546875</v>
      </c>
      <c r="N22" s="575">
        <f>N9/인프라!N6</f>
        <v>26.174418604651162</v>
      </c>
      <c r="O22" s="575">
        <f>O9/인프라!O6</f>
        <v>23.791505791505791</v>
      </c>
      <c r="P22" s="575">
        <f>P9/인프라!P6</f>
        <v>18.780769230769231</v>
      </c>
      <c r="Q22" s="575">
        <f>Q9/인프라!Q6</f>
        <v>23.357692307692307</v>
      </c>
      <c r="R22" s="394">
        <f>AVERAGE(S22:AD22)</f>
        <v>28.158331225353962</v>
      </c>
      <c r="S22" s="575">
        <f>S9/인프라!S6</f>
        <v>25.8671875</v>
      </c>
      <c r="T22" s="575">
        <f>T9/인프라!T6</f>
        <v>24.662745098039217</v>
      </c>
      <c r="U22" s="575">
        <f>U9/인프라!U6</f>
        <v>28.66796875</v>
      </c>
      <c r="V22" s="575">
        <f>V9/인프라!V6</f>
        <v>29.0234375</v>
      </c>
      <c r="W22" s="575">
        <f>W9/인프라!W6</f>
        <v>30.9296875</v>
      </c>
      <c r="X22" s="575">
        <f>X9/인프라!X6</f>
        <v>30.102362204724411</v>
      </c>
      <c r="Y22" s="575">
        <f>Y9/인프라!Y6</f>
        <v>29.171984435797665</v>
      </c>
      <c r="Z22" s="575">
        <f>Z9/인프라!Z6</f>
        <v>27.9921875</v>
      </c>
      <c r="AA22" s="575">
        <f>AA9/인프라!AA6</f>
        <v>24.984375</v>
      </c>
      <c r="AB22" s="575">
        <f>AB9/인프라!AB6</f>
        <v>28.176470588235293</v>
      </c>
      <c r="AC22" s="575">
        <f>AC9/인프라!AC6</f>
        <v>30.278431372549019</v>
      </c>
      <c r="AD22" s="575">
        <f>AD9/인프라!AD6</f>
        <v>28.043137254901961</v>
      </c>
      <c r="AE22" s="394">
        <f>AVERAGE(AF22:AQ22)</f>
        <v>29.678782783808103</v>
      </c>
      <c r="AF22" s="575">
        <f>AF9/인프라!AF6</f>
        <v>27.329411764705881</v>
      </c>
      <c r="AG22" s="575">
        <f>AG9/인프라!AG6</f>
        <v>25.170542635658915</v>
      </c>
      <c r="AH22" s="575">
        <f>AH9/인프라!AH6</f>
        <v>27.280155642023345</v>
      </c>
      <c r="AI22" s="575">
        <f>AI9/인프라!AI6</f>
        <v>28.358778625954198</v>
      </c>
      <c r="AJ22" s="575">
        <f>AJ9/인프라!AJ6</f>
        <v>28.664122137404579</v>
      </c>
      <c r="AK22" s="575">
        <f>AK9/인프라!AK6</f>
        <v>31.301158301158303</v>
      </c>
      <c r="AL22" s="575">
        <f>AL9/인프라!AL6</f>
        <v>29.34351145038168</v>
      </c>
      <c r="AM22" s="575">
        <f>AM9/인프라!AM6</f>
        <v>31.82375478927203</v>
      </c>
      <c r="AN22" s="575">
        <f>AN9/인프라!AN6</f>
        <v>27.896946564885496</v>
      </c>
      <c r="AO22" s="575">
        <f>AO9/인프라!AO6</f>
        <v>34.601532567049809</v>
      </c>
      <c r="AP22" s="575">
        <f>AP9/인프라!AP6</f>
        <v>33.482758620689658</v>
      </c>
      <c r="AQ22" s="575">
        <f>AQ9/인프라!AQ6</f>
        <v>30.892720306513411</v>
      </c>
      <c r="AR22" s="394">
        <f>AVERAGE(AS22:BD22)</f>
        <v>35.049918725958754</v>
      </c>
      <c r="AS22" s="575">
        <f>AS9/인프라!AS6</f>
        <v>35.374517374517374</v>
      </c>
      <c r="AT22" s="575">
        <f>AT9/인프라!AT6</f>
        <v>37.942084942084939</v>
      </c>
      <c r="AU22" s="575">
        <f>AU9/인프라!AU6</f>
        <v>38.661417322834644</v>
      </c>
      <c r="AV22" s="575">
        <f>AV9/인프라!AV6</f>
        <v>38.379844961240309</v>
      </c>
      <c r="AW22" s="575">
        <f>AW9/인프라!AW6</f>
        <v>39.127906976744185</v>
      </c>
      <c r="AX22" s="575">
        <f>AX9/인프라!AX6</f>
        <v>37.533073929961091</v>
      </c>
      <c r="AY22" s="575">
        <f>AY9/인프라!AY6</f>
        <v>31.050583657587548</v>
      </c>
      <c r="AZ22" s="575">
        <f>AZ9/인프라!AZ6</f>
        <v>41.035019455252922</v>
      </c>
      <c r="BA22" s="575">
        <f>BA9/인프라!BA6</f>
        <v>27.926070038910506</v>
      </c>
      <c r="BB22" s="575">
        <f>BB9/인프라!BB6</f>
        <v>32.859375</v>
      </c>
      <c r="BC22" s="575">
        <f>BC9/인프라!BC6</f>
        <v>31.86328125</v>
      </c>
      <c r="BD22" s="575">
        <f>BD9/인프라!BD6</f>
        <v>28.845849802371543</v>
      </c>
      <c r="BE22" s="394">
        <f>AVERAGE(BF22:BQ22)</f>
        <v>25.583116119094182</v>
      </c>
      <c r="BF22" s="575">
        <f>BF9/인프라!BF6</f>
        <v>39.240157480314963</v>
      </c>
      <c r="BG22" s="575">
        <f>BG9/인프라!BG6</f>
        <v>30.305019305019304</v>
      </c>
      <c r="BH22" s="575">
        <f>BH9/인프라!BH6</f>
        <v>28.107279693486589</v>
      </c>
      <c r="BI22" s="575">
        <f>BI9/인프라!BI6</f>
        <v>27.631578947368421</v>
      </c>
      <c r="BJ22" s="575">
        <f>BJ9/인프라!BJ6</f>
        <v>29.101503759398497</v>
      </c>
      <c r="BK22" s="575">
        <f>BK9/인프라!BK6</f>
        <v>24.619926199261993</v>
      </c>
      <c r="BL22" s="575">
        <f>BL9/인프라!BL6</f>
        <v>31.719557195571955</v>
      </c>
      <c r="BM22" s="575">
        <f>BM9/인프라!BM6</f>
        <v>16.731617647058822</v>
      </c>
      <c r="BN22" s="575">
        <f>BN9/인프라!BN6</f>
        <v>17.110294117647058</v>
      </c>
      <c r="BO22" s="575">
        <f>BO9/인프라!BO6</f>
        <v>16.654411764705884</v>
      </c>
      <c r="BP22" s="575">
        <f>BP9/인프라!BP6</f>
        <v>24.084870848708487</v>
      </c>
      <c r="BQ22" s="1939">
        <f>BQ9/인프라!BQ6</f>
        <v>21.691176470588236</v>
      </c>
      <c r="BR22" s="394">
        <f>AVERAGE(BS22:CD22)</f>
        <v>25.529284600413447</v>
      </c>
      <c r="BS22" s="575">
        <f>BS9/인프라!BS6</f>
        <v>15.444852941176471</v>
      </c>
      <c r="BT22" s="575">
        <f>BT9/인프라!BT6</f>
        <v>32.840148698884761</v>
      </c>
      <c r="BU22" s="575">
        <f>BU9/인프라!BU6</f>
        <v>14.515503875968992</v>
      </c>
      <c r="BV22" s="575">
        <f>BV9/인프라!BV6</f>
        <v>26.821705426356591</v>
      </c>
      <c r="BW22" s="575">
        <f>BW9/인프라!BW6</f>
        <v>38.937743190661479</v>
      </c>
      <c r="BX22" s="575">
        <f>BX9/인프라!BX6</f>
        <v>24.555555555555557</v>
      </c>
      <c r="BY22" s="575">
        <f>BY9/인프라!BY6</f>
        <v>34.763779527559052</v>
      </c>
      <c r="BZ22" s="575">
        <f>BZ9/인프라!BZ6</f>
        <v>32.940711462450594</v>
      </c>
      <c r="CA22" s="575">
        <f>CA9/인프라!CA6</f>
        <v>27.01581027667984</v>
      </c>
      <c r="CB22" s="575">
        <f>CB9/인프라!CB6</f>
        <v>20.162698412698411</v>
      </c>
      <c r="CC22" s="575">
        <f>CC9/인프라!CC6</f>
        <v>19.420634920634921</v>
      </c>
      <c r="CD22" s="575">
        <f>CD9/인프라!CD6</f>
        <v>18.932270916334662</v>
      </c>
      <c r="CE22" s="394">
        <f>AVERAGE(CF22:CQ22)</f>
        <v>21.973711005951245</v>
      </c>
      <c r="CF22" s="1951">
        <f>CF9/인프라!CF6</f>
        <v>18.947362822179471</v>
      </c>
      <c r="CG22" s="1951">
        <f>CG9/인프라!CG6</f>
        <v>25.753713358083814</v>
      </c>
      <c r="CH22" s="1951">
        <f>CH9/인프라!CH6</f>
        <v>18.947362822179471</v>
      </c>
      <c r="CI22" s="1951">
        <f>CI9/인프라!CI6</f>
        <v>22.638122123046767</v>
      </c>
      <c r="CJ22" s="1951">
        <f>CJ9/인프라!CJ6</f>
        <v>25.410566169565211</v>
      </c>
      <c r="CK22" s="1951">
        <f>CK9/인프라!CK6</f>
        <v>23.614461766024071</v>
      </c>
      <c r="CL22" s="1951">
        <f>CL9/인프라!CL6</f>
        <v>25.016603903370402</v>
      </c>
      <c r="CM22" s="1951">
        <f>CM9/인프라!CM6</f>
        <v>21.941564519260712</v>
      </c>
      <c r="CN22" s="1951">
        <f>CN9/인프라!CN6</f>
        <v>20.744986121557456</v>
      </c>
      <c r="CO22" s="1951">
        <f>CO9/인프라!CO6</f>
        <v>21.609116571999188</v>
      </c>
      <c r="CP22" s="1951">
        <f>CP9/인프라!CP6</f>
        <v>21.446642011307464</v>
      </c>
      <c r="CQ22" s="1951">
        <f>CQ9/인프라!CQ6</f>
        <v>17.614029882840917</v>
      </c>
    </row>
    <row r="23" spans="2:95" hidden="1">
      <c r="B23" s="423"/>
      <c r="C23" s="423"/>
      <c r="D23" s="423"/>
      <c r="E23" s="423"/>
      <c r="F23" s="423"/>
      <c r="G23" s="423"/>
      <c r="H23" s="423"/>
      <c r="I23" s="423"/>
      <c r="J23" s="423"/>
      <c r="K23" s="423"/>
      <c r="L23" s="423"/>
      <c r="M23" s="423"/>
      <c r="N23" s="423"/>
      <c r="O23" s="423"/>
      <c r="P23" s="423"/>
      <c r="Q23" s="514">
        <f>4215-Q32-680-64</f>
        <v>2924.6485354545453</v>
      </c>
      <c r="R23" s="514"/>
      <c r="S23" s="423"/>
      <c r="T23" s="423"/>
      <c r="U23" s="423"/>
      <c r="V23" s="423"/>
      <c r="W23" s="423"/>
      <c r="X23" s="423"/>
      <c r="Y23" s="423"/>
      <c r="Z23" s="423"/>
      <c r="AA23" s="423"/>
      <c r="AB23" s="423"/>
      <c r="AC23" s="423"/>
      <c r="AD23" s="423"/>
      <c r="AE23" s="514"/>
      <c r="AF23" s="423"/>
      <c r="AG23" s="423"/>
      <c r="AH23" s="423"/>
      <c r="AI23" s="423"/>
      <c r="AJ23" s="423"/>
      <c r="AK23" s="423"/>
      <c r="AL23" s="423"/>
      <c r="AM23" s="423"/>
      <c r="AN23" s="423"/>
      <c r="AO23" s="423"/>
      <c r="AP23" s="423"/>
      <c r="AQ23" s="423"/>
      <c r="AR23" s="514"/>
      <c r="AS23" s="423"/>
      <c r="AT23" s="423"/>
      <c r="AU23" s="423"/>
      <c r="AV23" s="423"/>
      <c r="AW23" s="423"/>
      <c r="AX23" s="423"/>
      <c r="AY23" s="423"/>
      <c r="AZ23" s="423"/>
      <c r="BA23" s="423"/>
      <c r="BB23" s="423"/>
      <c r="BC23" s="423"/>
      <c r="BD23" s="423"/>
      <c r="BE23" s="514"/>
      <c r="BF23" s="746"/>
      <c r="BG23" s="746"/>
      <c r="BH23" s="746"/>
      <c r="BI23" s="746"/>
      <c r="BJ23" s="746"/>
      <c r="BK23" s="746"/>
      <c r="BL23" s="746"/>
      <c r="BM23" s="746"/>
      <c r="BN23" s="746"/>
      <c r="BO23" s="746"/>
      <c r="BP23" s="746"/>
      <c r="BQ23" s="746"/>
      <c r="BR23" s="514"/>
      <c r="BS23" s="746"/>
      <c r="BT23" s="746"/>
      <c r="BU23" s="746"/>
      <c r="BV23" s="746"/>
      <c r="BW23" s="746"/>
      <c r="BX23" s="746"/>
      <c r="BY23" s="746"/>
      <c r="BZ23" s="746"/>
      <c r="CA23" s="746"/>
      <c r="CB23" s="746"/>
      <c r="CC23" s="746"/>
      <c r="CD23" s="746"/>
      <c r="CE23" s="514"/>
      <c r="CF23" s="746"/>
      <c r="CG23" s="746"/>
      <c r="CH23" s="746"/>
      <c r="CI23" s="746"/>
      <c r="CJ23" s="746"/>
      <c r="CK23" s="746"/>
      <c r="CL23" s="746"/>
      <c r="CM23" s="746"/>
      <c r="CN23" s="746"/>
      <c r="CO23" s="746"/>
      <c r="CP23" s="746"/>
      <c r="CQ23" s="746"/>
    </row>
    <row r="24" spans="2:95" ht="17.5" hidden="1" customHeight="1">
      <c r="B24" s="3373" t="s">
        <v>356</v>
      </c>
      <c r="C24" s="3373"/>
      <c r="D24" s="250" t="s">
        <v>14</v>
      </c>
      <c r="E24" s="251"/>
      <c r="F24" s="463">
        <v>925219</v>
      </c>
      <c r="G24" s="463">
        <v>926793</v>
      </c>
      <c r="H24" s="416">
        <v>927688</v>
      </c>
      <c r="I24" s="416">
        <v>927861</v>
      </c>
      <c r="J24" s="542">
        <f t="shared" ref="J24:Q24" si="25">I24+J26</f>
        <v>923179.76982455305</v>
      </c>
      <c r="K24" s="542">
        <f t="shared" si="25"/>
        <v>920053.88626528333</v>
      </c>
      <c r="L24" s="542">
        <v>916299.29905724945</v>
      </c>
      <c r="M24" s="542">
        <v>911869.11293710384</v>
      </c>
      <c r="N24" s="542">
        <f t="shared" si="25"/>
        <v>908034.03717713407</v>
      </c>
      <c r="O24" s="542">
        <f t="shared" si="25"/>
        <v>903480.40009807155</v>
      </c>
      <c r="P24" s="542">
        <f t="shared" si="25"/>
        <v>897517.46480865008</v>
      </c>
      <c r="Q24" s="541">
        <f t="shared" si="25"/>
        <v>893034.39883641945</v>
      </c>
      <c r="R24" s="251"/>
      <c r="S24" s="463">
        <v>925219</v>
      </c>
      <c r="T24" s="463">
        <v>926793</v>
      </c>
      <c r="U24" s="416">
        <v>927688</v>
      </c>
      <c r="V24" s="416">
        <v>927861</v>
      </c>
      <c r="W24" s="542">
        <f t="shared" ref="W24" si="26">V24+W26</f>
        <v>923054.39890566655</v>
      </c>
      <c r="X24" s="542">
        <f t="shared" ref="X24" si="27">W24+X26</f>
        <v>918034.06615161966</v>
      </c>
      <c r="Y24" s="542">
        <f t="shared" ref="Y24" si="28">X24+Y26</f>
        <v>912877.41524195741</v>
      </c>
      <c r="Z24" s="542">
        <f t="shared" ref="Z24" si="29">Y24+Z26</f>
        <v>907263.09575114283</v>
      </c>
      <c r="AA24" s="542">
        <f t="shared" ref="AA24" si="30">Z24+AA26</f>
        <v>901004.18883034948</v>
      </c>
      <c r="AB24" s="542">
        <f t="shared" ref="AB24" si="31">AA24+AB26</f>
        <v>895703.38599814114</v>
      </c>
      <c r="AC24" s="542">
        <f t="shared" ref="AC24" si="32">AB24+AC26</f>
        <v>891231.28194171051</v>
      </c>
      <c r="AD24" s="541">
        <f t="shared" ref="AD24" si="33">AC24+AD26</f>
        <v>885998.41698654997</v>
      </c>
      <c r="AE24" s="251"/>
      <c r="AF24" s="463">
        <v>925219</v>
      </c>
      <c r="AG24" s="463">
        <v>926793</v>
      </c>
      <c r="AH24" s="416">
        <v>927688</v>
      </c>
      <c r="AI24" s="416">
        <v>927861</v>
      </c>
      <c r="AJ24" s="542">
        <f t="shared" ref="AJ24" si="34">AI24+AJ26</f>
        <v>919934.97278718709</v>
      </c>
      <c r="AK24" s="542">
        <f t="shared" ref="AK24:AQ24" si="35">AJ24+AK26</f>
        <v>912688.63789306919</v>
      </c>
      <c r="AL24" s="542">
        <f t="shared" si="35"/>
        <v>905072.10183038632</v>
      </c>
      <c r="AM24" s="542">
        <f t="shared" si="35"/>
        <v>898345.84250503918</v>
      </c>
      <c r="AN24" s="542">
        <f t="shared" si="35"/>
        <v>890968.28155202023</v>
      </c>
      <c r="AO24" s="542">
        <f t="shared" si="35"/>
        <v>885525.81566862634</v>
      </c>
      <c r="AP24" s="542">
        <f t="shared" si="35"/>
        <v>879555.58390347601</v>
      </c>
      <c r="AQ24" s="541">
        <f t="shared" si="35"/>
        <v>872675.82128338702</v>
      </c>
      <c r="AR24" s="251"/>
      <c r="AS24" s="463">
        <v>402072.99999999994</v>
      </c>
      <c r="AT24" s="463">
        <v>384156</v>
      </c>
      <c r="AU24" s="416">
        <v>382832</v>
      </c>
      <c r="AV24" s="416">
        <v>384156</v>
      </c>
      <c r="AW24" s="1575">
        <v>378781.00000000006</v>
      </c>
      <c r="AX24" s="1575">
        <v>376422</v>
      </c>
      <c r="AY24" s="1575">
        <v>373217</v>
      </c>
      <c r="AZ24" s="1575">
        <v>370977.69800000003</v>
      </c>
      <c r="BA24" s="1575">
        <v>368751.83181200008</v>
      </c>
      <c r="BB24" s="1575">
        <v>366539.32082112809</v>
      </c>
      <c r="BC24" s="1575">
        <v>364340.08489620138</v>
      </c>
      <c r="BD24" s="463">
        <v>362154.04438682419</v>
      </c>
      <c r="BE24" s="251"/>
      <c r="BF24" s="1696"/>
      <c r="BG24" s="1696"/>
      <c r="BH24" s="1697"/>
      <c r="BI24" s="1697"/>
      <c r="BJ24" s="1698"/>
      <c r="BK24" s="1698"/>
      <c r="BL24" s="1698"/>
      <c r="BM24" s="1698"/>
      <c r="BN24" s="1698"/>
      <c r="BO24" s="1698"/>
      <c r="BP24" s="1698"/>
      <c r="BQ24" s="1699"/>
      <c r="BR24" s="251"/>
      <c r="BS24" s="1696"/>
      <c r="BT24" s="1696"/>
      <c r="BU24" s="1697"/>
      <c r="BV24" s="1697"/>
      <c r="BW24" s="1698"/>
      <c r="BX24" s="1698"/>
      <c r="BY24" s="1698"/>
      <c r="BZ24" s="1698"/>
      <c r="CA24" s="1698"/>
      <c r="CB24" s="1698"/>
      <c r="CC24" s="1698"/>
      <c r="CD24" s="1696"/>
      <c r="CE24" s="251"/>
      <c r="CF24" s="1696"/>
      <c r="CG24" s="1696"/>
      <c r="CH24" s="1697"/>
      <c r="CI24" s="1697"/>
      <c r="CJ24" s="1698"/>
      <c r="CK24" s="1698"/>
      <c r="CL24" s="1698"/>
      <c r="CM24" s="1698"/>
      <c r="CN24" s="1698"/>
      <c r="CO24" s="1698"/>
      <c r="CP24" s="1698"/>
      <c r="CQ24" s="1696"/>
    </row>
    <row r="25" spans="2:95" ht="17.5" hidden="1" customHeight="1">
      <c r="B25" s="3363" t="s">
        <v>355</v>
      </c>
      <c r="C25" s="3364"/>
      <c r="D25" s="14" t="s">
        <v>357</v>
      </c>
      <c r="E25" s="23"/>
      <c r="F25" s="455">
        <v>733963</v>
      </c>
      <c r="G25" s="455">
        <v>730688</v>
      </c>
      <c r="H25" s="339">
        <v>727233</v>
      </c>
      <c r="I25" s="339">
        <v>724330</v>
      </c>
      <c r="J25" s="4">
        <f t="shared" ref="J25:Q25" si="36">I25+J26</f>
        <v>719648.76982455305</v>
      </c>
      <c r="K25" s="4">
        <f t="shared" si="36"/>
        <v>716522.88626528333</v>
      </c>
      <c r="L25" s="4">
        <v>712768.29905724945</v>
      </c>
      <c r="M25" s="4">
        <v>708338.11293710384</v>
      </c>
      <c r="N25" s="4">
        <f t="shared" si="36"/>
        <v>704503.03717713407</v>
      </c>
      <c r="O25" s="4">
        <f t="shared" si="36"/>
        <v>699949.40009807155</v>
      </c>
      <c r="P25" s="4">
        <f t="shared" si="36"/>
        <v>693986.46480865008</v>
      </c>
      <c r="Q25" s="5">
        <f t="shared" si="36"/>
        <v>689503.39883641945</v>
      </c>
      <c r="R25" s="23"/>
      <c r="S25" s="455">
        <v>733963</v>
      </c>
      <c r="T25" s="455">
        <v>730688</v>
      </c>
      <c r="U25" s="339">
        <v>727233</v>
      </c>
      <c r="V25" s="339">
        <v>724330</v>
      </c>
      <c r="W25" s="4">
        <f t="shared" ref="W25" si="37">V25+W26</f>
        <v>719523.39890566655</v>
      </c>
      <c r="X25" s="4">
        <f t="shared" ref="X25" si="38">W25+X26</f>
        <v>714503.06615161966</v>
      </c>
      <c r="Y25" s="4">
        <f t="shared" ref="Y25" si="39">X25+Y26</f>
        <v>709346.41524195741</v>
      </c>
      <c r="Z25" s="4">
        <f t="shared" ref="Z25" si="40">Y25+Z26</f>
        <v>703732.09575114283</v>
      </c>
      <c r="AA25" s="4">
        <f t="shared" ref="AA25" si="41">Z25+AA26</f>
        <v>697473.18883034948</v>
      </c>
      <c r="AB25" s="4">
        <f t="shared" ref="AB25" si="42">AA25+AB26</f>
        <v>692172.38599814114</v>
      </c>
      <c r="AC25" s="4">
        <f t="shared" ref="AC25" si="43">AB25+AC26</f>
        <v>687700.28194171051</v>
      </c>
      <c r="AD25" s="5">
        <f t="shared" ref="AD25" si="44">AC25+AD26</f>
        <v>682467.41698654997</v>
      </c>
      <c r="AE25" s="23"/>
      <c r="AF25" s="455">
        <v>733963</v>
      </c>
      <c r="AG25" s="455">
        <v>730688</v>
      </c>
      <c r="AH25" s="339">
        <v>727233</v>
      </c>
      <c r="AI25" s="339">
        <v>724330</v>
      </c>
      <c r="AJ25" s="4">
        <f t="shared" ref="AJ25" si="45">AI25+AJ26</f>
        <v>716403.97278718709</v>
      </c>
      <c r="AK25" s="4">
        <f t="shared" ref="AK25:AQ25" si="46">AJ25+AK26</f>
        <v>709157.63789306919</v>
      </c>
      <c r="AL25" s="4">
        <f t="shared" si="46"/>
        <v>701541.10183038632</v>
      </c>
      <c r="AM25" s="4">
        <f t="shared" si="46"/>
        <v>694814.84250503918</v>
      </c>
      <c r="AN25" s="4">
        <f t="shared" si="46"/>
        <v>687437.28155202023</v>
      </c>
      <c r="AO25" s="4">
        <f t="shared" si="46"/>
        <v>681994.81566862634</v>
      </c>
      <c r="AP25" s="4">
        <f t="shared" si="46"/>
        <v>676024.58390347601</v>
      </c>
      <c r="AQ25" s="5">
        <f t="shared" si="46"/>
        <v>669144.82128338702</v>
      </c>
      <c r="AR25" s="23"/>
      <c r="AS25" s="455">
        <v>402072.99999999994</v>
      </c>
      <c r="AT25" s="455">
        <v>384156</v>
      </c>
      <c r="AU25" s="339">
        <v>382832</v>
      </c>
      <c r="AV25" s="339">
        <v>384156</v>
      </c>
      <c r="AW25" s="341">
        <v>378781.00000000006</v>
      </c>
      <c r="AX25" s="341">
        <v>376422</v>
      </c>
      <c r="AY25" s="341">
        <v>373217</v>
      </c>
      <c r="AZ25" s="341">
        <v>370977.69800000003</v>
      </c>
      <c r="BA25" s="341">
        <v>368751.83181200008</v>
      </c>
      <c r="BB25" s="341">
        <v>366539.32082112809</v>
      </c>
      <c r="BC25" s="341">
        <v>364340.08489620138</v>
      </c>
      <c r="BD25" s="455">
        <v>362154.04438682419</v>
      </c>
      <c r="BE25" s="23"/>
      <c r="BF25" s="1700"/>
      <c r="BG25" s="1700"/>
      <c r="BH25" s="1701"/>
      <c r="BI25" s="1701"/>
      <c r="BJ25" s="1702"/>
      <c r="BK25" s="1702"/>
      <c r="BL25" s="1702"/>
      <c r="BM25" s="1702"/>
      <c r="BN25" s="1702"/>
      <c r="BO25" s="1702"/>
      <c r="BP25" s="1702"/>
      <c r="BQ25" s="1703"/>
      <c r="BR25" s="23"/>
      <c r="BS25" s="1700"/>
      <c r="BT25" s="1700"/>
      <c r="BU25" s="1701"/>
      <c r="BV25" s="1701"/>
      <c r="BW25" s="1702"/>
      <c r="BX25" s="1702"/>
      <c r="BY25" s="1702"/>
      <c r="BZ25" s="1702"/>
      <c r="CA25" s="1702"/>
      <c r="CB25" s="1702"/>
      <c r="CC25" s="1702"/>
      <c r="CD25" s="1700"/>
      <c r="CE25" s="23"/>
      <c r="CF25" s="1700"/>
      <c r="CG25" s="1700"/>
      <c r="CH25" s="1701"/>
      <c r="CI25" s="1701"/>
      <c r="CJ25" s="1702"/>
      <c r="CK25" s="1702"/>
      <c r="CL25" s="1702"/>
      <c r="CM25" s="1702"/>
      <c r="CN25" s="1702"/>
      <c r="CO25" s="1702"/>
      <c r="CP25" s="1702"/>
      <c r="CQ25" s="1700"/>
    </row>
    <row r="26" spans="2:95" ht="17.5" hidden="1" customHeight="1">
      <c r="B26" s="3363" t="s">
        <v>24</v>
      </c>
      <c r="C26" s="3363"/>
      <c r="D26" s="14" t="s">
        <v>14</v>
      </c>
      <c r="E26" s="23"/>
      <c r="F26" s="314" t="e">
        <f>F25-#REF!</f>
        <v>#REF!</v>
      </c>
      <c r="G26" s="341">
        <f>G25-F25</f>
        <v>-3275</v>
      </c>
      <c r="H26" s="341">
        <f>H25-G25</f>
        <v>-3455</v>
      </c>
      <c r="I26" s="341">
        <f>I25-H25</f>
        <v>-2903</v>
      </c>
      <c r="J26" s="4">
        <f t="shared" ref="J26:Q26" si="47">J7-J8-J12-J27</f>
        <v>-4681.2301754469172</v>
      </c>
      <c r="K26" s="4">
        <f t="shared" si="47"/>
        <v>-3125.8835592697433</v>
      </c>
      <c r="L26" s="4">
        <v>-3754.5872080338686</v>
      </c>
      <c r="M26" s="4">
        <v>-4430.1861201456159</v>
      </c>
      <c r="N26" s="4">
        <f t="shared" si="47"/>
        <v>-3835.0757599697572</v>
      </c>
      <c r="O26" s="4">
        <f t="shared" si="47"/>
        <v>-4553.6370790625151</v>
      </c>
      <c r="P26" s="4">
        <f t="shared" si="47"/>
        <v>-5962.9352894214844</v>
      </c>
      <c r="Q26" s="5">
        <f t="shared" si="47"/>
        <v>-4483.0659722305845</v>
      </c>
      <c r="R26" s="23"/>
      <c r="S26" s="314">
        <f>S25-Q25</f>
        <v>44459.601163580548</v>
      </c>
      <c r="T26" s="341">
        <f>T25-S25</f>
        <v>-3275</v>
      </c>
      <c r="U26" s="341">
        <f>U25-T25</f>
        <v>-3455</v>
      </c>
      <c r="V26" s="341">
        <f>V25-U25</f>
        <v>-2903</v>
      </c>
      <c r="W26" s="4">
        <f t="shared" ref="W26:AD26" si="48">W7-W8-W12-W27</f>
        <v>-4806.6010943334404</v>
      </c>
      <c r="X26" s="4">
        <f t="shared" si="48"/>
        <v>-5020.3327540468745</v>
      </c>
      <c r="Y26" s="4">
        <f t="shared" si="48"/>
        <v>-5156.6509096622904</v>
      </c>
      <c r="Z26" s="4">
        <f t="shared" si="48"/>
        <v>-5614.3194908146088</v>
      </c>
      <c r="AA26" s="4">
        <f t="shared" si="48"/>
        <v>-6258.9069207933499</v>
      </c>
      <c r="AB26" s="4">
        <f t="shared" si="48"/>
        <v>-5300.8028322083665</v>
      </c>
      <c r="AC26" s="4">
        <f t="shared" si="48"/>
        <v>-4472.1040564306895</v>
      </c>
      <c r="AD26" s="5">
        <f t="shared" si="48"/>
        <v>-5232.8649551605486</v>
      </c>
      <c r="AE26" s="23"/>
      <c r="AF26" s="314">
        <f>AF25-AD25</f>
        <v>51495.583013450028</v>
      </c>
      <c r="AG26" s="341">
        <f>AG25-AF25</f>
        <v>-3275</v>
      </c>
      <c r="AH26" s="341">
        <f>AH25-AG25</f>
        <v>-3455</v>
      </c>
      <c r="AI26" s="341">
        <f>AI25-AH25</f>
        <v>-2903</v>
      </c>
      <c r="AJ26" s="4">
        <f t="shared" ref="AJ26:AQ26" si="49">AJ7-AJ8-AJ12-AJ27</f>
        <v>-7926.0272128129291</v>
      </c>
      <c r="AK26" s="4">
        <f t="shared" si="49"/>
        <v>-7246.3348941178574</v>
      </c>
      <c r="AL26" s="4">
        <f t="shared" si="49"/>
        <v>-7616.5360626829188</v>
      </c>
      <c r="AM26" s="4">
        <f t="shared" si="49"/>
        <v>-6726.2593253471659</v>
      </c>
      <c r="AN26" s="4">
        <f t="shared" si="49"/>
        <v>-7377.5609530190122</v>
      </c>
      <c r="AO26" s="4">
        <f t="shared" si="49"/>
        <v>-5442.4658833939247</v>
      </c>
      <c r="AP26" s="4">
        <f t="shared" si="49"/>
        <v>-5970.2317651503636</v>
      </c>
      <c r="AQ26" s="5">
        <f t="shared" si="49"/>
        <v>-6879.7626200890008</v>
      </c>
      <c r="AR26" s="23"/>
      <c r="AS26" s="314">
        <f>AS25-AQ25</f>
        <v>-267071.82128338708</v>
      </c>
      <c r="AT26" s="341">
        <f>AT25-AS25</f>
        <v>-17916.999999999942</v>
      </c>
      <c r="AU26" s="341">
        <f t="shared" ref="AU26:BD26" si="50">AU25-AT25</f>
        <v>-1324</v>
      </c>
      <c r="AV26" s="341">
        <f t="shared" si="50"/>
        <v>1324</v>
      </c>
      <c r="AW26" s="341">
        <f t="shared" si="50"/>
        <v>-5374.9999999999418</v>
      </c>
      <c r="AX26" s="341">
        <f t="shared" si="50"/>
        <v>-2359.0000000000582</v>
      </c>
      <c r="AY26" s="341">
        <f t="shared" si="50"/>
        <v>-3205</v>
      </c>
      <c r="AZ26" s="341">
        <f t="shared" si="50"/>
        <v>-2239.3019999999669</v>
      </c>
      <c r="BA26" s="341">
        <f t="shared" si="50"/>
        <v>-2225.8661879999563</v>
      </c>
      <c r="BB26" s="341">
        <f t="shared" si="50"/>
        <v>-2212.5109908719896</v>
      </c>
      <c r="BC26" s="341">
        <f t="shared" si="50"/>
        <v>-2199.2359249267029</v>
      </c>
      <c r="BD26" s="455">
        <f t="shared" si="50"/>
        <v>-2186.0405093771988</v>
      </c>
      <c r="BE26" s="23"/>
      <c r="BF26" s="1704"/>
      <c r="BG26" s="1702"/>
      <c r="BH26" s="1702"/>
      <c r="BI26" s="1702"/>
      <c r="BJ26" s="1702"/>
      <c r="BK26" s="1702"/>
      <c r="BL26" s="1702"/>
      <c r="BM26" s="1702"/>
      <c r="BN26" s="1702"/>
      <c r="BO26" s="1702"/>
      <c r="BP26" s="1702"/>
      <c r="BQ26" s="1703"/>
      <c r="BR26" s="23"/>
      <c r="BS26" s="1704"/>
      <c r="BT26" s="1702"/>
      <c r="BU26" s="1702"/>
      <c r="BV26" s="1702"/>
      <c r="BW26" s="1702"/>
      <c r="BX26" s="1702"/>
      <c r="BY26" s="1702"/>
      <c r="BZ26" s="1702"/>
      <c r="CA26" s="1702"/>
      <c r="CB26" s="1702"/>
      <c r="CC26" s="1702"/>
      <c r="CD26" s="1700"/>
      <c r="CE26" s="23"/>
      <c r="CF26" s="1704"/>
      <c r="CG26" s="1702"/>
      <c r="CH26" s="1702"/>
      <c r="CI26" s="1702"/>
      <c r="CJ26" s="1702"/>
      <c r="CK26" s="1702"/>
      <c r="CL26" s="1702"/>
      <c r="CM26" s="1702"/>
      <c r="CN26" s="1702"/>
      <c r="CO26" s="1702"/>
      <c r="CP26" s="1702"/>
      <c r="CQ26" s="1700"/>
    </row>
    <row r="27" spans="2:95" ht="17.5" hidden="1" customHeight="1">
      <c r="B27" s="3363" t="s">
        <v>25</v>
      </c>
      <c r="C27" s="3363"/>
      <c r="D27" s="14" t="s">
        <v>14</v>
      </c>
      <c r="E27" s="23"/>
      <c r="F27" s="341" t="e">
        <f>#REF!+F7-F24</f>
        <v>#REF!</v>
      </c>
      <c r="G27" s="341">
        <f>F24+G7-G24</f>
        <v>12313</v>
      </c>
      <c r="H27" s="341">
        <f>G24+H7-H24</f>
        <v>13094</v>
      </c>
      <c r="I27" s="341">
        <f>H24+I7-I24</f>
        <v>11959</v>
      </c>
      <c r="J27" s="4">
        <f t="shared" ref="J27:Q27" si="51">I24*J28</f>
        <v>11961.230175446917</v>
      </c>
      <c r="K27" s="4">
        <f t="shared" si="51"/>
        <v>11900.883559269743</v>
      </c>
      <c r="L27" s="4">
        <v>11860.587208033869</v>
      </c>
      <c r="M27" s="4">
        <v>11812.186120145616</v>
      </c>
      <c r="N27" s="4">
        <f t="shared" si="51"/>
        <v>11755.075759969757</v>
      </c>
      <c r="O27" s="4">
        <f t="shared" si="51"/>
        <v>11705.637079062515</v>
      </c>
      <c r="P27" s="4">
        <f t="shared" si="51"/>
        <v>11646.935289421484</v>
      </c>
      <c r="Q27" s="5">
        <f t="shared" si="51"/>
        <v>11570.065972230585</v>
      </c>
      <c r="R27" s="23"/>
      <c r="S27" s="341">
        <f>Q24+S7-S24</f>
        <v>-18576.601163580548</v>
      </c>
      <c r="T27" s="341">
        <f>S24+T7-T24</f>
        <v>11215</v>
      </c>
      <c r="U27" s="341">
        <f>T24+U7-U24</f>
        <v>14040</v>
      </c>
      <c r="V27" s="341">
        <f>U24+V7-V24</f>
        <v>13948</v>
      </c>
      <c r="W27" s="4">
        <f t="shared" ref="W27" si="52">V24*W28</f>
        <v>13950.60109433344</v>
      </c>
      <c r="X27" s="4">
        <f t="shared" ref="X27" si="53">W24*X28</f>
        <v>13878.332754046874</v>
      </c>
      <c r="Y27" s="4">
        <f t="shared" ref="Y27" si="54">X24*Y28</f>
        <v>13802.850909662291</v>
      </c>
      <c r="Z27" s="4">
        <f t="shared" ref="Z27" si="55">Y24*Z28</f>
        <v>13725.319490814609</v>
      </c>
      <c r="AA27" s="4">
        <f t="shared" ref="AA27" si="56">Z24*AA28</f>
        <v>13640.90692079335</v>
      </c>
      <c r="AB27" s="4">
        <f t="shared" ref="AB27" si="57">AA24*AB28</f>
        <v>13546.802832208366</v>
      </c>
      <c r="AC27" s="4">
        <f t="shared" ref="AC27" si="58">AB24*AC28</f>
        <v>13467.10405643069</v>
      </c>
      <c r="AD27" s="5">
        <f t="shared" ref="AD27" si="59">AC24*AD28</f>
        <v>13399.864955160549</v>
      </c>
      <c r="AE27" s="23"/>
      <c r="AF27" s="341">
        <f>AD24+AF7-AF24</f>
        <v>-25057.583013450028</v>
      </c>
      <c r="AG27" s="341">
        <f>AF24+AG7-AG24</f>
        <v>12550</v>
      </c>
      <c r="AH27" s="341">
        <f>AG24+AH7-AH24</f>
        <v>13953</v>
      </c>
      <c r="AI27" s="341">
        <f>AH24+AI7-AI24</f>
        <v>16233</v>
      </c>
      <c r="AJ27" s="4">
        <f t="shared" ref="AJ27" si="60">AI24*AJ28</f>
        <v>16236.027212812929</v>
      </c>
      <c r="AK27" s="4">
        <f t="shared" ref="AK27:AQ27" si="61">AJ24*AK28</f>
        <v>16097.334894117857</v>
      </c>
      <c r="AL27" s="4">
        <f t="shared" si="61"/>
        <v>15970.536062682919</v>
      </c>
      <c r="AM27" s="4">
        <f t="shared" si="61"/>
        <v>15837.259325347166</v>
      </c>
      <c r="AN27" s="4">
        <f t="shared" si="61"/>
        <v>15719.560953019012</v>
      </c>
      <c r="AO27" s="4">
        <f t="shared" si="61"/>
        <v>15590.465883393925</v>
      </c>
      <c r="AP27" s="4">
        <f t="shared" si="61"/>
        <v>15495.231765150364</v>
      </c>
      <c r="AQ27" s="5">
        <f t="shared" si="61"/>
        <v>15390.762620089001</v>
      </c>
      <c r="AR27" s="23"/>
      <c r="AS27" s="341">
        <f>AQ24+AS7-AS24</f>
        <v>485579.82128338708</v>
      </c>
      <c r="AT27" s="341">
        <f>AS24+AT7-AT24</f>
        <v>35106.999999999942</v>
      </c>
      <c r="AU27" s="341">
        <f t="shared" ref="AU27:BD27" si="62">AT24+AU7-AU24</f>
        <v>17680</v>
      </c>
      <c r="AV27" s="341">
        <f t="shared" si="62"/>
        <v>14169</v>
      </c>
      <c r="AW27" s="341">
        <f t="shared" si="62"/>
        <v>21921.999999999942</v>
      </c>
      <c r="AX27" s="341">
        <f t="shared" si="62"/>
        <v>18081.000000000058</v>
      </c>
      <c r="AY27" s="341">
        <f t="shared" si="62"/>
        <v>16956</v>
      </c>
      <c r="AZ27" s="341">
        <f t="shared" si="62"/>
        <v>20366.301999999967</v>
      </c>
      <c r="BA27" s="341">
        <f t="shared" si="62"/>
        <v>15204.866187999956</v>
      </c>
      <c r="BB27" s="341">
        <f t="shared" si="62"/>
        <v>18527.51099087199</v>
      </c>
      <c r="BC27" s="341">
        <f t="shared" si="62"/>
        <v>16865.235924926703</v>
      </c>
      <c r="BD27" s="455">
        <f t="shared" si="62"/>
        <v>14033.040509377199</v>
      </c>
      <c r="BE27" s="23"/>
      <c r="BF27" s="1702"/>
      <c r="BG27" s="1702"/>
      <c r="BH27" s="1702"/>
      <c r="BI27" s="1702"/>
      <c r="BJ27" s="1702"/>
      <c r="BK27" s="1702"/>
      <c r="BL27" s="1702"/>
      <c r="BM27" s="1702"/>
      <c r="BN27" s="1702"/>
      <c r="BO27" s="1702"/>
      <c r="BP27" s="1702"/>
      <c r="BQ27" s="1703"/>
      <c r="BR27" s="23"/>
      <c r="BS27" s="1702"/>
      <c r="BT27" s="1702"/>
      <c r="BU27" s="1702"/>
      <c r="BV27" s="1702"/>
      <c r="BW27" s="1702"/>
      <c r="BX27" s="1702"/>
      <c r="BY27" s="1702"/>
      <c r="BZ27" s="1702"/>
      <c r="CA27" s="1702"/>
      <c r="CB27" s="1702"/>
      <c r="CC27" s="1702"/>
      <c r="CD27" s="1700"/>
      <c r="CE27" s="23"/>
      <c r="CF27" s="1702"/>
      <c r="CG27" s="1702"/>
      <c r="CH27" s="1702"/>
      <c r="CI27" s="1702"/>
      <c r="CJ27" s="1702"/>
      <c r="CK27" s="1702"/>
      <c r="CL27" s="1702"/>
      <c r="CM27" s="1702"/>
      <c r="CN27" s="1702"/>
      <c r="CO27" s="1702"/>
      <c r="CP27" s="1702"/>
      <c r="CQ27" s="1700"/>
    </row>
    <row r="28" spans="2:95" ht="17.5" hidden="1" customHeight="1">
      <c r="B28" s="3376" t="s">
        <v>26</v>
      </c>
      <c r="C28" s="3377"/>
      <c r="D28" s="15" t="s">
        <v>14</v>
      </c>
      <c r="E28" s="24"/>
      <c r="F28" s="484" t="e">
        <f>F27/#REF!</f>
        <v>#REF!</v>
      </c>
      <c r="G28" s="484">
        <f>G27/F24</f>
        <v>1.330820054495206E-2</v>
      </c>
      <c r="H28" s="484">
        <f>H27/G24</f>
        <v>1.4128289704389221E-2</v>
      </c>
      <c r="I28" s="484">
        <f>I27/H24</f>
        <v>1.2891187554436405E-2</v>
      </c>
      <c r="J28" s="543">
        <f t="shared" ref="J28:Q28" si="63">I28</f>
        <v>1.2891187554436405E-2</v>
      </c>
      <c r="K28" s="543">
        <f t="shared" si="63"/>
        <v>1.2891187554436405E-2</v>
      </c>
      <c r="L28" s="543">
        <v>1.2891187554436405E-2</v>
      </c>
      <c r="M28" s="543">
        <v>1.2891187554436405E-2</v>
      </c>
      <c r="N28" s="543">
        <f t="shared" si="63"/>
        <v>1.2891187554436405E-2</v>
      </c>
      <c r="O28" s="543">
        <f t="shared" si="63"/>
        <v>1.2891187554436405E-2</v>
      </c>
      <c r="P28" s="543">
        <f t="shared" si="63"/>
        <v>1.2891187554436405E-2</v>
      </c>
      <c r="Q28" s="117">
        <f t="shared" si="63"/>
        <v>1.2891187554436405E-2</v>
      </c>
      <c r="R28" s="24"/>
      <c r="S28" s="484">
        <f>S27/Q24</f>
        <v>-2.0801663617644472E-2</v>
      </c>
      <c r="T28" s="484">
        <f>T27/S24</f>
        <v>1.2121454488072553E-2</v>
      </c>
      <c r="U28" s="484">
        <f>U27/T24</f>
        <v>1.5149013857463317E-2</v>
      </c>
      <c r="V28" s="484">
        <f>V27/U24</f>
        <v>1.5035227360923069E-2</v>
      </c>
      <c r="W28" s="543">
        <f t="shared" ref="W28" si="64">V28</f>
        <v>1.5035227360923069E-2</v>
      </c>
      <c r="X28" s="543">
        <f t="shared" ref="X28" si="65">W28</f>
        <v>1.5035227360923069E-2</v>
      </c>
      <c r="Y28" s="543">
        <f t="shared" ref="Y28" si="66">X28</f>
        <v>1.5035227360923069E-2</v>
      </c>
      <c r="Z28" s="543">
        <f t="shared" ref="Z28" si="67">Y28</f>
        <v>1.5035227360923069E-2</v>
      </c>
      <c r="AA28" s="543">
        <f t="shared" ref="AA28" si="68">Z28</f>
        <v>1.5035227360923069E-2</v>
      </c>
      <c r="AB28" s="543">
        <f t="shared" ref="AB28" si="69">AA28</f>
        <v>1.5035227360923069E-2</v>
      </c>
      <c r="AC28" s="543">
        <f t="shared" ref="AC28" si="70">AB28</f>
        <v>1.5035227360923069E-2</v>
      </c>
      <c r="AD28" s="117">
        <f t="shared" ref="AD28" si="71">AC28</f>
        <v>1.5035227360923069E-2</v>
      </c>
      <c r="AE28" s="24"/>
      <c r="AF28" s="484">
        <f>AF27/AD24</f>
        <v>-2.8281746934351936E-2</v>
      </c>
      <c r="AG28" s="484">
        <f>AG27/AF24</f>
        <v>1.356435611460638E-2</v>
      </c>
      <c r="AH28" s="484">
        <f>AH27/AG24</f>
        <v>1.5055141763047411E-2</v>
      </c>
      <c r="AI28" s="484">
        <f>AI27/AH24</f>
        <v>1.7498339959124188E-2</v>
      </c>
      <c r="AJ28" s="543">
        <f t="shared" ref="AJ28" si="72">AI28</f>
        <v>1.7498339959124188E-2</v>
      </c>
      <c r="AK28" s="543">
        <f t="shared" ref="AK28:AQ28" si="73">AJ28</f>
        <v>1.7498339959124188E-2</v>
      </c>
      <c r="AL28" s="543">
        <f t="shared" si="73"/>
        <v>1.7498339959124188E-2</v>
      </c>
      <c r="AM28" s="543">
        <f t="shared" si="73"/>
        <v>1.7498339959124188E-2</v>
      </c>
      <c r="AN28" s="543">
        <f t="shared" si="73"/>
        <v>1.7498339959124188E-2</v>
      </c>
      <c r="AO28" s="543">
        <f t="shared" si="73"/>
        <v>1.7498339959124188E-2</v>
      </c>
      <c r="AP28" s="543">
        <f t="shared" si="73"/>
        <v>1.7498339959124188E-2</v>
      </c>
      <c r="AQ28" s="117">
        <f t="shared" si="73"/>
        <v>1.7498339959124188E-2</v>
      </c>
      <c r="AR28" s="24"/>
      <c r="AS28" s="484">
        <f>AS27/AQ24</f>
        <v>0.55642634921324707</v>
      </c>
      <c r="AT28" s="484">
        <f>AT27/AS24</f>
        <v>8.7314990063993222E-2</v>
      </c>
      <c r="AU28" s="484">
        <f t="shared" ref="AU28:BD28" si="74">AU27/AT24</f>
        <v>4.6022969835171131E-2</v>
      </c>
      <c r="AV28" s="484">
        <f t="shared" si="74"/>
        <v>3.7011012663518202E-2</v>
      </c>
      <c r="AW28" s="484">
        <f t="shared" si="74"/>
        <v>5.7065358864627762E-2</v>
      </c>
      <c r="AX28" s="484">
        <f t="shared" si="74"/>
        <v>4.7734706862276766E-2</v>
      </c>
      <c r="AY28" s="484">
        <f t="shared" si="74"/>
        <v>4.5045188644659451E-2</v>
      </c>
      <c r="AZ28" s="484">
        <f t="shared" si="74"/>
        <v>5.4569598919663273E-2</v>
      </c>
      <c r="BA28" s="484">
        <f t="shared" si="74"/>
        <v>4.0985930609769308E-2</v>
      </c>
      <c r="BB28" s="484">
        <f t="shared" si="74"/>
        <v>5.0243848009730918E-2</v>
      </c>
      <c r="BC28" s="484">
        <f t="shared" si="74"/>
        <v>4.6012078287112262E-2</v>
      </c>
      <c r="BD28" s="1576">
        <f t="shared" si="74"/>
        <v>3.8516323322961128E-2</v>
      </c>
      <c r="BE28" s="24"/>
      <c r="BF28" s="1705"/>
      <c r="BG28" s="1705"/>
      <c r="BH28" s="1705"/>
      <c r="BI28" s="1705"/>
      <c r="BJ28" s="1705"/>
      <c r="BK28" s="1705"/>
      <c r="BL28" s="1705"/>
      <c r="BM28" s="1705"/>
      <c r="BN28" s="1705"/>
      <c r="BO28" s="1705"/>
      <c r="BP28" s="1705"/>
      <c r="BQ28" s="1706"/>
      <c r="BR28" s="24"/>
      <c r="BS28" s="1705"/>
      <c r="BT28" s="1705"/>
      <c r="BU28" s="1705"/>
      <c r="BV28" s="1705"/>
      <c r="BW28" s="1705"/>
      <c r="BX28" s="1705"/>
      <c r="BY28" s="1705"/>
      <c r="BZ28" s="1705"/>
      <c r="CA28" s="1705"/>
      <c r="CB28" s="1705"/>
      <c r="CC28" s="1705"/>
      <c r="CD28" s="1968"/>
      <c r="CE28" s="24"/>
      <c r="CF28" s="1705"/>
      <c r="CG28" s="1705"/>
      <c r="CH28" s="1705"/>
      <c r="CI28" s="1705"/>
      <c r="CJ28" s="1705"/>
      <c r="CK28" s="1705"/>
      <c r="CL28" s="1705"/>
      <c r="CM28" s="1705"/>
      <c r="CN28" s="1705"/>
      <c r="CO28" s="1705"/>
      <c r="CP28" s="1705"/>
      <c r="CQ28" s="1968"/>
    </row>
    <row r="29" spans="2:95">
      <c r="B29" s="423"/>
      <c r="C29" s="423"/>
      <c r="D29" s="423"/>
      <c r="E29" s="514"/>
      <c r="F29" s="423"/>
      <c r="G29" s="423"/>
      <c r="H29" s="423"/>
      <c r="I29" s="423"/>
      <c r="J29" s="423"/>
      <c r="K29" s="423"/>
      <c r="L29" s="423"/>
      <c r="M29" s="423"/>
      <c r="N29" s="423"/>
      <c r="O29" s="423"/>
      <c r="P29" s="423"/>
      <c r="Q29" s="1420">
        <v>3473.3213970000002</v>
      </c>
      <c r="R29" s="1419"/>
      <c r="S29" s="423"/>
      <c r="T29" s="423"/>
      <c r="U29" s="423"/>
      <c r="V29" s="423"/>
      <c r="W29" s="514"/>
      <c r="X29" s="514"/>
      <c r="Y29" s="514"/>
      <c r="Z29" s="423"/>
      <c r="AA29" s="423"/>
      <c r="AB29" s="423"/>
      <c r="AC29" s="423"/>
      <c r="AD29" s="423"/>
      <c r="AE29" s="1419"/>
      <c r="AF29" s="423"/>
      <c r="AG29" s="423"/>
      <c r="AH29" s="423"/>
      <c r="AI29" s="423"/>
      <c r="AJ29" s="514"/>
      <c r="AK29" s="514"/>
      <c r="AL29" s="514"/>
      <c r="AM29" s="423"/>
      <c r="AN29" s="423"/>
      <c r="AO29" s="423"/>
      <c r="AP29" s="423"/>
      <c r="AQ29" s="423"/>
      <c r="AR29" s="1419"/>
      <c r="AS29" s="423"/>
      <c r="AT29" s="423"/>
      <c r="AU29" s="423"/>
      <c r="AV29" s="423"/>
      <c r="AW29" s="514"/>
      <c r="AX29" s="514"/>
      <c r="AY29" s="514"/>
      <c r="AZ29" s="423"/>
      <c r="BA29" s="423"/>
      <c r="BB29" s="423"/>
      <c r="BC29" s="423"/>
      <c r="BD29" s="423"/>
      <c r="BE29" s="1419"/>
      <c r="BF29" s="423"/>
      <c r="BG29" s="423"/>
      <c r="BH29" s="423"/>
      <c r="BI29" s="423"/>
      <c r="BJ29" s="514"/>
      <c r="BK29" s="514"/>
      <c r="BL29" s="514"/>
      <c r="BM29" s="423"/>
      <c r="BN29" s="423"/>
      <c r="BO29" s="423"/>
      <c r="BP29" s="423"/>
      <c r="BQ29" s="865"/>
      <c r="BR29" s="1419"/>
      <c r="BS29" s="423"/>
      <c r="BT29" s="423"/>
      <c r="BU29" s="423"/>
      <c r="BV29" s="423"/>
      <c r="BW29" s="423"/>
      <c r="BX29" s="423"/>
      <c r="BY29" s="514"/>
      <c r="BZ29" s="423"/>
      <c r="CA29" s="423"/>
      <c r="CB29" s="423"/>
      <c r="CC29" s="423"/>
      <c r="CD29" s="423"/>
      <c r="CE29" s="1419"/>
      <c r="CF29" s="423"/>
      <c r="CG29" s="423"/>
      <c r="CH29" s="423"/>
      <c r="CI29" s="423"/>
      <c r="CJ29" s="423"/>
      <c r="CK29" s="423"/>
      <c r="CL29" s="514"/>
      <c r="CM29" s="423"/>
      <c r="CN29" s="423"/>
      <c r="CO29" s="423"/>
      <c r="CP29" s="423"/>
      <c r="CQ29" s="423"/>
    </row>
    <row r="30" spans="2:95" ht="21">
      <c r="B30" s="1969" t="s">
        <v>198</v>
      </c>
      <c r="C30" s="423"/>
      <c r="D30" s="423"/>
      <c r="E30" s="423"/>
      <c r="F30" s="423"/>
      <c r="G30" s="423">
        <v>-3.8066363636346523E-2</v>
      </c>
      <c r="H30" s="423"/>
      <c r="I30" s="423"/>
      <c r="J30" s="423"/>
      <c r="K30" s="423"/>
      <c r="L30" s="423"/>
      <c r="M30" s="423"/>
      <c r="N30" s="423"/>
      <c r="O30" s="423"/>
      <c r="P30" s="423"/>
      <c r="Q30" s="1420">
        <f>Q29-Q32</f>
        <v>2926.9699324545454</v>
      </c>
      <c r="R30" s="423"/>
      <c r="S30" s="423"/>
      <c r="T30" s="423"/>
      <c r="U30" s="423"/>
      <c r="V30" s="423"/>
      <c r="W30" s="423"/>
      <c r="X30" s="514"/>
      <c r="Y30" s="514"/>
      <c r="Z30" s="423"/>
      <c r="AA30" s="423"/>
      <c r="AB30" s="514"/>
      <c r="AC30" s="423"/>
      <c r="AD30" s="423"/>
      <c r="AE30" s="423"/>
      <c r="AF30" s="423"/>
      <c r="AG30" s="423"/>
      <c r="AH30" s="423"/>
      <c r="AI30" s="423"/>
      <c r="AJ30" s="423"/>
      <c r="AK30" s="514"/>
      <c r="AL30" s="514"/>
      <c r="AM30" s="423"/>
      <c r="AN30" s="423"/>
      <c r="AO30" s="423"/>
      <c r="AP30" s="423"/>
      <c r="AQ30" s="423"/>
      <c r="AR30" s="423"/>
      <c r="AS30" s="423"/>
      <c r="AT30" s="423"/>
      <c r="AU30" s="423"/>
      <c r="AV30" s="423"/>
      <c r="AW30" s="423"/>
      <c r="AX30" s="514"/>
      <c r="AY30" s="514"/>
      <c r="AZ30" s="423"/>
      <c r="BA30" s="423"/>
      <c r="BB30" s="423"/>
      <c r="BC30" s="423"/>
      <c r="BD30" s="423"/>
      <c r="BE30" s="423"/>
      <c r="BF30" s="423"/>
      <c r="BG30" s="423"/>
      <c r="BH30" s="423"/>
      <c r="BI30" s="423"/>
      <c r="BJ30" s="514"/>
      <c r="BK30" s="514"/>
      <c r="BL30" s="514"/>
      <c r="BM30" s="423"/>
      <c r="BN30" s="423"/>
      <c r="BO30" s="423"/>
      <c r="BP30" s="423"/>
      <c r="BQ30" s="865"/>
      <c r="BR30" s="514"/>
      <c r="BS30" s="514"/>
      <c r="BT30" s="514"/>
      <c r="BU30" s="514"/>
      <c r="BV30" s="423"/>
      <c r="BW30" s="514"/>
      <c r="BX30" s="514"/>
      <c r="BY30" s="514"/>
      <c r="BZ30" s="423"/>
      <c r="CA30" s="423"/>
      <c r="CB30" s="423"/>
      <c r="CC30" s="423"/>
      <c r="CD30" s="423"/>
      <c r="CE30" s="514"/>
      <c r="CF30" s="514"/>
      <c r="CG30" s="514"/>
      <c r="CH30" s="514"/>
      <c r="CI30" s="423"/>
      <c r="CJ30" s="514"/>
      <c r="CK30" s="514"/>
      <c r="CL30" s="514"/>
      <c r="CM30" s="423"/>
      <c r="CN30" s="423"/>
      <c r="CO30" s="423"/>
      <c r="CP30" s="423"/>
      <c r="CQ30" s="423"/>
    </row>
    <row r="31" spans="2:95" ht="16.5" hidden="1" customHeight="1">
      <c r="B31" s="1694"/>
      <c r="C31" s="1695"/>
      <c r="D31" s="253" t="s">
        <v>213</v>
      </c>
      <c r="E31" s="254">
        <f>AVERAGE(F31:Q31)</f>
        <v>716.05189030693225</v>
      </c>
      <c r="F31" s="212">
        <f>F32*1000000/F25</f>
        <v>550.41801834697321</v>
      </c>
      <c r="G31" s="212">
        <f t="shared" ref="G31:H31" si="75">G32*1000000/G25</f>
        <v>542.73523409070992</v>
      </c>
      <c r="H31" s="212">
        <f t="shared" si="75"/>
        <v>546.60390198814605</v>
      </c>
      <c r="I31" s="212">
        <f>I32*1000000/I25</f>
        <v>539.05751020064929</v>
      </c>
      <c r="J31" s="212">
        <f t="shared" ref="J31:Q31" si="76">J32*1000000/J25</f>
        <v>775.24762676257433</v>
      </c>
      <c r="K31" s="212">
        <f t="shared" si="76"/>
        <v>775.34918311006652</v>
      </c>
      <c r="L31" s="212">
        <v>776.4367171124253</v>
      </c>
      <c r="M31" s="212">
        <v>777.48302417085779</v>
      </c>
      <c r="N31" s="212">
        <f t="shared" si="76"/>
        <v>780.89986075963452</v>
      </c>
      <c r="O31" s="212">
        <f t="shared" si="76"/>
        <v>949.24874213322528</v>
      </c>
      <c r="P31" s="212">
        <f t="shared" si="76"/>
        <v>786.7588601321587</v>
      </c>
      <c r="Q31" s="226">
        <f t="shared" si="76"/>
        <v>792.38400487576598</v>
      </c>
      <c r="R31" s="254">
        <f>AVERAGE(S31:AD31)</f>
        <v>792.71449964790861</v>
      </c>
      <c r="S31" s="212">
        <f>S32*1000000/S25</f>
        <v>739.99676599997042</v>
      </c>
      <c r="T31" s="212">
        <f t="shared" ref="T31:U31" si="77">T32*1000000/T25</f>
        <v>718.52961368413912</v>
      </c>
      <c r="U31" s="212">
        <f t="shared" si="77"/>
        <v>768.80778362518049</v>
      </c>
      <c r="V31" s="212">
        <f>V32*1000000/V25</f>
        <v>745.52617277659704</v>
      </c>
      <c r="W31" s="212">
        <f t="shared" ref="W31:AD31" si="78">W32*1000000/W25</f>
        <v>748.16220737074605</v>
      </c>
      <c r="X31" s="212">
        <f t="shared" si="78"/>
        <v>772.98731712456788</v>
      </c>
      <c r="Y31" s="212">
        <f t="shared" si="78"/>
        <v>769.26088080065892</v>
      </c>
      <c r="Z31" s="212">
        <f t="shared" si="78"/>
        <v>797.12468930817147</v>
      </c>
      <c r="AA31" s="212">
        <f t="shared" si="78"/>
        <v>794.44883598927652</v>
      </c>
      <c r="AB31" s="212">
        <f t="shared" si="78"/>
        <v>831.57079180626943</v>
      </c>
      <c r="AC31" s="212">
        <f t="shared" si="78"/>
        <v>1015.402707426846</v>
      </c>
      <c r="AD31" s="226">
        <f t="shared" si="78"/>
        <v>810.75622986247936</v>
      </c>
      <c r="AE31" s="1111">
        <f>AVERAGE(AF31:AQ31)</f>
        <v>882.58564037034546</v>
      </c>
      <c r="AF31" s="397">
        <f>AF32*1000000/AF25</f>
        <v>796.07408498298093</v>
      </c>
      <c r="AG31" s="415">
        <f t="shared" ref="AG31:AH31" si="79">AG32*1000000/AG25</f>
        <v>811.77328017629225</v>
      </c>
      <c r="AH31" s="415">
        <f t="shared" si="79"/>
        <v>862.8244242841763</v>
      </c>
      <c r="AI31" s="415">
        <f>AI32*1000000/AI25</f>
        <v>822.15054413922348</v>
      </c>
      <c r="AJ31" s="415">
        <f t="shared" ref="AJ31:AQ31" si="80">AJ32*1000000/AJ25</f>
        <v>847.27086743118264</v>
      </c>
      <c r="AK31" s="415">
        <f t="shared" si="80"/>
        <v>874.44633354867926</v>
      </c>
      <c r="AL31" s="415">
        <f t="shared" si="80"/>
        <v>877.32867518196019</v>
      </c>
      <c r="AM31" s="415">
        <f t="shared" si="80"/>
        <v>913.96400655923162</v>
      </c>
      <c r="AN31" s="415">
        <f t="shared" si="80"/>
        <v>917.87946548503601</v>
      </c>
      <c r="AO31" s="415">
        <f t="shared" si="80"/>
        <v>935.67574105359881</v>
      </c>
      <c r="AP31" s="415">
        <f t="shared" si="80"/>
        <v>959.95841248325871</v>
      </c>
      <c r="AQ31" s="877">
        <f t="shared" si="80"/>
        <v>971.68184911852643</v>
      </c>
      <c r="AR31" s="822">
        <f>AVERAGE(AS31:BD31)</f>
        <v>1784.8841288166968</v>
      </c>
      <c r="AS31" s="397">
        <f>AS32*1000000/AS25</f>
        <v>1626.5244710198492</v>
      </c>
      <c r="AT31" s="415">
        <f t="shared" ref="AT31:AU31" si="81">AT32*1000000/AT25</f>
        <v>1540.6998719270296</v>
      </c>
      <c r="AU31" s="415">
        <f t="shared" si="81"/>
        <v>1914.2211537365542</v>
      </c>
      <c r="AV31" s="415">
        <f>AV32*1000000/AV25</f>
        <v>1728.8321742398209</v>
      </c>
      <c r="AW31" s="415">
        <f t="shared" ref="AW31:BD31" si="82">AW32*1000000/AW25</f>
        <v>1761.5750142022571</v>
      </c>
      <c r="AX31" s="415">
        <f t="shared" si="82"/>
        <v>1772.097751991116</v>
      </c>
      <c r="AY31" s="415">
        <f t="shared" si="82"/>
        <v>1810.9123183758311</v>
      </c>
      <c r="AZ31" s="415">
        <f t="shared" si="82"/>
        <v>1844.9776901781202</v>
      </c>
      <c r="BA31" s="415">
        <f t="shared" si="82"/>
        <v>1833.2112322757046</v>
      </c>
      <c r="BB31" s="415">
        <f t="shared" si="82"/>
        <v>1847.00511389439</v>
      </c>
      <c r="BC31" s="415">
        <f t="shared" si="82"/>
        <v>1860.8987265103117</v>
      </c>
      <c r="BD31" s="877">
        <f t="shared" si="82"/>
        <v>1877.6540274493746</v>
      </c>
      <c r="BE31" s="226" t="e">
        <f>AVERAGE(BF31:BQ31)</f>
        <v>#DIV/0!</v>
      </c>
      <c r="BF31" s="397" t="e">
        <f>BF32*1000000/BF25</f>
        <v>#DIV/0!</v>
      </c>
      <c r="BG31" s="415" t="e">
        <f t="shared" ref="BG31:BH31" si="83">BG32*1000000/BG25</f>
        <v>#DIV/0!</v>
      </c>
      <c r="BH31" s="415" t="e">
        <f t="shared" si="83"/>
        <v>#DIV/0!</v>
      </c>
      <c r="BI31" s="415" t="e">
        <f>BI32*1000000/BI25</f>
        <v>#DIV/0!</v>
      </c>
      <c r="BJ31" s="415" t="e">
        <f t="shared" ref="BJ31:BQ31" si="84">BJ32*1000000/BJ25</f>
        <v>#DIV/0!</v>
      </c>
      <c r="BK31" s="415" t="e">
        <f t="shared" si="84"/>
        <v>#DIV/0!</v>
      </c>
      <c r="BL31" s="415" t="e">
        <f t="shared" si="84"/>
        <v>#DIV/0!</v>
      </c>
      <c r="BM31" s="415" t="e">
        <f t="shared" si="84"/>
        <v>#DIV/0!</v>
      </c>
      <c r="BN31" s="415" t="e">
        <f t="shared" si="84"/>
        <v>#DIV/0!</v>
      </c>
      <c r="BO31" s="415" t="e">
        <f t="shared" si="84"/>
        <v>#DIV/0!</v>
      </c>
      <c r="BP31" s="415" t="e">
        <f t="shared" si="84"/>
        <v>#DIV/0!</v>
      </c>
      <c r="BQ31" s="1161" t="e">
        <f t="shared" si="84"/>
        <v>#DIV/0!</v>
      </c>
      <c r="BR31" s="226" t="e">
        <f>AVERAGE(BS31:CD31)</f>
        <v>#DIV/0!</v>
      </c>
      <c r="BS31" s="397" t="e">
        <f>BS32*1000000/BS25</f>
        <v>#DIV/0!</v>
      </c>
      <c r="BT31" s="415" t="e">
        <f t="shared" ref="BT31:BU31" si="85">BT32*1000000/BT25</f>
        <v>#DIV/0!</v>
      </c>
      <c r="BU31" s="415" t="e">
        <f t="shared" si="85"/>
        <v>#DIV/0!</v>
      </c>
      <c r="BV31" s="415" t="e">
        <f>BV32*1000000/BV25</f>
        <v>#DIV/0!</v>
      </c>
      <c r="BW31" s="415" t="e">
        <f t="shared" ref="BW31:CD31" si="86">BW32*1000000/BW25</f>
        <v>#DIV/0!</v>
      </c>
      <c r="BX31" s="415" t="e">
        <f t="shared" si="86"/>
        <v>#DIV/0!</v>
      </c>
      <c r="BY31" s="415" t="e">
        <f t="shared" si="86"/>
        <v>#DIV/0!</v>
      </c>
      <c r="BZ31" s="415" t="e">
        <f t="shared" si="86"/>
        <v>#DIV/0!</v>
      </c>
      <c r="CA31" s="415" t="e">
        <f t="shared" si="86"/>
        <v>#DIV/0!</v>
      </c>
      <c r="CB31" s="415" t="e">
        <f t="shared" si="86"/>
        <v>#DIV/0!</v>
      </c>
      <c r="CC31" s="415" t="e">
        <f t="shared" si="86"/>
        <v>#DIV/0!</v>
      </c>
      <c r="CD31" s="1738" t="e">
        <f t="shared" si="86"/>
        <v>#DIV/0!</v>
      </c>
      <c r="CE31" s="226" t="e">
        <f>AVERAGE(CF31:CQ31)</f>
        <v>#DIV/0!</v>
      </c>
      <c r="CF31" s="397" t="e">
        <f>CF32*1000000/CF25</f>
        <v>#DIV/0!</v>
      </c>
      <c r="CG31" s="415" t="e">
        <f t="shared" ref="CG31:CH31" si="87">CG32*1000000/CG25</f>
        <v>#DIV/0!</v>
      </c>
      <c r="CH31" s="415" t="e">
        <f t="shared" si="87"/>
        <v>#DIV/0!</v>
      </c>
      <c r="CI31" s="415" t="e">
        <f>CI32*1000000/CI25</f>
        <v>#DIV/0!</v>
      </c>
      <c r="CJ31" s="415" t="e">
        <f t="shared" ref="CJ31:CQ31" si="88">CJ32*1000000/CJ25</f>
        <v>#DIV/0!</v>
      </c>
      <c r="CK31" s="415" t="e">
        <f t="shared" si="88"/>
        <v>#DIV/0!</v>
      </c>
      <c r="CL31" s="415" t="e">
        <f t="shared" si="88"/>
        <v>#DIV/0!</v>
      </c>
      <c r="CM31" s="415" t="e">
        <f t="shared" si="88"/>
        <v>#DIV/0!</v>
      </c>
      <c r="CN31" s="415" t="e">
        <f t="shared" si="88"/>
        <v>#DIV/0!</v>
      </c>
      <c r="CO31" s="415" t="e">
        <f t="shared" si="88"/>
        <v>#DIV/0!</v>
      </c>
      <c r="CP31" s="415" t="e">
        <f t="shared" si="88"/>
        <v>#DIV/0!</v>
      </c>
      <c r="CQ31" s="1738" t="e">
        <f t="shared" si="88"/>
        <v>#DIV/0!</v>
      </c>
    </row>
    <row r="32" spans="2:95" ht="16.5" customHeight="1">
      <c r="B32" s="3311" t="s">
        <v>125</v>
      </c>
      <c r="C32" s="3312"/>
      <c r="D32" s="253" t="s">
        <v>14</v>
      </c>
      <c r="E32" s="254">
        <f>SUM(F32:Q32)</f>
        <v>6113.0461521454527</v>
      </c>
      <c r="F32" s="363">
        <v>403.98645999999951</v>
      </c>
      <c r="G32" s="363">
        <v>396.57012272727269</v>
      </c>
      <c r="H32" s="363">
        <v>397.50839545454539</v>
      </c>
      <c r="I32" s="363">
        <v>390.4555263636363</v>
      </c>
      <c r="J32" s="363">
        <v>557.90600090909084</v>
      </c>
      <c r="K32" s="363">
        <v>555.55543454545455</v>
      </c>
      <c r="L32" s="363">
        <v>553.41947818181814</v>
      </c>
      <c r="M32" s="363">
        <v>550.72085818181813</v>
      </c>
      <c r="N32" s="363">
        <v>550.1463236363636</v>
      </c>
      <c r="O32" s="363">
        <v>664.42608760000007</v>
      </c>
      <c r="P32" s="363">
        <v>546</v>
      </c>
      <c r="Q32" s="452">
        <f>SUM(Q33:Q41)</f>
        <v>546.35146454545463</v>
      </c>
      <c r="R32" s="254">
        <f>SUM(S32:AD32)</f>
        <v>6745.8218155619825</v>
      </c>
      <c r="S32" s="212">
        <f t="shared" ref="S32:AD32" si="89">SUM(S33:S41)</f>
        <v>543.13024636363627</v>
      </c>
      <c r="T32" s="212">
        <f t="shared" si="89"/>
        <v>525.02096636363626</v>
      </c>
      <c r="U32" s="212">
        <f t="shared" si="89"/>
        <v>559.1023909090909</v>
      </c>
      <c r="V32" s="212">
        <f t="shared" si="89"/>
        <v>540.00697272727257</v>
      </c>
      <c r="W32" s="212">
        <f t="shared" si="89"/>
        <v>538.32021438016534</v>
      </c>
      <c r="X32" s="212">
        <f t="shared" si="89"/>
        <v>552.30180818181816</v>
      </c>
      <c r="Y32" s="212">
        <f t="shared" si="89"/>
        <v>545.67244818181814</v>
      </c>
      <c r="Z32" s="212">
        <f t="shared" si="89"/>
        <v>560.96222818181809</v>
      </c>
      <c r="AA32" s="212">
        <f t="shared" si="89"/>
        <v>554.106763</v>
      </c>
      <c r="AB32" s="212">
        <f t="shared" si="89"/>
        <v>575.59033909090897</v>
      </c>
      <c r="AC32" s="212">
        <f t="shared" si="89"/>
        <v>698.29272818181812</v>
      </c>
      <c r="AD32" s="212">
        <f t="shared" si="89"/>
        <v>553.31470999999988</v>
      </c>
      <c r="AE32" s="1111">
        <f>SUM(AF32:AQ32)</f>
        <v>7446.3129436363643</v>
      </c>
      <c r="AF32" s="397">
        <f t="shared" ref="AF32:AQ32" si="90">SUM(AF33:AF41)</f>
        <v>584.28892363636362</v>
      </c>
      <c r="AG32" s="415">
        <f t="shared" si="90"/>
        <v>593.15299454545459</v>
      </c>
      <c r="AH32" s="415">
        <f t="shared" si="90"/>
        <v>627.4743945454544</v>
      </c>
      <c r="AI32" s="415">
        <f t="shared" si="90"/>
        <v>595.50830363636373</v>
      </c>
      <c r="AJ32" s="415">
        <f t="shared" si="90"/>
        <v>606.98821545454541</v>
      </c>
      <c r="AK32" s="415">
        <f t="shared" si="90"/>
        <v>620.12029636363627</v>
      </c>
      <c r="AL32" s="415">
        <f t="shared" si="90"/>
        <v>615.48212545454544</v>
      </c>
      <c r="AM32" s="415">
        <f t="shared" si="90"/>
        <v>635.0357572727271</v>
      </c>
      <c r="AN32" s="415">
        <f t="shared" si="90"/>
        <v>630.98456454545453</v>
      </c>
      <c r="AO32" s="415">
        <f t="shared" si="90"/>
        <v>638.12600454545452</v>
      </c>
      <c r="AP32" s="415">
        <f t="shared" si="90"/>
        <v>648.9554863636364</v>
      </c>
      <c r="AQ32" s="877">
        <f t="shared" si="90"/>
        <v>650.19587727272733</v>
      </c>
      <c r="AR32" s="822">
        <f>SUM(AS32:BD32)</f>
        <v>8048.4336036363629</v>
      </c>
      <c r="AS32" s="397">
        <f>SUM(AS33:AS41)</f>
        <v>653.98157363636369</v>
      </c>
      <c r="AT32" s="415">
        <f t="shared" ref="AT32:BD32" si="91">SUM(AT33:AT41)</f>
        <v>591.8691</v>
      </c>
      <c r="AU32" s="415">
        <f t="shared" si="91"/>
        <v>732.82511272727254</v>
      </c>
      <c r="AV32" s="415">
        <f t="shared" si="91"/>
        <v>664.14125272727267</v>
      </c>
      <c r="AW32" s="415">
        <f t="shared" si="91"/>
        <v>667.25114545454528</v>
      </c>
      <c r="AX32" s="415">
        <f t="shared" si="91"/>
        <v>667.05657999999994</v>
      </c>
      <c r="AY32" s="415">
        <f t="shared" si="91"/>
        <v>675.86326272727251</v>
      </c>
      <c r="AZ32" s="415">
        <f t="shared" si="91"/>
        <v>684.44557636363629</v>
      </c>
      <c r="BA32" s="415">
        <f t="shared" si="91"/>
        <v>676</v>
      </c>
      <c r="BB32" s="415">
        <f t="shared" si="91"/>
        <v>677</v>
      </c>
      <c r="BC32" s="415">
        <f t="shared" si="91"/>
        <v>678</v>
      </c>
      <c r="BD32" s="877">
        <f t="shared" si="91"/>
        <v>680</v>
      </c>
      <c r="BE32" s="226">
        <f>SUM(BF32:BQ32)</f>
        <v>8257.2906545454534</v>
      </c>
      <c r="BF32" s="397">
        <f>SUM(BF33:BF41)</f>
        <v>726.44085454545439</v>
      </c>
      <c r="BG32" s="415">
        <f t="shared" ref="BG32:BQ32" si="92">SUM(BG33:BG41)</f>
        <v>712.12762727272718</v>
      </c>
      <c r="BH32" s="415">
        <f t="shared" si="92"/>
        <v>713.91579999999999</v>
      </c>
      <c r="BI32" s="415">
        <f t="shared" si="92"/>
        <v>709.6974909090909</v>
      </c>
      <c r="BJ32" s="415">
        <f t="shared" si="92"/>
        <v>691.87135090909089</v>
      </c>
      <c r="BK32" s="415">
        <f t="shared" si="92"/>
        <v>681.27734909090907</v>
      </c>
      <c r="BL32" s="415">
        <f t="shared" si="92"/>
        <v>676.0591945454546</v>
      </c>
      <c r="BM32" s="415">
        <f t="shared" si="92"/>
        <v>659.66527909090905</v>
      </c>
      <c r="BN32" s="415">
        <f t="shared" si="92"/>
        <v>652.6316109090908</v>
      </c>
      <c r="BO32" s="415">
        <f t="shared" si="92"/>
        <v>745.53363909090911</v>
      </c>
      <c r="BP32" s="415">
        <f t="shared" si="92"/>
        <v>629.91596727272713</v>
      </c>
      <c r="BQ32" s="1738">
        <f t="shared" si="92"/>
        <v>658.15449090909067</v>
      </c>
      <c r="BR32" s="1111">
        <f>SUM(BS32:CD32)</f>
        <v>6893.8828082727277</v>
      </c>
      <c r="BS32" s="397">
        <v>585.69293190909093</v>
      </c>
      <c r="BT32" s="415">
        <v>630.86738090909091</v>
      </c>
      <c r="BU32" s="415">
        <v>649.37647727272724</v>
      </c>
      <c r="BV32" s="415">
        <v>577.26903545454547</v>
      </c>
      <c r="BW32" s="415">
        <v>567.20752818181813</v>
      </c>
      <c r="BX32" s="415">
        <v>555.49563636363632</v>
      </c>
      <c r="BY32" s="415">
        <v>555.49563636363632</v>
      </c>
      <c r="BZ32" s="415">
        <v>554.49563636363632</v>
      </c>
      <c r="CA32" s="415">
        <v>554.49563636363632</v>
      </c>
      <c r="CB32" s="415">
        <v>554.49563636363632</v>
      </c>
      <c r="CC32" s="415">
        <v>554.49563636363598</v>
      </c>
      <c r="CD32" s="1738">
        <v>554.49563636363632</v>
      </c>
      <c r="CE32" s="1111">
        <f>SUM(CF32:CQ32)</f>
        <v>6515.9476363636377</v>
      </c>
      <c r="CF32" s="964">
        <f t="shared" ref="CF32:CK32" si="93">SUM(CF33:CF41)</f>
        <v>548.49563636363632</v>
      </c>
      <c r="CG32" s="415">
        <f t="shared" si="93"/>
        <v>547.49563636363632</v>
      </c>
      <c r="CH32" s="415">
        <f t="shared" si="93"/>
        <v>546.49563636363632</v>
      </c>
      <c r="CI32" s="415">
        <f t="shared" si="93"/>
        <v>545.49563636363632</v>
      </c>
      <c r="CJ32" s="415">
        <f t="shared" si="93"/>
        <v>544.49563636363632</v>
      </c>
      <c r="CK32" s="415">
        <f t="shared" si="93"/>
        <v>543.49563636363632</v>
      </c>
      <c r="CL32" s="415">
        <f t="shared" ref="CL32:CQ32" si="94">SUM(CL33:CL41)</f>
        <v>542.49563636363632</v>
      </c>
      <c r="CM32" s="415">
        <f t="shared" si="94"/>
        <v>541.49563636363632</v>
      </c>
      <c r="CN32" s="415">
        <f t="shared" si="94"/>
        <v>540.49563636363632</v>
      </c>
      <c r="CO32" s="415">
        <f t="shared" si="94"/>
        <v>539.49563636363632</v>
      </c>
      <c r="CP32" s="415">
        <f t="shared" si="94"/>
        <v>538.49563636363632</v>
      </c>
      <c r="CQ32" s="1738">
        <f t="shared" si="94"/>
        <v>537.49563636363632</v>
      </c>
    </row>
    <row r="33" spans="2:95">
      <c r="B33" s="3313"/>
      <c r="C33" s="3314"/>
      <c r="D33" s="2" t="s">
        <v>296</v>
      </c>
      <c r="E33" s="23">
        <f>SUM(F33:Q33)</f>
        <v>2616.5789462727271</v>
      </c>
      <c r="F33" s="341">
        <v>117.79211818181824</v>
      </c>
      <c r="G33" s="341">
        <v>112.51935454545453</v>
      </c>
      <c r="H33" s="341">
        <v>109.7253818181818</v>
      </c>
      <c r="I33" s="341">
        <v>104.93804545454546</v>
      </c>
      <c r="J33" s="341">
        <v>269.30269090909087</v>
      </c>
      <c r="K33" s="341">
        <v>267.92788181818179</v>
      </c>
      <c r="L33" s="341">
        <v>265.7529909090909</v>
      </c>
      <c r="M33" s="341">
        <v>263.86677272727275</v>
      </c>
      <c r="N33" s="341">
        <v>264.97936363636364</v>
      </c>
      <c r="O33" s="341">
        <v>318.06421899999998</v>
      </c>
      <c r="P33" s="341">
        <v>261.15728181818179</v>
      </c>
      <c r="Q33" s="341">
        <v>260.55284545454543</v>
      </c>
      <c r="R33" s="23">
        <f>SUM(S33:AD33)</f>
        <v>3115.4243909090906</v>
      </c>
      <c r="S33" s="341">
        <v>259.76168272727273</v>
      </c>
      <c r="T33" s="341">
        <v>251.61542818181815</v>
      </c>
      <c r="U33" s="341">
        <v>264.59390909090905</v>
      </c>
      <c r="V33" s="341">
        <v>255.53151909090906</v>
      </c>
      <c r="W33" s="341">
        <v>253.89753727272725</v>
      </c>
      <c r="X33" s="341">
        <v>258.23285545454542</v>
      </c>
      <c r="Y33" s="341">
        <v>249.12140999999997</v>
      </c>
      <c r="Z33" s="341">
        <v>255.43860090909087</v>
      </c>
      <c r="AA33" s="739">
        <v>251.13900000000001</v>
      </c>
      <c r="AB33" s="341">
        <v>255.41980999999998</v>
      </c>
      <c r="AC33" s="341">
        <v>280.83631909090906</v>
      </c>
      <c r="AD33" s="341">
        <v>279.83631909090906</v>
      </c>
      <c r="AE33" s="1112">
        <f>SUM(AF33:AQ33)</f>
        <v>3235.6110818181814</v>
      </c>
      <c r="AF33" s="1125">
        <v>255.51682999999997</v>
      </c>
      <c r="AG33" s="1126">
        <v>256.5441009090909</v>
      </c>
      <c r="AH33" s="1126">
        <v>270.31844363636361</v>
      </c>
      <c r="AI33" s="1126">
        <v>257.96164454545453</v>
      </c>
      <c r="AJ33" s="1126">
        <v>263.23391727272724</v>
      </c>
      <c r="AK33" s="1126">
        <v>266.80270818181816</v>
      </c>
      <c r="AL33" s="1126">
        <v>268.03687363636362</v>
      </c>
      <c r="AM33" s="1126">
        <v>277.35335545454546</v>
      </c>
      <c r="AN33" s="1126">
        <v>277.8431645454545</v>
      </c>
      <c r="AO33" s="1126">
        <v>278.50721727272725</v>
      </c>
      <c r="AP33" s="1126">
        <v>282.24209818181816</v>
      </c>
      <c r="AQ33" s="1127">
        <v>281.2507281818182</v>
      </c>
      <c r="AR33" s="206">
        <f>SUM(AS33:BD33)</f>
        <v>3332.9765990909086</v>
      </c>
      <c r="AS33" s="1125">
        <v>281.82187363636365</v>
      </c>
      <c r="AT33" s="1126">
        <v>251.23743545454545</v>
      </c>
      <c r="AU33" s="1126">
        <v>316.48039454545449</v>
      </c>
      <c r="AV33" s="1126">
        <v>281.26761909090908</v>
      </c>
      <c r="AW33" s="1126">
        <v>274.05006454545452</v>
      </c>
      <c r="AX33" s="1126">
        <v>267.88302818181813</v>
      </c>
      <c r="AY33" s="1126">
        <v>274.61490090909086</v>
      </c>
      <c r="AZ33" s="1126">
        <v>277.62128272727267</v>
      </c>
      <c r="BA33" s="1126">
        <v>277</v>
      </c>
      <c r="BB33" s="1126">
        <v>277</v>
      </c>
      <c r="BC33" s="1126">
        <v>277</v>
      </c>
      <c r="BD33" s="1127">
        <v>277</v>
      </c>
      <c r="BE33" s="1119">
        <f>SUM(BF33:BQ33)</f>
        <v>3261.2639691243521</v>
      </c>
      <c r="BF33" s="1125">
        <v>277</v>
      </c>
      <c r="BG33" s="1126">
        <f>BF33-(BF33*1%)</f>
        <v>274.23</v>
      </c>
      <c r="BH33" s="1126">
        <f>BG33-(BG33*1%)</f>
        <v>271.48770000000002</v>
      </c>
      <c r="BI33" s="1126">
        <v>271.48770000000002</v>
      </c>
      <c r="BJ33" s="1126">
        <v>271.48770000000002</v>
      </c>
      <c r="BK33" s="1126">
        <v>270</v>
      </c>
      <c r="BL33" s="1126">
        <v>271</v>
      </c>
      <c r="BM33" s="1126">
        <v>272</v>
      </c>
      <c r="BN33" s="1126">
        <f t="shared" ref="BN33:BQ33" si="95">BM33-(BM33*0.2%)</f>
        <v>271.45600000000002</v>
      </c>
      <c r="BO33" s="1126">
        <f t="shared" si="95"/>
        <v>270.91308800000002</v>
      </c>
      <c r="BP33" s="1126">
        <f t="shared" si="95"/>
        <v>270.37126182400004</v>
      </c>
      <c r="BQ33" s="1956">
        <f t="shared" si="95"/>
        <v>269.83051930035202</v>
      </c>
      <c r="BR33" s="1112">
        <f>SUM(BS33:CD33)</f>
        <v>1366.1815619090914</v>
      </c>
      <c r="BS33" s="1125">
        <v>143.443685545455</v>
      </c>
      <c r="BT33" s="1126">
        <v>150.37174454545456</v>
      </c>
      <c r="BU33" s="1126">
        <v>168.88084090909089</v>
      </c>
      <c r="BV33" s="1126">
        <v>106.77339909090912</v>
      </c>
      <c r="BW33" s="1126">
        <v>106.71189181818178</v>
      </c>
      <c r="BX33" s="1126">
        <v>100</v>
      </c>
      <c r="BY33" s="1126">
        <v>100</v>
      </c>
      <c r="BZ33" s="1126">
        <v>98</v>
      </c>
      <c r="CA33" s="1126">
        <v>98</v>
      </c>
      <c r="CB33" s="1126">
        <v>98</v>
      </c>
      <c r="CC33" s="1126">
        <v>98</v>
      </c>
      <c r="CD33" s="1956">
        <v>98</v>
      </c>
      <c r="CE33" s="1112">
        <f>SUM(CF33:CQ33)</f>
        <v>1050</v>
      </c>
      <c r="CF33" s="957">
        <v>93</v>
      </c>
      <c r="CG33" s="879">
        <v>92</v>
      </c>
      <c r="CH33" s="879">
        <v>91</v>
      </c>
      <c r="CI33" s="879">
        <v>90</v>
      </c>
      <c r="CJ33" s="879">
        <v>89</v>
      </c>
      <c r="CK33" s="879">
        <v>88</v>
      </c>
      <c r="CL33" s="879">
        <v>87</v>
      </c>
      <c r="CM33" s="879">
        <v>86</v>
      </c>
      <c r="CN33" s="879">
        <v>85</v>
      </c>
      <c r="CO33" s="879">
        <v>84</v>
      </c>
      <c r="CP33" s="879">
        <v>83</v>
      </c>
      <c r="CQ33" s="1668">
        <v>82</v>
      </c>
    </row>
    <row r="34" spans="2:95">
      <c r="B34" s="3313"/>
      <c r="C34" s="3314"/>
      <c r="D34" s="2" t="s">
        <v>297</v>
      </c>
      <c r="E34" s="23">
        <f t="shared" ref="E34:E41" si="96">SUM(F34:Q34)</f>
        <v>2605.4087278727266</v>
      </c>
      <c r="F34" s="314">
        <v>205.22555999999952</v>
      </c>
      <c r="G34" s="314">
        <v>205.14469545454543</v>
      </c>
      <c r="H34" s="314">
        <v>209.56543181818179</v>
      </c>
      <c r="I34" s="314">
        <v>208.63759909090908</v>
      </c>
      <c r="J34" s="314">
        <v>213.26176454545453</v>
      </c>
      <c r="K34" s="314">
        <v>214.11181636363634</v>
      </c>
      <c r="L34" s="314">
        <v>215.78385999999998</v>
      </c>
      <c r="M34" s="314">
        <v>216.2833218181818</v>
      </c>
      <c r="N34" s="314">
        <v>215.29627818181817</v>
      </c>
      <c r="O34" s="314">
        <v>264.04471060000003</v>
      </c>
      <c r="P34" s="314">
        <v>218.0949627272727</v>
      </c>
      <c r="Q34" s="314">
        <v>219.95872727272726</v>
      </c>
      <c r="R34" s="23">
        <f t="shared" ref="R34:R41" si="97">SUM(S34:AD34)</f>
        <v>2855.3483690909088</v>
      </c>
      <c r="S34" s="314">
        <v>219.18667272727271</v>
      </c>
      <c r="T34" s="314">
        <v>210.51988363636363</v>
      </c>
      <c r="U34" s="314">
        <v>227.73018181818182</v>
      </c>
      <c r="V34" s="314">
        <v>219.51658090909086</v>
      </c>
      <c r="W34" s="314">
        <v>219.19057545454544</v>
      </c>
      <c r="X34" s="314">
        <v>228.00106181818182</v>
      </c>
      <c r="Y34" s="314">
        <v>230.10412909090905</v>
      </c>
      <c r="Z34" s="314">
        <v>238.69391818181816</v>
      </c>
      <c r="AA34" s="740">
        <v>237.31200000000001</v>
      </c>
      <c r="AB34" s="314">
        <v>254.98560181818178</v>
      </c>
      <c r="AC34" s="314">
        <v>349.83882727272726</v>
      </c>
      <c r="AD34" s="314">
        <v>220.26893636363636</v>
      </c>
      <c r="AE34" s="1112">
        <f t="shared" ref="AE34:AE41" si="98">SUM(AF34:AQ34)</f>
        <v>3494.3470799999996</v>
      </c>
      <c r="AF34" s="1125">
        <v>264.7002118181818</v>
      </c>
      <c r="AG34" s="1126">
        <v>272.50442090909087</v>
      </c>
      <c r="AH34" s="1126">
        <v>290.90903636363629</v>
      </c>
      <c r="AI34" s="1126">
        <v>276.83935000000002</v>
      </c>
      <c r="AJ34" s="1126">
        <v>283.72051636363631</v>
      </c>
      <c r="AK34" s="1126">
        <v>287.63967000000002</v>
      </c>
      <c r="AL34" s="1126">
        <v>289.07035181818179</v>
      </c>
      <c r="AM34" s="1126">
        <v>299.77431999999999</v>
      </c>
      <c r="AN34" s="1126">
        <v>296.87224545454546</v>
      </c>
      <c r="AO34" s="1126">
        <v>305.08685090909086</v>
      </c>
      <c r="AP34" s="1126">
        <v>312.31312090909086</v>
      </c>
      <c r="AQ34" s="1127">
        <v>314.91698545454545</v>
      </c>
      <c r="AR34" s="206">
        <f t="shared" ref="AR34:AR41" si="99">SUM(AS34:BD34)</f>
        <v>4068.7851336363633</v>
      </c>
      <c r="AS34" s="1125">
        <v>318.59267272727271</v>
      </c>
      <c r="AT34" s="1126">
        <v>286.75161000000003</v>
      </c>
      <c r="AU34" s="1126">
        <v>362.51449272727268</v>
      </c>
      <c r="AV34" s="1126">
        <v>329.70710636363634</v>
      </c>
      <c r="AW34" s="1126">
        <v>339.11078090909086</v>
      </c>
      <c r="AX34" s="1126">
        <v>344.90949727272726</v>
      </c>
      <c r="AY34" s="1126">
        <v>347.30222545454546</v>
      </c>
      <c r="AZ34" s="1126">
        <v>352.89674818181811</v>
      </c>
      <c r="BA34" s="1126">
        <v>345</v>
      </c>
      <c r="BB34" s="1126">
        <v>346</v>
      </c>
      <c r="BC34" s="1126">
        <v>347</v>
      </c>
      <c r="BD34" s="1127">
        <v>349</v>
      </c>
      <c r="BE34" s="1119">
        <f t="shared" ref="BE34:BE41" si="100">SUM(BF34:BQ34)</f>
        <v>4350.9782175723967</v>
      </c>
      <c r="BF34" s="1125">
        <v>395.44085454545439</v>
      </c>
      <c r="BG34" s="1126">
        <v>384.32962727272718</v>
      </c>
      <c r="BH34" s="1126">
        <v>389.28864399999998</v>
      </c>
      <c r="BI34" s="1126">
        <v>385.49545055709086</v>
      </c>
      <c r="BJ34" s="1126">
        <v>367.09102527990689</v>
      </c>
      <c r="BK34" s="1126">
        <v>359.40306446675856</v>
      </c>
      <c r="BL34" s="1126">
        <v>352.59990419829728</v>
      </c>
      <c r="BM34" s="1126">
        <v>335.61766306652896</v>
      </c>
      <c r="BN34" s="1126">
        <v>328.53637581290576</v>
      </c>
      <c r="BO34" s="1126">
        <v>359.14261351185706</v>
      </c>
      <c r="BP34" s="1126">
        <v>359.14261351185706</v>
      </c>
      <c r="BQ34" s="1956">
        <f>329+5.89038134901205</f>
        <v>334.89038134901205</v>
      </c>
      <c r="BR34" s="1112">
        <f t="shared" ref="BR34:BR41" si="101">SUM(BS34:CD34)</f>
        <v>3780.7536099999998</v>
      </c>
      <c r="BS34" s="1125">
        <v>278.75360999999998</v>
      </c>
      <c r="BT34" s="1126">
        <v>337</v>
      </c>
      <c r="BU34" s="1126">
        <v>337</v>
      </c>
      <c r="BV34" s="1126">
        <v>327</v>
      </c>
      <c r="BW34" s="1126">
        <v>317</v>
      </c>
      <c r="BX34" s="1126">
        <v>312</v>
      </c>
      <c r="BY34" s="1126">
        <v>312</v>
      </c>
      <c r="BZ34" s="1126">
        <v>312</v>
      </c>
      <c r="CA34" s="1126">
        <v>312</v>
      </c>
      <c r="CB34" s="1126">
        <v>312</v>
      </c>
      <c r="CC34" s="1126">
        <v>312</v>
      </c>
      <c r="CD34" s="1956">
        <v>312</v>
      </c>
      <c r="CE34" s="1112">
        <f t="shared" ref="CE34:CE39" si="102">SUM(CF34:CQ34)</f>
        <v>3744</v>
      </c>
      <c r="CF34" s="957">
        <v>312</v>
      </c>
      <c r="CG34" s="879">
        <v>312</v>
      </c>
      <c r="CH34" s="879">
        <v>312</v>
      </c>
      <c r="CI34" s="879">
        <v>312</v>
      </c>
      <c r="CJ34" s="879">
        <v>312</v>
      </c>
      <c r="CK34" s="879">
        <v>312</v>
      </c>
      <c r="CL34" s="879">
        <v>312</v>
      </c>
      <c r="CM34" s="879">
        <v>312</v>
      </c>
      <c r="CN34" s="879">
        <v>312</v>
      </c>
      <c r="CO34" s="879">
        <v>312</v>
      </c>
      <c r="CP34" s="879">
        <v>312</v>
      </c>
      <c r="CQ34" s="1668">
        <v>312</v>
      </c>
    </row>
    <row r="35" spans="2:95">
      <c r="B35" s="3313"/>
      <c r="C35" s="3314"/>
      <c r="D35" s="2" t="s">
        <v>575</v>
      </c>
      <c r="E35" s="23">
        <f t="shared" si="96"/>
        <v>0</v>
      </c>
      <c r="F35" s="314"/>
      <c r="G35" s="314"/>
      <c r="H35" s="314"/>
      <c r="I35" s="314"/>
      <c r="J35" s="314"/>
      <c r="K35" s="314"/>
      <c r="L35" s="314"/>
      <c r="M35" s="314"/>
      <c r="N35" s="314"/>
      <c r="O35" s="314"/>
      <c r="P35" s="314"/>
      <c r="Q35" s="314"/>
      <c r="R35" s="23">
        <f t="shared" si="97"/>
        <v>0</v>
      </c>
      <c r="S35" s="314"/>
      <c r="T35" s="314"/>
      <c r="U35" s="314"/>
      <c r="V35" s="314"/>
      <c r="W35" s="314"/>
      <c r="X35" s="314"/>
      <c r="Y35" s="314"/>
      <c r="Z35" s="314"/>
      <c r="AA35" s="740"/>
      <c r="AB35" s="314"/>
      <c r="AC35" s="314"/>
      <c r="AD35" s="314"/>
      <c r="AE35" s="1112">
        <f t="shared" si="98"/>
        <v>0</v>
      </c>
      <c r="AF35" s="1125"/>
      <c r="AG35" s="1126"/>
      <c r="AH35" s="1126"/>
      <c r="AI35" s="1126"/>
      <c r="AJ35" s="1126"/>
      <c r="AK35" s="1126"/>
      <c r="AL35" s="1126"/>
      <c r="AM35" s="1126"/>
      <c r="AN35" s="1126"/>
      <c r="AO35" s="1126"/>
      <c r="AP35" s="1126"/>
      <c r="AQ35" s="1127"/>
      <c r="AR35" s="206">
        <f t="shared" si="99"/>
        <v>0</v>
      </c>
      <c r="AS35" s="1125"/>
      <c r="AT35" s="1126"/>
      <c r="AU35" s="1126"/>
      <c r="AV35" s="1126"/>
      <c r="AW35" s="1126"/>
      <c r="AX35" s="1126"/>
      <c r="AY35" s="1126"/>
      <c r="AZ35" s="1126"/>
      <c r="BA35" s="1126"/>
      <c r="BB35" s="1126"/>
      <c r="BC35" s="1126"/>
      <c r="BD35" s="1127"/>
      <c r="BE35" s="1119">
        <f t="shared" si="100"/>
        <v>0</v>
      </c>
      <c r="BF35" s="1125"/>
      <c r="BG35" s="1126"/>
      <c r="BH35" s="1126"/>
      <c r="BI35" s="1126"/>
      <c r="BJ35" s="1126"/>
      <c r="BK35" s="1126"/>
      <c r="BL35" s="1126"/>
      <c r="BM35" s="1126"/>
      <c r="BN35" s="1126"/>
      <c r="BO35" s="1126"/>
      <c r="BP35" s="1126"/>
      <c r="BQ35" s="1956"/>
      <c r="BR35" s="1112">
        <f t="shared" si="101"/>
        <v>936</v>
      </c>
      <c r="BS35" s="1125">
        <v>78</v>
      </c>
      <c r="BT35" s="1126">
        <v>78</v>
      </c>
      <c r="BU35" s="1126">
        <v>78</v>
      </c>
      <c r="BV35" s="1126">
        <v>78</v>
      </c>
      <c r="BW35" s="1126">
        <v>78</v>
      </c>
      <c r="BX35" s="1126">
        <v>78</v>
      </c>
      <c r="BY35" s="1126">
        <v>78</v>
      </c>
      <c r="BZ35" s="1126">
        <v>78</v>
      </c>
      <c r="CA35" s="1126">
        <v>78</v>
      </c>
      <c r="CB35" s="1126">
        <v>78</v>
      </c>
      <c r="CC35" s="1126">
        <v>78</v>
      </c>
      <c r="CD35" s="1956">
        <v>78</v>
      </c>
      <c r="CE35" s="1112">
        <f t="shared" si="102"/>
        <v>936</v>
      </c>
      <c r="CF35" s="957">
        <v>78</v>
      </c>
      <c r="CG35" s="879">
        <v>78</v>
      </c>
      <c r="CH35" s="879">
        <v>78</v>
      </c>
      <c r="CI35" s="879">
        <v>78</v>
      </c>
      <c r="CJ35" s="879">
        <v>78</v>
      </c>
      <c r="CK35" s="879">
        <v>78</v>
      </c>
      <c r="CL35" s="879">
        <v>78</v>
      </c>
      <c r="CM35" s="879">
        <v>78</v>
      </c>
      <c r="CN35" s="879">
        <v>78</v>
      </c>
      <c r="CO35" s="879">
        <v>78</v>
      </c>
      <c r="CP35" s="879">
        <v>78</v>
      </c>
      <c r="CQ35" s="1668">
        <v>78</v>
      </c>
    </row>
    <row r="36" spans="2:95" hidden="1">
      <c r="B36" s="3313"/>
      <c r="C36" s="3314"/>
      <c r="D36" s="2" t="s">
        <v>298</v>
      </c>
      <c r="E36" s="23">
        <f t="shared" si="96"/>
        <v>577.91934000000003</v>
      </c>
      <c r="F36" s="314">
        <v>58.916972727272721</v>
      </c>
      <c r="G36" s="314">
        <v>56.404309090909081</v>
      </c>
      <c r="H36" s="314">
        <v>54.771899999999995</v>
      </c>
      <c r="I36" s="314">
        <v>52.534245454545456</v>
      </c>
      <c r="J36" s="314">
        <v>50.368236363636356</v>
      </c>
      <c r="K36" s="314">
        <v>48.315690909090904</v>
      </c>
      <c r="L36" s="314">
        <v>46.388509090909089</v>
      </c>
      <c r="M36" s="314">
        <v>43.88338181818181</v>
      </c>
      <c r="N36" s="314">
        <v>42.475336363636359</v>
      </c>
      <c r="O36" s="314">
        <v>48.84264000000001</v>
      </c>
      <c r="P36" s="314">
        <v>38.444345454545456</v>
      </c>
      <c r="Q36" s="314">
        <v>36.573772727272726</v>
      </c>
      <c r="R36" s="23">
        <f t="shared" si="97"/>
        <v>364.58545472727269</v>
      </c>
      <c r="S36" s="314">
        <v>34.653418181818182</v>
      </c>
      <c r="T36" s="314">
        <v>33.300236363636358</v>
      </c>
      <c r="U36" s="314">
        <v>34.66693636363636</v>
      </c>
      <c r="V36" s="314">
        <v>33.222190909090905</v>
      </c>
      <c r="W36" s="314">
        <v>33.009690909090907</v>
      </c>
      <c r="X36" s="314">
        <v>31.926218181818179</v>
      </c>
      <c r="Y36" s="314">
        <v>30.57361818181818</v>
      </c>
      <c r="Z36" s="314">
        <v>29.424899999999997</v>
      </c>
      <c r="AA36" s="740">
        <v>27.757581999999999</v>
      </c>
      <c r="AB36" s="314">
        <v>25.959336363636364</v>
      </c>
      <c r="AC36" s="314">
        <v>26.045663636363631</v>
      </c>
      <c r="AD36" s="314">
        <v>24.045663636363631</v>
      </c>
      <c r="AE36" s="1112">
        <f t="shared" si="98"/>
        <v>134.52611545454545</v>
      </c>
      <c r="AF36" s="1125">
        <v>21.091736363636365</v>
      </c>
      <c r="AG36" s="1126">
        <v>19.45882727272727</v>
      </c>
      <c r="AH36" s="1126">
        <v>18.829679090909089</v>
      </c>
      <c r="AI36" s="1126">
        <v>15.097563636363635</v>
      </c>
      <c r="AJ36" s="1126">
        <v>13.455281818181817</v>
      </c>
      <c r="AK36" s="1126">
        <v>11.483927272727271</v>
      </c>
      <c r="AL36" s="1126">
        <v>10.158881818181801</v>
      </c>
      <c r="AM36" s="1126">
        <v>8.3745909090909088</v>
      </c>
      <c r="AN36" s="1126">
        <v>6.7305272727272722</v>
      </c>
      <c r="AO36" s="1126">
        <v>5.0068090909090905</v>
      </c>
      <c r="AP36" s="1126">
        <v>3.3566818181818179</v>
      </c>
      <c r="AQ36" s="1127">
        <v>1.4816090909090909</v>
      </c>
      <c r="AR36" s="206">
        <f t="shared" si="99"/>
        <v>2.4155363636363631</v>
      </c>
      <c r="AS36" s="1125">
        <v>2.5727272727272725E-3</v>
      </c>
      <c r="AT36" s="1126">
        <v>2.5000000000000001E-3</v>
      </c>
      <c r="AU36" s="1126">
        <v>2.4363636363636362E-3</v>
      </c>
      <c r="AV36" s="1126">
        <v>1.3636363636363634E-4</v>
      </c>
      <c r="AW36" s="1126">
        <v>0.71710909090909081</v>
      </c>
      <c r="AX36" s="1126">
        <v>0.78259999999999985</v>
      </c>
      <c r="AY36" s="1126">
        <v>0.90818181818181809</v>
      </c>
      <c r="AZ36" s="1126">
        <v>0</v>
      </c>
      <c r="BA36" s="1126">
        <v>0</v>
      </c>
      <c r="BB36" s="1126">
        <v>0</v>
      </c>
      <c r="BC36" s="1126">
        <v>0</v>
      </c>
      <c r="BD36" s="1127">
        <v>0</v>
      </c>
      <c r="BE36" s="1119">
        <f t="shared" si="100"/>
        <v>0</v>
      </c>
      <c r="BF36" s="1125">
        <v>0</v>
      </c>
      <c r="BG36" s="1126">
        <v>0</v>
      </c>
      <c r="BH36" s="1126">
        <v>0</v>
      </c>
      <c r="BI36" s="1126">
        <v>0</v>
      </c>
      <c r="BJ36" s="1126">
        <v>0</v>
      </c>
      <c r="BK36" s="1126">
        <v>0</v>
      </c>
      <c r="BL36" s="1126">
        <v>0</v>
      </c>
      <c r="BM36" s="1126">
        <v>0</v>
      </c>
      <c r="BN36" s="1126">
        <v>0</v>
      </c>
      <c r="BO36" s="1126">
        <v>0</v>
      </c>
      <c r="BP36" s="1126">
        <v>0</v>
      </c>
      <c r="BQ36" s="1956"/>
      <c r="BR36" s="1112">
        <f t="shared" si="101"/>
        <v>0</v>
      </c>
      <c r="BS36" s="1125"/>
      <c r="BT36" s="1126"/>
      <c r="BU36" s="1126"/>
      <c r="BV36" s="1126"/>
      <c r="BW36" s="1126"/>
      <c r="BX36" s="1126"/>
      <c r="BY36" s="1126"/>
      <c r="BZ36" s="1126"/>
      <c r="CA36" s="1126"/>
      <c r="CB36" s="1126"/>
      <c r="CC36" s="1126"/>
      <c r="CD36" s="1956"/>
      <c r="CE36" s="1112">
        <f t="shared" si="102"/>
        <v>0</v>
      </c>
      <c r="CF36" s="957"/>
      <c r="CG36" s="879"/>
      <c r="CH36" s="879"/>
      <c r="CI36" s="879"/>
      <c r="CJ36" s="879"/>
      <c r="CK36" s="879"/>
      <c r="CL36" s="879"/>
      <c r="CM36" s="879"/>
      <c r="CN36" s="879"/>
      <c r="CO36" s="879"/>
      <c r="CP36" s="879"/>
      <c r="CQ36" s="1668"/>
    </row>
    <row r="37" spans="2:95" hidden="1">
      <c r="B37" s="3313"/>
      <c r="C37" s="3314"/>
      <c r="D37" s="143" t="s">
        <v>335</v>
      </c>
      <c r="E37" s="22">
        <f t="shared" si="96"/>
        <v>13.717718545454545</v>
      </c>
      <c r="F37" s="315">
        <v>3.8336363636363634E-2</v>
      </c>
      <c r="G37" s="315">
        <v>3.8163636363636365E-2</v>
      </c>
      <c r="H37" s="315">
        <v>4.0354545454545449E-2</v>
      </c>
      <c r="I37" s="315">
        <v>3.9663636363636359E-2</v>
      </c>
      <c r="J37" s="315">
        <v>3.9581818181818176E-2</v>
      </c>
      <c r="K37" s="315">
        <v>3.8172727272727275E-2</v>
      </c>
      <c r="L37" s="315">
        <v>7.3494909090909086</v>
      </c>
      <c r="M37" s="315">
        <v>4.0581818181818177E-2</v>
      </c>
      <c r="N37" s="315">
        <v>3.778181818181818E-2</v>
      </c>
      <c r="O37" s="315">
        <v>4.5364000000000008E-2</v>
      </c>
      <c r="P37" s="315">
        <v>3.8681818181818178E-2</v>
      </c>
      <c r="Q37" s="315">
        <v>5.9715454545454545</v>
      </c>
      <c r="R37" s="22">
        <f t="shared" si="97"/>
        <v>60.107036000000001</v>
      </c>
      <c r="S37" s="315">
        <v>5.7718181818181815</v>
      </c>
      <c r="T37" s="315">
        <v>5.5945181818181817</v>
      </c>
      <c r="U37" s="315">
        <v>5.9333818181818172</v>
      </c>
      <c r="V37" s="315">
        <v>5.4893454545454539</v>
      </c>
      <c r="W37" s="315">
        <v>5.3445909090909085</v>
      </c>
      <c r="X37" s="315">
        <v>5.0655636363636356</v>
      </c>
      <c r="Y37" s="315">
        <v>4.8023090909090911</v>
      </c>
      <c r="Z37" s="315">
        <v>4.7580999999999998</v>
      </c>
      <c r="AA37" s="2282">
        <v>4.0943360000000002</v>
      </c>
      <c r="AB37" s="315">
        <v>3.6640636363636361</v>
      </c>
      <c r="AC37" s="315">
        <v>3.6174636363636363</v>
      </c>
      <c r="AD37" s="461">
        <v>5.9715454545454545</v>
      </c>
      <c r="AE37" s="1113">
        <f t="shared" si="98"/>
        <v>18.218409999999995</v>
      </c>
      <c r="AF37" s="1128">
        <v>3.1635181818181817</v>
      </c>
      <c r="AG37" s="1129">
        <v>3.1119909090909088</v>
      </c>
      <c r="AH37" s="1129">
        <v>3.0269372727272725</v>
      </c>
      <c r="AI37" s="1129">
        <v>2.1537818181818178</v>
      </c>
      <c r="AJ37" s="1129">
        <v>1.8897545454545455</v>
      </c>
      <c r="AK37" s="1129">
        <v>1.7446545454545455</v>
      </c>
      <c r="AL37" s="1129">
        <v>1.1653454545454545</v>
      </c>
      <c r="AM37" s="1129">
        <v>1.1174909090909089</v>
      </c>
      <c r="AN37" s="1129">
        <v>0.73138181818181813</v>
      </c>
      <c r="AO37" s="1129">
        <v>0.11355454545454544</v>
      </c>
      <c r="AP37" s="1129"/>
      <c r="AQ37" s="1130"/>
      <c r="AR37" s="207">
        <f t="shared" si="99"/>
        <v>1.4241036363636361</v>
      </c>
      <c r="AS37" s="1128">
        <v>0.16353636363636362</v>
      </c>
      <c r="AT37" s="1129">
        <v>0.20806363636363634</v>
      </c>
      <c r="AU37" s="1129">
        <v>0.47482181818181812</v>
      </c>
      <c r="AV37" s="1129">
        <v>0.57768181818181807</v>
      </c>
      <c r="AW37" s="1129">
        <v>0</v>
      </c>
      <c r="AX37" s="1129">
        <v>0</v>
      </c>
      <c r="AY37" s="1129">
        <v>0</v>
      </c>
      <c r="AZ37" s="1129">
        <v>0</v>
      </c>
      <c r="BA37" s="1129">
        <v>0</v>
      </c>
      <c r="BB37" s="1129">
        <v>0</v>
      </c>
      <c r="BC37" s="1129">
        <v>0</v>
      </c>
      <c r="BD37" s="1130">
        <v>0</v>
      </c>
      <c r="BE37" s="1120">
        <f t="shared" si="100"/>
        <v>0</v>
      </c>
      <c r="BF37" s="1128">
        <v>0</v>
      </c>
      <c r="BG37" s="1129">
        <v>0</v>
      </c>
      <c r="BH37" s="1129">
        <v>0</v>
      </c>
      <c r="BI37" s="1129">
        <v>0</v>
      </c>
      <c r="BJ37" s="1129">
        <v>0</v>
      </c>
      <c r="BK37" s="1129">
        <v>0</v>
      </c>
      <c r="BL37" s="1129">
        <v>0</v>
      </c>
      <c r="BM37" s="1129">
        <v>0</v>
      </c>
      <c r="BN37" s="1129">
        <v>0</v>
      </c>
      <c r="BO37" s="1129">
        <v>0</v>
      </c>
      <c r="BP37" s="1129">
        <v>0</v>
      </c>
      <c r="BQ37" s="2283"/>
      <c r="BR37" s="1113">
        <f t="shared" si="101"/>
        <v>0</v>
      </c>
      <c r="BS37" s="1128"/>
      <c r="BT37" s="1129"/>
      <c r="BU37" s="1129"/>
      <c r="BV37" s="1129"/>
      <c r="BW37" s="1129"/>
      <c r="BX37" s="1129"/>
      <c r="BY37" s="1129"/>
      <c r="BZ37" s="1129"/>
      <c r="CA37" s="1129"/>
      <c r="CB37" s="1129"/>
      <c r="CC37" s="1129"/>
      <c r="CD37" s="2283"/>
      <c r="CE37" s="1113">
        <f t="shared" si="102"/>
        <v>0</v>
      </c>
      <c r="CF37" s="1881"/>
      <c r="CG37" s="1879"/>
      <c r="CH37" s="1879"/>
      <c r="CI37" s="1879"/>
      <c r="CJ37" s="1879"/>
      <c r="CK37" s="1879"/>
      <c r="CL37" s="1879"/>
      <c r="CM37" s="1879"/>
      <c r="CN37" s="1879"/>
      <c r="CO37" s="1879"/>
      <c r="CP37" s="1879"/>
      <c r="CQ37" s="1739"/>
    </row>
    <row r="38" spans="2:95">
      <c r="B38" s="3313"/>
      <c r="C38" s="3314"/>
      <c r="D38" s="144" t="s">
        <v>577</v>
      </c>
      <c r="E38" s="23">
        <f t="shared" si="96"/>
        <v>298.00356872727269</v>
      </c>
      <c r="F38" s="314">
        <v>22.008400000000002</v>
      </c>
      <c r="G38" s="314">
        <v>22.452527272727274</v>
      </c>
      <c r="H38" s="314">
        <v>23.400054545454545</v>
      </c>
      <c r="I38" s="314">
        <v>24.300499999999996</v>
      </c>
      <c r="J38" s="314">
        <v>24.867445454545454</v>
      </c>
      <c r="K38" s="314">
        <v>25.005299999999995</v>
      </c>
      <c r="L38" s="314">
        <v>18.139154545454542</v>
      </c>
      <c r="M38" s="314">
        <v>26.36402727272727</v>
      </c>
      <c r="N38" s="314">
        <v>27.064372727272726</v>
      </c>
      <c r="O38" s="314">
        <v>33.057596000000004</v>
      </c>
      <c r="P38" s="314">
        <v>28.157172727272723</v>
      </c>
      <c r="Q38" s="314">
        <v>23.187018181818178</v>
      </c>
      <c r="R38" s="23">
        <f t="shared" si="97"/>
        <v>350.30718181818179</v>
      </c>
      <c r="S38" s="314">
        <v>23.75142727272727</v>
      </c>
      <c r="T38" s="314">
        <v>23.985672727272728</v>
      </c>
      <c r="U38" s="314">
        <v>26.174736363636363</v>
      </c>
      <c r="V38" s="314">
        <v>26.242799999999995</v>
      </c>
      <c r="W38" s="314">
        <v>26.872572727272726</v>
      </c>
      <c r="X38" s="314">
        <v>29.072663636363632</v>
      </c>
      <c r="Y38" s="314">
        <v>31.067536363636361</v>
      </c>
      <c r="Z38" s="314">
        <v>32.643263636363635</v>
      </c>
      <c r="AA38" s="740">
        <v>33.800400000000003</v>
      </c>
      <c r="AB38" s="314">
        <v>35.558081818181812</v>
      </c>
      <c r="AC38" s="314">
        <v>37.951009090909089</v>
      </c>
      <c r="AD38" s="314">
        <v>23.187018181818178</v>
      </c>
      <c r="AE38" s="1112">
        <f t="shared" si="98"/>
        <v>557.65735090909095</v>
      </c>
      <c r="AF38" s="1125">
        <v>39.81318181818181</v>
      </c>
      <c r="AG38" s="1126">
        <v>41.530209090909089</v>
      </c>
      <c r="AH38" s="1126">
        <v>44.38682</v>
      </c>
      <c r="AI38" s="1126">
        <v>43.454163636363631</v>
      </c>
      <c r="AJ38" s="1126">
        <v>44.686945454545452</v>
      </c>
      <c r="AK38" s="1126">
        <v>46.51939999999999</v>
      </c>
      <c r="AL38" s="1126">
        <v>47.048872727272723</v>
      </c>
      <c r="AM38" s="1126">
        <v>48.41599999999999</v>
      </c>
      <c r="AN38" s="1126">
        <v>48.805445454545456</v>
      </c>
      <c r="AO38" s="1126">
        <v>49.409772727272724</v>
      </c>
      <c r="AP38" s="1126">
        <v>51.041785454545455</v>
      </c>
      <c r="AQ38" s="1127">
        <v>52.544754545454538</v>
      </c>
      <c r="AR38" s="206">
        <f t="shared" si="99"/>
        <v>642.56040363636362</v>
      </c>
      <c r="AS38" s="1125">
        <v>53.399118181818181</v>
      </c>
      <c r="AT38" s="1126">
        <v>53.667690909090908</v>
      </c>
      <c r="AU38" s="1126">
        <v>53.351167272727267</v>
      </c>
      <c r="AV38" s="1126">
        <v>52.586709090909089</v>
      </c>
      <c r="AW38" s="1126">
        <v>53.372299999999996</v>
      </c>
      <c r="AX38" s="1126">
        <v>53.315936363636361</v>
      </c>
      <c r="AY38" s="1126">
        <v>52.939936363636356</v>
      </c>
      <c r="AZ38" s="1126">
        <v>53.927545454545452</v>
      </c>
      <c r="BA38" s="1126">
        <v>54</v>
      </c>
      <c r="BB38" s="1126">
        <v>54</v>
      </c>
      <c r="BC38" s="1126">
        <v>54</v>
      </c>
      <c r="BD38" s="1127">
        <v>54</v>
      </c>
      <c r="BE38" s="1119">
        <f t="shared" si="100"/>
        <v>620.23480779389126</v>
      </c>
      <c r="BF38" s="1125">
        <v>54</v>
      </c>
      <c r="BG38" s="1126">
        <f t="shared" ref="BG38:BQ38" si="103">BF38-(BF38*0.8%)</f>
        <v>53.567999999999998</v>
      </c>
      <c r="BH38" s="1126">
        <f t="shared" si="103"/>
        <v>53.139455999999996</v>
      </c>
      <c r="BI38" s="1126">
        <f t="shared" si="103"/>
        <v>52.714340351999994</v>
      </c>
      <c r="BJ38" s="1126">
        <f t="shared" si="103"/>
        <v>52.292625629183995</v>
      </c>
      <c r="BK38" s="1126">
        <f t="shared" si="103"/>
        <v>51.874284624150526</v>
      </c>
      <c r="BL38" s="1126">
        <f t="shared" si="103"/>
        <v>51.459290347157321</v>
      </c>
      <c r="BM38" s="1126">
        <f t="shared" si="103"/>
        <v>51.047616024380062</v>
      </c>
      <c r="BN38" s="1126">
        <f t="shared" si="103"/>
        <v>50.639235096185018</v>
      </c>
      <c r="BO38" s="1126">
        <f t="shared" si="103"/>
        <v>50.234121215415541</v>
      </c>
      <c r="BP38" s="1126">
        <f t="shared" si="103"/>
        <v>49.83224824569222</v>
      </c>
      <c r="BQ38" s="1956">
        <f t="shared" si="103"/>
        <v>49.433590259726685</v>
      </c>
      <c r="BR38" s="1112">
        <f t="shared" si="101"/>
        <v>379.99999999999966</v>
      </c>
      <c r="BS38" s="1125">
        <v>49.999999999999623</v>
      </c>
      <c r="BT38" s="1126">
        <v>30</v>
      </c>
      <c r="BU38" s="1126">
        <v>30</v>
      </c>
      <c r="BV38" s="1126">
        <v>30</v>
      </c>
      <c r="BW38" s="1126">
        <v>30</v>
      </c>
      <c r="BX38" s="1126">
        <v>30</v>
      </c>
      <c r="BY38" s="1126">
        <v>30</v>
      </c>
      <c r="BZ38" s="1126">
        <v>30</v>
      </c>
      <c r="CA38" s="1126">
        <v>30</v>
      </c>
      <c r="CB38" s="1126">
        <v>30</v>
      </c>
      <c r="CC38" s="1126">
        <v>30</v>
      </c>
      <c r="CD38" s="1956">
        <v>30</v>
      </c>
      <c r="CE38" s="1112">
        <f t="shared" si="102"/>
        <v>360</v>
      </c>
      <c r="CF38" s="957">
        <v>30</v>
      </c>
      <c r="CG38" s="879">
        <v>30</v>
      </c>
      <c r="CH38" s="879">
        <v>30</v>
      </c>
      <c r="CI38" s="879">
        <v>30</v>
      </c>
      <c r="CJ38" s="879">
        <v>30</v>
      </c>
      <c r="CK38" s="879">
        <v>30</v>
      </c>
      <c r="CL38" s="879">
        <v>30</v>
      </c>
      <c r="CM38" s="879">
        <v>30</v>
      </c>
      <c r="CN38" s="879">
        <v>30</v>
      </c>
      <c r="CO38" s="879">
        <v>30</v>
      </c>
      <c r="CP38" s="879">
        <v>30</v>
      </c>
      <c r="CQ38" s="1668">
        <v>30</v>
      </c>
    </row>
    <row r="39" spans="2:95" hidden="1">
      <c r="B39" s="3313"/>
      <c r="C39" s="3314"/>
      <c r="D39" s="144" t="s">
        <v>299</v>
      </c>
      <c r="E39" s="23">
        <f t="shared" si="96"/>
        <v>3.9026999999999992E-2</v>
      </c>
      <c r="F39" s="314">
        <v>3.0454545454545452E-3</v>
      </c>
      <c r="G39" s="314">
        <v>3.0454545454545452E-3</v>
      </c>
      <c r="H39" s="314">
        <v>3.0454545454545452E-3</v>
      </c>
      <c r="I39" s="314">
        <v>3.2454545454545449E-3</v>
      </c>
      <c r="J39" s="314">
        <v>3.2454545454545449E-3</v>
      </c>
      <c r="K39" s="314">
        <v>3.2454545454545449E-3</v>
      </c>
      <c r="L39" s="314">
        <v>3.2454545454545449E-3</v>
      </c>
      <c r="M39" s="314">
        <v>3.2454545454545449E-3</v>
      </c>
      <c r="N39" s="314">
        <v>3.2454545454545449E-3</v>
      </c>
      <c r="O39" s="314">
        <v>3.9270000000000008E-3</v>
      </c>
      <c r="P39" s="314">
        <v>3.2454545454545449E-3</v>
      </c>
      <c r="Q39" s="314">
        <v>3.2454545454545449E-3</v>
      </c>
      <c r="R39" s="23">
        <f t="shared" si="97"/>
        <v>4.0544999999999991E-2</v>
      </c>
      <c r="S39" s="314">
        <v>3.2454545454545449E-3</v>
      </c>
      <c r="T39" s="314">
        <v>3.2454545454545449E-3</v>
      </c>
      <c r="U39" s="314">
        <v>3.2454545454545449E-3</v>
      </c>
      <c r="V39" s="314">
        <v>3.445454545454545E-3</v>
      </c>
      <c r="W39" s="314">
        <v>3.445454545454545E-3</v>
      </c>
      <c r="X39" s="314">
        <v>3.445454545454545E-3</v>
      </c>
      <c r="Y39" s="314">
        <v>3.445454545454545E-3</v>
      </c>
      <c r="Z39" s="314">
        <v>3.445454545454545E-3</v>
      </c>
      <c r="AA39" s="740">
        <v>3.4450000000000001E-3</v>
      </c>
      <c r="AB39" s="314">
        <v>3.445454545454545E-3</v>
      </c>
      <c r="AC39" s="314">
        <v>3.445454545454545E-3</v>
      </c>
      <c r="AD39" s="396">
        <v>3.2454545454545449E-3</v>
      </c>
      <c r="AE39" s="1112">
        <f t="shared" si="98"/>
        <v>2.4769090909090904E-2</v>
      </c>
      <c r="AF39" s="1125">
        <v>3.445454545454545E-3</v>
      </c>
      <c r="AG39" s="1126">
        <v>3.445454545454545E-3</v>
      </c>
      <c r="AH39" s="1126">
        <v>3.4781818181818182E-3</v>
      </c>
      <c r="AI39" s="1126">
        <v>1.7999999999999997E-3</v>
      </c>
      <c r="AJ39" s="1126">
        <v>1.7999999999999997E-3</v>
      </c>
      <c r="AK39" s="1126">
        <v>1.7999999999999997E-3</v>
      </c>
      <c r="AL39" s="1126">
        <v>1.7999999999999997E-3</v>
      </c>
      <c r="AM39" s="1126"/>
      <c r="AN39" s="1126">
        <v>1.7999999999999997E-3</v>
      </c>
      <c r="AO39" s="1126">
        <v>1.7999999999999997E-3</v>
      </c>
      <c r="AP39" s="1126">
        <v>1.7999999999999997E-3</v>
      </c>
      <c r="AQ39" s="1127">
        <v>1.7999999999999997E-3</v>
      </c>
      <c r="AR39" s="206">
        <f t="shared" si="99"/>
        <v>0.2718272727272727</v>
      </c>
      <c r="AS39" s="1125">
        <v>1.7999999999999997E-3</v>
      </c>
      <c r="AT39" s="1126">
        <v>1.7999999999999997E-3</v>
      </c>
      <c r="AU39" s="1126">
        <v>1.7999999999999997E-3</v>
      </c>
      <c r="AV39" s="1126">
        <v>1.9999999999999996E-3</v>
      </c>
      <c r="AW39" s="1126">
        <v>8.9090909090909086E-4</v>
      </c>
      <c r="AX39" s="1126">
        <v>0.16551818181818179</v>
      </c>
      <c r="AY39" s="1126">
        <v>9.801818181818181E-2</v>
      </c>
      <c r="AZ39" s="1126">
        <v>0</v>
      </c>
      <c r="BA39" s="1126">
        <v>0</v>
      </c>
      <c r="BB39" s="1126">
        <v>0</v>
      </c>
      <c r="BC39" s="1126">
        <v>0</v>
      </c>
      <c r="BD39" s="1127">
        <v>0</v>
      </c>
      <c r="BE39" s="1119">
        <f t="shared" si="100"/>
        <v>15</v>
      </c>
      <c r="BF39" s="1125">
        <v>0</v>
      </c>
      <c r="BG39" s="1126">
        <v>0</v>
      </c>
      <c r="BH39" s="1126">
        <v>0</v>
      </c>
      <c r="BI39" s="1126">
        <v>0</v>
      </c>
      <c r="BJ39" s="1126">
        <v>1</v>
      </c>
      <c r="BK39" s="1126">
        <v>0</v>
      </c>
      <c r="BL39" s="1126">
        <v>1</v>
      </c>
      <c r="BM39" s="1126">
        <v>1</v>
      </c>
      <c r="BN39" s="1126">
        <v>2</v>
      </c>
      <c r="BO39" s="1126">
        <v>3</v>
      </c>
      <c r="BP39" s="1126">
        <v>3</v>
      </c>
      <c r="BQ39" s="1956">
        <v>4</v>
      </c>
      <c r="BR39" s="1112">
        <f t="shared" si="101"/>
        <v>0</v>
      </c>
      <c r="BS39" s="1125"/>
      <c r="BT39" s="1126"/>
      <c r="BU39" s="1126"/>
      <c r="BV39" s="1126"/>
      <c r="BW39" s="1126"/>
      <c r="BX39" s="1126"/>
      <c r="BY39" s="1126"/>
      <c r="BZ39" s="1126"/>
      <c r="CA39" s="1126"/>
      <c r="CB39" s="1126"/>
      <c r="CC39" s="1126"/>
      <c r="CD39" s="1956"/>
      <c r="CE39" s="1112">
        <f t="shared" si="102"/>
        <v>0</v>
      </c>
      <c r="CF39" s="957"/>
      <c r="CG39" s="879"/>
      <c r="CH39" s="879"/>
      <c r="CI39" s="879"/>
      <c r="CJ39" s="879"/>
      <c r="CK39" s="879"/>
      <c r="CL39" s="879"/>
      <c r="CM39" s="879"/>
      <c r="CN39" s="879"/>
      <c r="CO39" s="879"/>
      <c r="CP39" s="879"/>
      <c r="CQ39" s="1668"/>
    </row>
    <row r="40" spans="2:95" ht="19" customHeight="1">
      <c r="B40" s="3313"/>
      <c r="C40" s="3314"/>
      <c r="D40" s="144" t="s">
        <v>751</v>
      </c>
      <c r="E40" s="23">
        <f t="shared" si="96"/>
        <v>4.4637999999999997E-2</v>
      </c>
      <c r="F40" s="314">
        <v>1.7818181818181817E-3</v>
      </c>
      <c r="G40" s="314">
        <v>7.7818181818181814E-3</v>
      </c>
      <c r="H40" s="314">
        <v>1.9818181818181818E-3</v>
      </c>
      <c r="I40" s="314">
        <v>1.9818181818181818E-3</v>
      </c>
      <c r="J40" s="314">
        <v>7.9818181818181819E-3</v>
      </c>
      <c r="K40" s="314">
        <v>1.9818181818181818E-3</v>
      </c>
      <c r="L40" s="314">
        <v>1.9818181818181818E-3</v>
      </c>
      <c r="M40" s="314">
        <v>5.981818181818181E-3</v>
      </c>
      <c r="N40" s="314">
        <v>1.9818181818181818E-3</v>
      </c>
      <c r="O40" s="314">
        <v>7.2380000000000005E-3</v>
      </c>
      <c r="P40" s="314">
        <v>1.9818181818181818E-3</v>
      </c>
      <c r="Q40" s="314">
        <v>1.9818181818181818E-3</v>
      </c>
      <c r="R40" s="23">
        <f t="shared" si="97"/>
        <v>8.8380165289256192E-3</v>
      </c>
      <c r="S40" s="314">
        <v>1.9818181818181818E-3</v>
      </c>
      <c r="T40" s="314">
        <v>1.9818181818181818E-3</v>
      </c>
      <c r="U40" s="314">
        <v>0</v>
      </c>
      <c r="V40" s="314">
        <v>1.0909090909090907E-3</v>
      </c>
      <c r="W40" s="314">
        <v>1.8016528925619832E-3</v>
      </c>
      <c r="X40" s="314"/>
      <c r="Y40" s="314"/>
      <c r="Z40" s="314">
        <v>0</v>
      </c>
      <c r="AA40" s="314"/>
      <c r="AB40" s="314"/>
      <c r="AC40" s="314">
        <v>0</v>
      </c>
      <c r="AD40" s="396">
        <v>1.9818181818181818E-3</v>
      </c>
      <c r="AE40" s="1112">
        <f t="shared" si="98"/>
        <v>0</v>
      </c>
      <c r="AF40" s="1125"/>
      <c r="AG40" s="1126"/>
      <c r="AH40" s="1126"/>
      <c r="AI40" s="1126"/>
      <c r="AJ40" s="1126"/>
      <c r="AK40" s="1126"/>
      <c r="AL40" s="1126"/>
      <c r="AM40" s="1126"/>
      <c r="AN40" s="1126"/>
      <c r="AO40" s="1126"/>
      <c r="AP40" s="1126"/>
      <c r="AQ40" s="1127"/>
      <c r="AR40" s="206">
        <f t="shared" si="99"/>
        <v>0</v>
      </c>
      <c r="AS40" s="1125"/>
      <c r="AT40" s="1126"/>
      <c r="AU40" s="1126"/>
      <c r="AV40" s="1126"/>
      <c r="AW40" s="1126"/>
      <c r="AX40" s="1126"/>
      <c r="AY40" s="1126"/>
      <c r="AZ40" s="1126"/>
      <c r="BA40" s="1126"/>
      <c r="BB40" s="1126"/>
      <c r="BC40" s="1126"/>
      <c r="BD40" s="1127"/>
      <c r="BE40" s="1119">
        <f t="shared" si="100"/>
        <v>0</v>
      </c>
      <c r="BF40" s="1125"/>
      <c r="BG40" s="1126"/>
      <c r="BH40" s="1126"/>
      <c r="BI40" s="1126"/>
      <c r="BJ40" s="1126"/>
      <c r="BK40" s="1126"/>
      <c r="BL40" s="1126"/>
      <c r="BM40" s="1126"/>
      <c r="BN40" s="1126"/>
      <c r="BO40" s="1126"/>
      <c r="BP40" s="1126"/>
      <c r="BQ40" s="1956"/>
      <c r="BR40" s="1112">
        <f>SUM(BS40:CD40)</f>
        <v>425.94763636363638</v>
      </c>
      <c r="BS40" s="1125">
        <v>35.495636363636358</v>
      </c>
      <c r="BT40" s="1126">
        <v>35.495636363636358</v>
      </c>
      <c r="BU40" s="1126">
        <v>35.495636363636358</v>
      </c>
      <c r="BV40" s="1126">
        <v>35.495636363636358</v>
      </c>
      <c r="BW40" s="1126">
        <v>35.495636363636358</v>
      </c>
      <c r="BX40" s="1126">
        <v>35.495636363636358</v>
      </c>
      <c r="BY40" s="1126">
        <v>35.495636363636358</v>
      </c>
      <c r="BZ40" s="1126">
        <v>35.495636363636358</v>
      </c>
      <c r="CA40" s="1126">
        <v>35.495636363636358</v>
      </c>
      <c r="CB40" s="1126">
        <v>35.495636363636358</v>
      </c>
      <c r="CC40" s="1126">
        <v>35.495636363636358</v>
      </c>
      <c r="CD40" s="1956">
        <v>35.495636363636358</v>
      </c>
      <c r="CE40" s="1112">
        <f>SUM(CF40:CQ40)</f>
        <v>425.94763636363638</v>
      </c>
      <c r="CF40" s="957">
        <v>35.495636363636358</v>
      </c>
      <c r="CG40" s="879">
        <v>35.495636363636358</v>
      </c>
      <c r="CH40" s="879">
        <v>35.495636363636358</v>
      </c>
      <c r="CI40" s="879">
        <v>35.495636363636358</v>
      </c>
      <c r="CJ40" s="879">
        <v>35.495636363636358</v>
      </c>
      <c r="CK40" s="879">
        <v>35.495636363636358</v>
      </c>
      <c r="CL40" s="879">
        <v>35.495636363636358</v>
      </c>
      <c r="CM40" s="879">
        <v>35.495636363636358</v>
      </c>
      <c r="CN40" s="879">
        <v>35.495636363636358</v>
      </c>
      <c r="CO40" s="879">
        <v>35.495636363636358</v>
      </c>
      <c r="CP40" s="879">
        <v>35.495636363636358</v>
      </c>
      <c r="CQ40" s="1668">
        <v>35.495636363636358</v>
      </c>
    </row>
    <row r="41" spans="2:95">
      <c r="B41" s="3315"/>
      <c r="C41" s="3316"/>
      <c r="D41" s="1952" t="s">
        <v>295</v>
      </c>
      <c r="E41" s="249">
        <f t="shared" si="96"/>
        <v>1.3341857272734501</v>
      </c>
      <c r="F41" s="320">
        <f t="shared" ref="F41:K41" si="104">F32-SUM(F33:F40)</f>
        <v>2.4545454544977474E-4</v>
      </c>
      <c r="G41" s="320">
        <f t="shared" si="104"/>
        <v>2.4545454550661816E-4</v>
      </c>
      <c r="H41" s="320">
        <f t="shared" si="104"/>
        <v>2.4545454539293132E-4</v>
      </c>
      <c r="I41" s="320">
        <f t="shared" si="104"/>
        <v>2.4545454539293132E-4</v>
      </c>
      <c r="J41" s="320">
        <f t="shared" si="104"/>
        <v>5.5054545454595427E-2</v>
      </c>
      <c r="K41" s="320">
        <f t="shared" si="104"/>
        <v>0.15134545454554882</v>
      </c>
      <c r="L41" s="320">
        <v>2.4545454550661816E-4</v>
      </c>
      <c r="M41" s="320">
        <v>0.27354545454545587</v>
      </c>
      <c r="N41" s="320">
        <v>0.28796363636365641</v>
      </c>
      <c r="O41" s="320">
        <v>0.36039300000015828</v>
      </c>
      <c r="P41" s="320">
        <v>0.1023281818183932</v>
      </c>
      <c r="Q41" s="320">
        <f t="shared" ref="Q41" si="105">P41</f>
        <v>0.1023281818183932</v>
      </c>
      <c r="R41" s="249">
        <f t="shared" si="97"/>
        <v>0</v>
      </c>
      <c r="S41" s="320"/>
      <c r="T41" s="320"/>
      <c r="U41" s="320"/>
      <c r="V41" s="320"/>
      <c r="W41" s="320"/>
      <c r="X41" s="320"/>
      <c r="Y41" s="320"/>
      <c r="Z41" s="320"/>
      <c r="AA41" s="320"/>
      <c r="AB41" s="320"/>
      <c r="AC41" s="320"/>
      <c r="AD41" s="1953"/>
      <c r="AE41" s="1116">
        <f t="shared" si="98"/>
        <v>5.9281363636363631</v>
      </c>
      <c r="AF41" s="1134"/>
      <c r="AG41" s="1135"/>
      <c r="AH41" s="1135"/>
      <c r="AI41" s="1135"/>
      <c r="AJ41" s="1135"/>
      <c r="AK41" s="1135">
        <v>5.9281363636363631</v>
      </c>
      <c r="AL41" s="1135"/>
      <c r="AM41" s="1135"/>
      <c r="AN41" s="1135"/>
      <c r="AO41" s="1135"/>
      <c r="AP41" s="1135"/>
      <c r="AQ41" s="1136"/>
      <c r="AR41" s="1150">
        <f t="shared" si="99"/>
        <v>0</v>
      </c>
      <c r="AS41" s="1134"/>
      <c r="AT41" s="1135"/>
      <c r="AU41" s="1135"/>
      <c r="AV41" s="1135"/>
      <c r="AW41" s="1135"/>
      <c r="AX41" s="1135"/>
      <c r="AY41" s="1135"/>
      <c r="AZ41" s="1135"/>
      <c r="BA41" s="1135"/>
      <c r="BB41" s="1135"/>
      <c r="BC41" s="1135"/>
      <c r="BD41" s="1136"/>
      <c r="BE41" s="1123">
        <f t="shared" si="100"/>
        <v>9.8136600548142852</v>
      </c>
      <c r="BF41" s="1134"/>
      <c r="BG41" s="1135"/>
      <c r="BH41" s="1135"/>
      <c r="BI41" s="1135"/>
      <c r="BJ41" s="1135"/>
      <c r="BK41" s="1135"/>
      <c r="BL41" s="1135"/>
      <c r="BM41" s="1135"/>
      <c r="BN41" s="1135"/>
      <c r="BO41" s="1135">
        <v>62.243816363636483</v>
      </c>
      <c r="BP41" s="1135">
        <f>-63.0840327272728+10.6538764184506</f>
        <v>-52.430156308822198</v>
      </c>
      <c r="BQ41" s="691"/>
      <c r="BR41" s="1116">
        <f t="shared" si="101"/>
        <v>4.9999999999995168</v>
      </c>
      <c r="BS41" s="1125">
        <f>BS32-BS33-BS34-BS35-BS38-BS40</f>
        <v>0</v>
      </c>
      <c r="BT41" s="1135">
        <f t="shared" ref="BT41:CC41" si="106">BT32-BT33-BT34-BT35-BT38-BT40</f>
        <v>0</v>
      </c>
      <c r="BU41" s="1135">
        <f t="shared" si="106"/>
        <v>0</v>
      </c>
      <c r="BV41" s="1135">
        <f t="shared" si="106"/>
        <v>0</v>
      </c>
      <c r="BW41" s="1135">
        <f t="shared" si="106"/>
        <v>0</v>
      </c>
      <c r="BX41" s="1135">
        <f t="shared" si="106"/>
        <v>0</v>
      </c>
      <c r="BY41" s="1135">
        <f t="shared" si="106"/>
        <v>0</v>
      </c>
      <c r="BZ41" s="1135">
        <f t="shared" si="106"/>
        <v>0.99999999999996447</v>
      </c>
      <c r="CA41" s="1135">
        <f t="shared" si="106"/>
        <v>0.99999999999996447</v>
      </c>
      <c r="CB41" s="1135">
        <f t="shared" si="106"/>
        <v>0.99999999999996447</v>
      </c>
      <c r="CC41" s="1135">
        <f t="shared" si="106"/>
        <v>0.99999999999962341</v>
      </c>
      <c r="CD41" s="691">
        <v>1</v>
      </c>
      <c r="CE41" s="1116">
        <f t="shared" ref="CE41" si="107">SUM(CF41:CQ41)</f>
        <v>0</v>
      </c>
      <c r="CF41" s="957"/>
      <c r="CG41" s="889"/>
      <c r="CH41" s="889"/>
      <c r="CI41" s="889"/>
      <c r="CJ41" s="889"/>
      <c r="CK41" s="889"/>
      <c r="CL41" s="889"/>
      <c r="CM41" s="889"/>
      <c r="CN41" s="889"/>
      <c r="CO41" s="889"/>
      <c r="CP41" s="889"/>
      <c r="CQ41" s="1742"/>
    </row>
    <row r="42" spans="2:95" ht="16.5" customHeight="1">
      <c r="B42" s="3311" t="s">
        <v>256</v>
      </c>
      <c r="C42" s="3312"/>
      <c r="D42" s="253" t="s">
        <v>14</v>
      </c>
      <c r="E42" s="254">
        <f t="shared" ref="E42:E51" si="108">SUM(F42:Q42)</f>
        <v>4155.0795769999986</v>
      </c>
      <c r="F42" s="420">
        <v>375.36556599999972</v>
      </c>
      <c r="G42" s="607">
        <v>-51.352352000000792</v>
      </c>
      <c r="H42" s="607">
        <v>789.44596699999965</v>
      </c>
      <c r="I42" s="363">
        <v>508.45308299999999</v>
      </c>
      <c r="J42" s="363">
        <v>-25.798884000000001</v>
      </c>
      <c r="K42" s="363">
        <v>369.02117099999987</v>
      </c>
      <c r="L42" s="363">
        <v>400.30310100000003</v>
      </c>
      <c r="M42" s="363">
        <v>480.03138100000001</v>
      </c>
      <c r="N42" s="363">
        <v>279.76966199999998</v>
      </c>
      <c r="O42" s="363">
        <v>499.60320200000001</v>
      </c>
      <c r="P42" s="363">
        <v>267.44398899999999</v>
      </c>
      <c r="Q42" s="452">
        <v>262.79369099999985</v>
      </c>
      <c r="R42" s="254">
        <f t="shared" ref="R42:R51" si="109">SUM(S42:AD42)</f>
        <v>3247.2532879999994</v>
      </c>
      <c r="S42" s="212">
        <v>646.91446899999983</v>
      </c>
      <c r="T42" s="212">
        <v>29.092113000000154</v>
      </c>
      <c r="U42" s="212">
        <v>-366.78775399999995</v>
      </c>
      <c r="V42" s="212">
        <v>274.21373599999998</v>
      </c>
      <c r="W42" s="212">
        <v>310.83499100000017</v>
      </c>
      <c r="X42" s="212">
        <v>392.24923599999966</v>
      </c>
      <c r="Y42" s="212">
        <v>213.99997999999999</v>
      </c>
      <c r="Z42" s="212">
        <v>128.48809200000005</v>
      </c>
      <c r="AA42" s="212">
        <v>424.08331399999997</v>
      </c>
      <c r="AB42" s="212">
        <v>532.32250299999987</v>
      </c>
      <c r="AC42" s="212">
        <v>516.51081199999999</v>
      </c>
      <c r="AD42" s="212">
        <v>145.33179599999994</v>
      </c>
      <c r="AE42" s="1111">
        <f t="shared" ref="AE42:AE48" si="110">SUM(AF42:AQ42)</f>
        <v>3767.3477239999997</v>
      </c>
      <c r="AF42" s="397">
        <v>430.81679699999995</v>
      </c>
      <c r="AG42" s="415">
        <v>345.96139099999982</v>
      </c>
      <c r="AH42" s="415">
        <v>-204.11117000000013</v>
      </c>
      <c r="AI42" s="415">
        <v>493.82714099999998</v>
      </c>
      <c r="AJ42" s="415">
        <v>208.36130200000025</v>
      </c>
      <c r="AK42" s="415">
        <v>66.819368999999995</v>
      </c>
      <c r="AL42" s="415">
        <v>-81.701070999999956</v>
      </c>
      <c r="AM42" s="415">
        <v>485.98722199999997</v>
      </c>
      <c r="AN42" s="415">
        <v>1987.5485859999999</v>
      </c>
      <c r="AO42" s="415">
        <v>504.72908000000007</v>
      </c>
      <c r="AP42" s="415">
        <v>-83.016538999999995</v>
      </c>
      <c r="AQ42" s="877">
        <v>-387.87438400000002</v>
      </c>
      <c r="AR42" s="822">
        <f t="shared" ref="AR42:AR48" si="111">SUM(AS42:BD42)</f>
        <v>1053.55422</v>
      </c>
      <c r="AS42" s="397">
        <v>32.186281999999999</v>
      </c>
      <c r="AT42" s="415">
        <v>467.69717900000001</v>
      </c>
      <c r="AU42" s="415">
        <v>142.94522799999999</v>
      </c>
      <c r="AV42" s="415">
        <v>411.19909200000001</v>
      </c>
      <c r="AW42" s="415">
        <v>263.94275499999998</v>
      </c>
      <c r="AX42" s="415">
        <v>-5.4491670000000001</v>
      </c>
      <c r="AY42" s="415">
        <v>-302.71059299999979</v>
      </c>
      <c r="AZ42" s="415">
        <v>594.80625599999996</v>
      </c>
      <c r="BA42" s="415">
        <v>-499.10421600000001</v>
      </c>
      <c r="BB42" s="415">
        <v>14.376035999999999</v>
      </c>
      <c r="BC42" s="415">
        <v>-51.294950999999998</v>
      </c>
      <c r="BD42" s="877">
        <v>-15.039681</v>
      </c>
      <c r="BE42" s="226">
        <f>SUM(BF42:BQ42)</f>
        <v>9702.043212999999</v>
      </c>
      <c r="BF42" s="397">
        <v>662.99535800000001</v>
      </c>
      <c r="BG42" s="415">
        <v>-229.299071</v>
      </c>
      <c r="BH42" s="415">
        <v>1165.934295</v>
      </c>
      <c r="BI42" s="415">
        <v>1134.5531940000001</v>
      </c>
      <c r="BJ42" s="415">
        <v>1318.5732069999999</v>
      </c>
      <c r="BK42" s="415">
        <v>1307.9573379999999</v>
      </c>
      <c r="BL42" s="415">
        <v>1097.4492359999999</v>
      </c>
      <c r="BM42" s="415">
        <v>260.85676599999999</v>
      </c>
      <c r="BN42" s="415">
        <v>1294.1643340000001</v>
      </c>
      <c r="BO42" s="415">
        <v>468.66011300000002</v>
      </c>
      <c r="BP42" s="415">
        <v>578.00246500000003</v>
      </c>
      <c r="BQ42" s="1738">
        <v>642.19597799999997</v>
      </c>
      <c r="BR42" s="1111">
        <f>SUM(BS42:CD42)</f>
        <v>14006.721150000001</v>
      </c>
      <c r="BS42" s="397">
        <v>565.58239100000003</v>
      </c>
      <c r="BT42" s="415">
        <v>2276.1839409999998</v>
      </c>
      <c r="BU42" s="415">
        <v>836.21767699999998</v>
      </c>
      <c r="BV42" s="415">
        <v>940.18754300000001</v>
      </c>
      <c r="BW42" s="415">
        <v>1818.846489</v>
      </c>
      <c r="BX42" s="415">
        <v>-19.308902</v>
      </c>
      <c r="BY42" s="415">
        <v>1937.0862569999999</v>
      </c>
      <c r="BZ42" s="415">
        <v>391.76510999999999</v>
      </c>
      <c r="CA42" s="415">
        <v>1510.8351150000001</v>
      </c>
      <c r="CB42" s="415">
        <v>391.54513600000001</v>
      </c>
      <c r="CC42" s="415">
        <v>1130.85556</v>
      </c>
      <c r="CD42" s="1738">
        <v>2226.924833</v>
      </c>
      <c r="CE42" s="1111">
        <f>SUM(CF42:CQ42)</f>
        <v>11368.925489921688</v>
      </c>
      <c r="CF42" s="397">
        <f t="shared" ref="CF42:CQ42" si="112">(CF52*CF7)/1000000</f>
        <v>795.82478429451851</v>
      </c>
      <c r="CG42" s="415">
        <f t="shared" si="112"/>
        <v>1081.7042756994279</v>
      </c>
      <c r="CH42" s="415">
        <f t="shared" si="112"/>
        <v>795.82478429451851</v>
      </c>
      <c r="CI42" s="415">
        <f t="shared" si="112"/>
        <v>954.63182040434083</v>
      </c>
      <c r="CJ42" s="415">
        <f t="shared" si="112"/>
        <v>1080.0479215425605</v>
      </c>
      <c r="CK42" s="415">
        <f t="shared" si="112"/>
        <v>1011.6096974424871</v>
      </c>
      <c r="CL42" s="415">
        <f t="shared" si="112"/>
        <v>1080.0479215425605</v>
      </c>
      <c r="CM42" s="415">
        <f t="shared" si="112"/>
        <v>954.63182040434083</v>
      </c>
      <c r="CN42" s="415">
        <f t="shared" si="112"/>
        <v>909.51403919373536</v>
      </c>
      <c r="CO42" s="415">
        <f t="shared" si="112"/>
        <v>954.63182040434083</v>
      </c>
      <c r="CP42" s="415">
        <f t="shared" si="112"/>
        <v>954.63182040434083</v>
      </c>
      <c r="CQ42" s="1738">
        <f t="shared" si="112"/>
        <v>795.82478429451851</v>
      </c>
    </row>
    <row r="43" spans="2:95" hidden="1">
      <c r="B43" s="3313"/>
      <c r="C43" s="3314"/>
      <c r="D43" s="2" t="s">
        <v>15</v>
      </c>
      <c r="E43" s="23">
        <f t="shared" si="108"/>
        <v>-112.43814701198141</v>
      </c>
      <c r="F43" s="425">
        <v>67.656403999999839</v>
      </c>
      <c r="G43" s="344">
        <v>-164.38557400000013</v>
      </c>
      <c r="H43" s="608">
        <v>-139.03658999999993</v>
      </c>
      <c r="I43" s="337">
        <v>140.19128162940646</v>
      </c>
      <c r="J43" s="617">
        <v>-177.96986457210471</v>
      </c>
      <c r="K43" s="341">
        <v>149.96210852481511</v>
      </c>
      <c r="L43" s="341">
        <v>-96.084719514559879</v>
      </c>
      <c r="M43" s="341">
        <v>-132.36845361250676</v>
      </c>
      <c r="N43" s="341">
        <v>-0.58085772340950825</v>
      </c>
      <c r="O43" s="341">
        <v>6.3451575786581316</v>
      </c>
      <c r="P43" s="341">
        <v>185.63900348315565</v>
      </c>
      <c r="Q43" s="455">
        <v>48.193957194564291</v>
      </c>
      <c r="R43" s="23">
        <f t="shared" si="109"/>
        <v>-2424.5314886232268</v>
      </c>
      <c r="S43" s="341">
        <v>270.06028864254142</v>
      </c>
      <c r="T43" s="344">
        <v>-210.24623401193878</v>
      </c>
      <c r="U43" s="344">
        <v>-635.73520072648375</v>
      </c>
      <c r="V43" s="337">
        <v>-222.63061173534538</v>
      </c>
      <c r="W43" s="617">
        <v>-262.51417262369307</v>
      </c>
      <c r="X43" s="341">
        <v>-222.16167863229362</v>
      </c>
      <c r="Y43" s="341">
        <v>-334.41279300000008</v>
      </c>
      <c r="Z43" s="341">
        <v>-355.79293799999982</v>
      </c>
      <c r="AA43" s="341">
        <v>-28.286378999999897</v>
      </c>
      <c r="AB43" s="341">
        <v>-161.75043400000004</v>
      </c>
      <c r="AC43" s="341">
        <v>-131.64113199999997</v>
      </c>
      <c r="AD43" s="341">
        <v>-129.42020353601356</v>
      </c>
      <c r="AE43" s="1112">
        <f t="shared" si="110"/>
        <v>-4876.4732174349665</v>
      </c>
      <c r="AF43" s="1125">
        <v>-62.556401434967711</v>
      </c>
      <c r="AG43" s="1126">
        <v>-238.89546299999984</v>
      </c>
      <c r="AH43" s="1126">
        <v>-609.91578800000002</v>
      </c>
      <c r="AI43" s="1126">
        <v>-250.66798700000001</v>
      </c>
      <c r="AJ43" s="1126">
        <v>-641.751307</v>
      </c>
      <c r="AK43" s="1126">
        <v>-769.517518</v>
      </c>
      <c r="AL43" s="1126">
        <v>-495.05059699999998</v>
      </c>
      <c r="AM43" s="1126">
        <v>-559.77663800000005</v>
      </c>
      <c r="AN43" s="1126">
        <v>-378.17489399999999</v>
      </c>
      <c r="AO43" s="1126">
        <v>-444.58802800000001</v>
      </c>
      <c r="AP43" s="1126">
        <v>-222.469493</v>
      </c>
      <c r="AQ43" s="1127">
        <v>-203.10910299999989</v>
      </c>
      <c r="AR43" s="206">
        <f t="shared" si="111"/>
        <v>-5133.0268415643886</v>
      </c>
      <c r="AS43" s="1128">
        <v>-415.71875299999999</v>
      </c>
      <c r="AT43" s="1129">
        <v>-420.33630699999998</v>
      </c>
      <c r="AU43" s="1129">
        <v>-434.88493899999997</v>
      </c>
      <c r="AV43" s="1129">
        <v>-232.10182499999999</v>
      </c>
      <c r="AW43" s="1129">
        <v>-447.07528300000001</v>
      </c>
      <c r="AX43" s="1129">
        <v>-535.63768100000004</v>
      </c>
      <c r="AY43" s="1129">
        <v>-459.54722199999998</v>
      </c>
      <c r="AZ43" s="1126">
        <v>-521.83804199999997</v>
      </c>
      <c r="BA43" s="1126">
        <v>-314.66727689225041</v>
      </c>
      <c r="BB43" s="1126">
        <v>-599.55948784225905</v>
      </c>
      <c r="BC43" s="1126">
        <v>-438.72700278001929</v>
      </c>
      <c r="BD43" s="1127">
        <v>-312.93302204985963</v>
      </c>
      <c r="BE43" s="1119">
        <f t="shared" ref="BE43:BE51" si="113">SUM(BF43:BQ43)</f>
        <v>-624.68246076770606</v>
      </c>
      <c r="BF43" s="1125">
        <v>-479.74663600000002</v>
      </c>
      <c r="BG43" s="1126">
        <v>-263.76312725410781</v>
      </c>
      <c r="BH43" s="1126">
        <v>-87.319631991098163</v>
      </c>
      <c r="BI43" s="1126">
        <v>44.090594595245364</v>
      </c>
      <c r="BJ43" s="1126">
        <v>59.260654137095571</v>
      </c>
      <c r="BK43" s="1126">
        <v>79.090298270550491</v>
      </c>
      <c r="BL43" s="1126">
        <v>-122.42344522472548</v>
      </c>
      <c r="BM43" s="1126">
        <v>73.328044285460479</v>
      </c>
      <c r="BN43" s="1126">
        <v>-12.106561999937654</v>
      </c>
      <c r="BO43" s="1126">
        <v>23.405624296213329</v>
      </c>
      <c r="BP43" s="1126">
        <v>50.711893531638331</v>
      </c>
      <c r="BQ43" s="1956">
        <v>10.789832585959523</v>
      </c>
      <c r="BR43" s="1112">
        <f t="shared" ref="BR43:BR51" si="114">SUM(BS43:CD43)</f>
        <v>-3.9829504450085276</v>
      </c>
      <c r="BS43" s="2291">
        <v>3.7810525549914726</v>
      </c>
      <c r="BT43" s="2299">
        <v>1.721881</v>
      </c>
      <c r="BU43" s="2299">
        <v>-4.5657490000000003</v>
      </c>
      <c r="BV43" s="2299">
        <v>-3.5153949999999998</v>
      </c>
      <c r="BW43" s="2299">
        <v>-0.79583700000000002</v>
      </c>
      <c r="BX43" s="2299">
        <v>-0.60890299999999997</v>
      </c>
      <c r="BY43" s="2274"/>
      <c r="BZ43" s="2274"/>
      <c r="CA43" s="2274"/>
      <c r="CB43" s="2274"/>
      <c r="CC43" s="2274"/>
      <c r="CD43" s="2275"/>
      <c r="CE43" s="1112">
        <f t="shared" ref="CE43:CE51" si="115">SUM(CF43:CQ43)</f>
        <v>-3.9829504450085276</v>
      </c>
      <c r="CF43" s="2291">
        <v>3.7810525549914726</v>
      </c>
      <c r="CG43" s="2299">
        <v>1.721881</v>
      </c>
      <c r="CH43" s="2299">
        <v>-4.5657490000000003</v>
      </c>
      <c r="CI43" s="2299">
        <v>-3.5153949999999998</v>
      </c>
      <c r="CJ43" s="2299">
        <v>-0.79583700000000002</v>
      </c>
      <c r="CK43" s="2299">
        <v>-0.60890299999999997</v>
      </c>
      <c r="CL43" s="2274"/>
      <c r="CM43" s="2274"/>
      <c r="CN43" s="2274"/>
      <c r="CO43" s="2274"/>
      <c r="CP43" s="2274"/>
      <c r="CQ43" s="2275"/>
    </row>
    <row r="44" spans="2:95" hidden="1">
      <c r="B44" s="3313"/>
      <c r="C44" s="3314"/>
      <c r="D44" s="2" t="s">
        <v>16</v>
      </c>
      <c r="E44" s="23">
        <f t="shared" si="108"/>
        <v>3517.7405780119798</v>
      </c>
      <c r="F44" s="425">
        <v>220.96996200000001</v>
      </c>
      <c r="G44" s="341">
        <v>148.218211</v>
      </c>
      <c r="H44" s="609">
        <v>718.26508399999989</v>
      </c>
      <c r="I44" s="335">
        <v>387.71764037059347</v>
      </c>
      <c r="J44" s="618">
        <v>105.58111957210463</v>
      </c>
      <c r="K44" s="314">
        <v>130.0457074751846</v>
      </c>
      <c r="L44" s="314">
        <v>175.18033451455972</v>
      </c>
      <c r="M44" s="314">
        <v>614.48848761250656</v>
      </c>
      <c r="N44" s="341">
        <v>298.46003272340954</v>
      </c>
      <c r="O44" s="341">
        <v>300.12771142134193</v>
      </c>
      <c r="P44" s="314">
        <v>93.221827516844314</v>
      </c>
      <c r="Q44" s="341">
        <v>325.46445980543558</v>
      </c>
      <c r="R44" s="23">
        <f t="shared" si="109"/>
        <v>6004.9136616232272</v>
      </c>
      <c r="S44" s="341">
        <v>399.87721235745857</v>
      </c>
      <c r="T44" s="341">
        <v>262.20016501193902</v>
      </c>
      <c r="U44" s="341">
        <v>272.36511772648379</v>
      </c>
      <c r="V44" s="335">
        <v>511.68127773534536</v>
      </c>
      <c r="W44" s="618">
        <v>664.45830162369316</v>
      </c>
      <c r="X44" s="314">
        <v>610.3900766322937</v>
      </c>
      <c r="Y44" s="314">
        <v>561.05833299999995</v>
      </c>
      <c r="Z44" s="314">
        <v>492.19140899999996</v>
      </c>
      <c r="AA44" s="314">
        <v>483.06294399999996</v>
      </c>
      <c r="AB44" s="314">
        <v>702.64990699999998</v>
      </c>
      <c r="AC44" s="314">
        <v>711.58124200000009</v>
      </c>
      <c r="AD44" s="314">
        <v>333.39767553601354</v>
      </c>
      <c r="AE44" s="1112">
        <f t="shared" si="110"/>
        <v>6916.5716854349675</v>
      </c>
      <c r="AF44" s="1125">
        <v>436.99273943496763</v>
      </c>
      <c r="AG44" s="1126">
        <v>531.38319300000001</v>
      </c>
      <c r="AH44" s="1126">
        <v>328.01270699999998</v>
      </c>
      <c r="AI44" s="1126">
        <v>487.649854</v>
      </c>
      <c r="AJ44" s="1126">
        <v>736.78539000000001</v>
      </c>
      <c r="AK44" s="1126">
        <v>840.71713999999997</v>
      </c>
      <c r="AL44" s="1126">
        <v>524.10986300000002</v>
      </c>
      <c r="AM44" s="1126">
        <v>985.15376200000003</v>
      </c>
      <c r="AN44" s="1126">
        <v>593.78904799999998</v>
      </c>
      <c r="AO44" s="1126">
        <v>983.34178799999995</v>
      </c>
      <c r="AP44" s="1126">
        <v>219.35422</v>
      </c>
      <c r="AQ44" s="1127">
        <v>249.28198099999997</v>
      </c>
      <c r="AR44" s="206">
        <f t="shared" si="111"/>
        <v>6566.0792225643872</v>
      </c>
      <c r="AS44" s="1125">
        <v>584.02704800000004</v>
      </c>
      <c r="AT44" s="1126">
        <v>988.88118299999996</v>
      </c>
      <c r="AU44" s="1126">
        <v>540.77047500000003</v>
      </c>
      <c r="AV44" s="1126">
        <v>733.20119399999999</v>
      </c>
      <c r="AW44" s="1126">
        <v>693.24603300000001</v>
      </c>
      <c r="AX44" s="1126">
        <v>560.17176900000004</v>
      </c>
      <c r="AY44" s="1126">
        <v>116.964026</v>
      </c>
      <c r="AZ44" s="1126">
        <v>1108.909404</v>
      </c>
      <c r="BA44" s="1126">
        <v>-193.84313510774959</v>
      </c>
      <c r="BB44" s="1126">
        <v>706.61976384225898</v>
      </c>
      <c r="BC44" s="1126">
        <v>434.80719778001929</v>
      </c>
      <c r="BD44" s="1127">
        <v>292.32426404985955</v>
      </c>
      <c r="BE44" s="1119">
        <f t="shared" si="113"/>
        <v>9642.2722756483181</v>
      </c>
      <c r="BF44" s="1125">
        <v>1146.0975820000001</v>
      </c>
      <c r="BG44" s="1126">
        <v>44.216246045238016</v>
      </c>
      <c r="BH44" s="1126">
        <v>1187.4566877083846</v>
      </c>
      <c r="BI44" s="1126">
        <v>1069.0407094567199</v>
      </c>
      <c r="BJ44" s="1126">
        <v>1157.3295419365004</v>
      </c>
      <c r="BK44" s="1126">
        <v>1113.5453490410796</v>
      </c>
      <c r="BL44" s="1126">
        <v>1233.4875851597292</v>
      </c>
      <c r="BM44" s="1126">
        <v>163.57099171453953</v>
      </c>
      <c r="BN44" s="1126">
        <v>1125.5940529999375</v>
      </c>
      <c r="BO44" s="1126">
        <v>429.72363070378663</v>
      </c>
      <c r="BP44" s="1126">
        <v>382.65017246836175</v>
      </c>
      <c r="BQ44" s="1956">
        <v>589.55972641404037</v>
      </c>
      <c r="BR44" s="1112">
        <f t="shared" si="114"/>
        <v>4419.4727854450084</v>
      </c>
      <c r="BS44" s="2291">
        <v>326.3383174450085</v>
      </c>
      <c r="BT44" s="2299">
        <v>1810.3498380000001</v>
      </c>
      <c r="BU44" s="2299">
        <v>293.44031200000001</v>
      </c>
      <c r="BV44" s="2299">
        <v>739.38561800000002</v>
      </c>
      <c r="BW44" s="2299">
        <v>1307.2781</v>
      </c>
      <c r="BX44" s="2299">
        <v>-57.319400000000002</v>
      </c>
      <c r="BY44" s="2274"/>
      <c r="BZ44" s="2274"/>
      <c r="CA44" s="2274"/>
      <c r="CB44" s="2274"/>
      <c r="CC44" s="2274"/>
      <c r="CD44" s="2275"/>
      <c r="CE44" s="1112">
        <f t="shared" si="115"/>
        <v>4419.4727854450084</v>
      </c>
      <c r="CF44" s="2291">
        <v>326.3383174450085</v>
      </c>
      <c r="CG44" s="2299">
        <v>1810.3498380000001</v>
      </c>
      <c r="CH44" s="2299">
        <v>293.44031200000001</v>
      </c>
      <c r="CI44" s="2299">
        <v>739.38561800000002</v>
      </c>
      <c r="CJ44" s="2299">
        <v>1307.2781</v>
      </c>
      <c r="CK44" s="2299">
        <v>-57.319400000000002</v>
      </c>
      <c r="CL44" s="2274"/>
      <c r="CM44" s="2274"/>
      <c r="CN44" s="2274"/>
      <c r="CO44" s="2274"/>
      <c r="CP44" s="2274"/>
      <c r="CQ44" s="2275"/>
    </row>
    <row r="45" spans="2:95" hidden="1">
      <c r="B45" s="3313"/>
      <c r="C45" s="3314"/>
      <c r="D45" s="2" t="s">
        <v>575</v>
      </c>
      <c r="E45" s="23">
        <f t="shared" si="108"/>
        <v>0</v>
      </c>
      <c r="F45" s="425"/>
      <c r="G45" s="341"/>
      <c r="H45" s="609"/>
      <c r="I45" s="335"/>
      <c r="J45" s="618"/>
      <c r="K45" s="314"/>
      <c r="L45" s="314"/>
      <c r="M45" s="314"/>
      <c r="N45" s="314"/>
      <c r="O45" s="314"/>
      <c r="P45" s="314"/>
      <c r="Q45" s="396"/>
      <c r="R45" s="23">
        <f t="shared" si="109"/>
        <v>0</v>
      </c>
      <c r="S45" s="314"/>
      <c r="T45" s="341"/>
      <c r="U45" s="341"/>
      <c r="V45" s="335"/>
      <c r="W45" s="618"/>
      <c r="X45" s="314"/>
      <c r="Y45" s="314"/>
      <c r="Z45" s="314"/>
      <c r="AA45" s="314"/>
      <c r="AB45" s="314"/>
      <c r="AC45" s="314"/>
      <c r="AD45" s="314"/>
      <c r="AE45" s="1112">
        <f t="shared" si="110"/>
        <v>0</v>
      </c>
      <c r="AF45" s="1125"/>
      <c r="AG45" s="1126"/>
      <c r="AH45" s="1126"/>
      <c r="AI45" s="1126"/>
      <c r="AJ45" s="1126"/>
      <c r="AK45" s="1126"/>
      <c r="AL45" s="1126"/>
      <c r="AM45" s="1126"/>
      <c r="AN45" s="1126"/>
      <c r="AO45" s="1126"/>
      <c r="AP45" s="1126"/>
      <c r="AQ45" s="1127"/>
      <c r="AR45" s="206">
        <f t="shared" si="111"/>
        <v>0</v>
      </c>
      <c r="AS45" s="1125"/>
      <c r="AT45" s="1126"/>
      <c r="AU45" s="1126"/>
      <c r="AV45" s="1126"/>
      <c r="AW45" s="1126"/>
      <c r="AX45" s="1126"/>
      <c r="AY45" s="1126"/>
      <c r="AZ45" s="1126"/>
      <c r="BA45" s="1126"/>
      <c r="BB45" s="1126"/>
      <c r="BC45" s="1126"/>
      <c r="BD45" s="1127"/>
      <c r="BE45" s="1119">
        <f t="shared" si="113"/>
        <v>0</v>
      </c>
      <c r="BF45" s="1125"/>
      <c r="BG45" s="1126"/>
      <c r="BH45" s="1126"/>
      <c r="BI45" s="1126"/>
      <c r="BJ45" s="1126"/>
      <c r="BK45" s="1126"/>
      <c r="BL45" s="1126"/>
      <c r="BM45" s="1126"/>
      <c r="BN45" s="1126"/>
      <c r="BO45" s="1126"/>
      <c r="BP45" s="1126"/>
      <c r="BQ45" s="1956"/>
      <c r="BR45" s="1112">
        <f t="shared" si="114"/>
        <v>2500.4239979999998</v>
      </c>
      <c r="BS45" s="2291">
        <v>255.72178500000001</v>
      </c>
      <c r="BT45" s="2299">
        <v>493.70402300000001</v>
      </c>
      <c r="BU45" s="2299">
        <v>459.04599400000001</v>
      </c>
      <c r="BV45" s="2299">
        <v>342.86823399999997</v>
      </c>
      <c r="BW45" s="2299">
        <v>365.28139599999997</v>
      </c>
      <c r="BX45" s="2299">
        <v>583.80256599999996</v>
      </c>
      <c r="BY45" s="2274"/>
      <c r="BZ45" s="2274"/>
      <c r="CA45" s="2274"/>
      <c r="CB45" s="2274"/>
      <c r="CC45" s="2274"/>
      <c r="CD45" s="2275"/>
      <c r="CE45" s="1112">
        <f t="shared" si="115"/>
        <v>2500.4239979999998</v>
      </c>
      <c r="CF45" s="2291">
        <v>255.72178500000001</v>
      </c>
      <c r="CG45" s="2299">
        <v>493.70402300000001</v>
      </c>
      <c r="CH45" s="2299">
        <v>459.04599400000001</v>
      </c>
      <c r="CI45" s="2299">
        <v>342.86823399999997</v>
      </c>
      <c r="CJ45" s="2299">
        <v>365.28139599999997</v>
      </c>
      <c r="CK45" s="2299">
        <v>583.80256599999996</v>
      </c>
      <c r="CL45" s="2274"/>
      <c r="CM45" s="2274"/>
      <c r="CN45" s="2274"/>
      <c r="CO45" s="2274"/>
      <c r="CP45" s="2274"/>
      <c r="CQ45" s="2275"/>
    </row>
    <row r="46" spans="2:95" hidden="1">
      <c r="B46" s="3313"/>
      <c r="C46" s="3314"/>
      <c r="D46" s="2" t="s">
        <v>259</v>
      </c>
      <c r="E46" s="23">
        <f t="shared" si="108"/>
        <v>-56.061820000000026</v>
      </c>
      <c r="F46" s="425">
        <v>-77.502632000000006</v>
      </c>
      <c r="G46" s="341">
        <v>6.5729849999999885</v>
      </c>
      <c r="H46" s="609">
        <v>187.69407699999999</v>
      </c>
      <c r="I46" s="335">
        <v>-158.46516</v>
      </c>
      <c r="J46" s="618">
        <v>-4.6462450000000004</v>
      </c>
      <c r="K46" s="314">
        <v>-2.4751180000000002</v>
      </c>
      <c r="L46" s="314">
        <v>-0.85363599999999995</v>
      </c>
      <c r="M46" s="314">
        <v>-1.854482</v>
      </c>
      <c r="N46" s="314">
        <v>-1.677827</v>
      </c>
      <c r="O46" s="314">
        <v>-1.1989460000000001</v>
      </c>
      <c r="P46" s="314">
        <v>-0.89630900000000002</v>
      </c>
      <c r="Q46" s="396">
        <v>-0.75852699999999995</v>
      </c>
      <c r="R46" s="23">
        <f t="shared" si="109"/>
        <v>-0.77939299999999989</v>
      </c>
      <c r="S46" s="425">
        <v>-0.53570099999999998</v>
      </c>
      <c r="T46" s="341">
        <v>-8.0908999999999995E-2</v>
      </c>
      <c r="U46" s="341">
        <v>6.2699999999999995E-4</v>
      </c>
      <c r="V46" s="335">
        <v>-0.172982</v>
      </c>
      <c r="W46" s="618">
        <v>7.8200000000000003E-4</v>
      </c>
      <c r="X46" s="314">
        <v>9.1799999999999998E-4</v>
      </c>
      <c r="Y46" s="314">
        <v>1.036E-3</v>
      </c>
      <c r="Z46" s="314">
        <v>8.9999999999999998E-4</v>
      </c>
      <c r="AA46" s="314">
        <v>1.1360000000000001E-3</v>
      </c>
      <c r="AB46" s="314">
        <v>1.6999999999999999E-3</v>
      </c>
      <c r="AC46" s="314">
        <v>1.2359999999999999E-3</v>
      </c>
      <c r="AD46" s="314">
        <v>1.864E-3</v>
      </c>
      <c r="AE46" s="1112">
        <f t="shared" si="110"/>
        <v>2.2539999999999999E-3</v>
      </c>
      <c r="AF46" s="1125"/>
      <c r="AG46" s="1126"/>
      <c r="AH46" s="1126"/>
      <c r="AI46" s="1126"/>
      <c r="AJ46" s="1126"/>
      <c r="AK46" s="1126">
        <v>7.36E-4</v>
      </c>
      <c r="AL46" s="1126">
        <v>6.7299999999999999E-4</v>
      </c>
      <c r="AM46" s="1126">
        <v>8.4500000000000005E-4</v>
      </c>
      <c r="AN46" s="1126">
        <v>0</v>
      </c>
      <c r="AO46" s="1126">
        <v>0</v>
      </c>
      <c r="AP46" s="1126"/>
      <c r="AQ46" s="1127"/>
      <c r="AR46" s="206">
        <f t="shared" si="111"/>
        <v>0</v>
      </c>
      <c r="AS46" s="1125">
        <v>0</v>
      </c>
      <c r="AT46" s="1126">
        <v>0</v>
      </c>
      <c r="AU46" s="1126">
        <v>0</v>
      </c>
      <c r="AV46" s="1126">
        <v>0</v>
      </c>
      <c r="AW46" s="1126">
        <v>0</v>
      </c>
      <c r="AX46" s="1126">
        <v>0</v>
      </c>
      <c r="AY46" s="1126">
        <v>0</v>
      </c>
      <c r="AZ46" s="1126">
        <v>0</v>
      </c>
      <c r="BA46" s="1126">
        <v>0</v>
      </c>
      <c r="BB46" s="1126">
        <v>0</v>
      </c>
      <c r="BC46" s="1126">
        <v>0</v>
      </c>
      <c r="BD46" s="1127">
        <v>0</v>
      </c>
      <c r="BE46" s="1119">
        <f t="shared" si="113"/>
        <v>0</v>
      </c>
      <c r="BF46" s="1125">
        <v>0</v>
      </c>
      <c r="BG46" s="1126">
        <v>0</v>
      </c>
      <c r="BH46" s="1126">
        <v>0</v>
      </c>
      <c r="BI46" s="1126">
        <v>0</v>
      </c>
      <c r="BJ46" s="1126">
        <v>0</v>
      </c>
      <c r="BK46" s="1126">
        <v>0</v>
      </c>
      <c r="BL46" s="1126">
        <v>0</v>
      </c>
      <c r="BM46" s="1126">
        <v>0</v>
      </c>
      <c r="BN46" s="1126">
        <v>0</v>
      </c>
      <c r="BO46" s="1126">
        <v>0</v>
      </c>
      <c r="BP46" s="1126">
        <v>0</v>
      </c>
      <c r="BQ46" s="1956">
        <v>0</v>
      </c>
      <c r="BR46" s="1112">
        <f t="shared" si="114"/>
        <v>0</v>
      </c>
      <c r="BS46" s="2291"/>
      <c r="BT46" s="2299"/>
      <c r="BU46" s="2299"/>
      <c r="BV46" s="2299"/>
      <c r="BW46" s="2299"/>
      <c r="BX46" s="2299"/>
      <c r="BY46" s="2274"/>
      <c r="BZ46" s="2274"/>
      <c r="CA46" s="2274"/>
      <c r="CB46" s="2274"/>
      <c r="CC46" s="2274"/>
      <c r="CD46" s="2275"/>
      <c r="CE46" s="1112">
        <f t="shared" si="115"/>
        <v>0</v>
      </c>
      <c r="CF46" s="2291"/>
      <c r="CG46" s="2299"/>
      <c r="CH46" s="2299"/>
      <c r="CI46" s="2299"/>
      <c r="CJ46" s="2299"/>
      <c r="CK46" s="2299"/>
      <c r="CL46" s="2274"/>
      <c r="CM46" s="2274"/>
      <c r="CN46" s="2274"/>
      <c r="CO46" s="2274"/>
      <c r="CP46" s="2274"/>
      <c r="CQ46" s="2275"/>
    </row>
    <row r="47" spans="2:95" hidden="1">
      <c r="B47" s="3313"/>
      <c r="C47" s="3314"/>
      <c r="D47" s="101" t="s">
        <v>48</v>
      </c>
      <c r="E47" s="23">
        <f t="shared" si="108"/>
        <v>335.24193600000007</v>
      </c>
      <c r="F47" s="425">
        <v>58.887017999999998</v>
      </c>
      <c r="G47" s="354">
        <v>51.379018000000002</v>
      </c>
      <c r="H47" s="609">
        <v>46.856617999999997</v>
      </c>
      <c r="I47" s="335">
        <v>38.278091000000003</v>
      </c>
      <c r="J47" s="618">
        <v>33.318081999999997</v>
      </c>
      <c r="K47" s="314">
        <v>28.506473</v>
      </c>
      <c r="L47" s="314">
        <v>22.457191000000002</v>
      </c>
      <c r="M47" s="314">
        <v>16.023582000000001</v>
      </c>
      <c r="N47" s="314">
        <v>12.251809</v>
      </c>
      <c r="O47" s="314">
        <v>11.603135999999999</v>
      </c>
      <c r="P47" s="314">
        <v>9.3680000000000003</v>
      </c>
      <c r="Q47" s="396">
        <v>6.3129179999999998</v>
      </c>
      <c r="R47" s="23">
        <f t="shared" si="109"/>
        <v>101.846709</v>
      </c>
      <c r="S47" s="425">
        <v>3.8564449999999999</v>
      </c>
      <c r="T47" s="354">
        <v>2.7659729999999998</v>
      </c>
      <c r="U47" s="354">
        <v>1.9415640000000001</v>
      </c>
      <c r="V47" s="335">
        <v>1.215473</v>
      </c>
      <c r="W47" s="618">
        <v>0.77580899999999997</v>
      </c>
      <c r="X47" s="314">
        <v>39.483718000000003</v>
      </c>
      <c r="Y47" s="314">
        <v>13.007591</v>
      </c>
      <c r="Z47" s="314">
        <v>12.933</v>
      </c>
      <c r="AA47" s="314">
        <v>1.1360000000000001E-3</v>
      </c>
      <c r="AB47" s="314">
        <v>25.866</v>
      </c>
      <c r="AC47" s="314">
        <v>0</v>
      </c>
      <c r="AD47" s="314">
        <v>0</v>
      </c>
      <c r="AE47" s="1112">
        <f t="shared" si="110"/>
        <v>0</v>
      </c>
      <c r="AF47" s="1125"/>
      <c r="AG47" s="1126"/>
      <c r="AH47" s="1126"/>
      <c r="AI47" s="1126"/>
      <c r="AJ47" s="1126"/>
      <c r="AK47" s="1126"/>
      <c r="AL47" s="1126"/>
      <c r="AM47" s="1126">
        <v>0</v>
      </c>
      <c r="AN47" s="1126">
        <v>0</v>
      </c>
      <c r="AO47" s="1126">
        <v>0</v>
      </c>
      <c r="AP47" s="1126"/>
      <c r="AQ47" s="1127"/>
      <c r="AR47" s="206">
        <f t="shared" si="111"/>
        <v>0</v>
      </c>
      <c r="AS47" s="1125">
        <v>0</v>
      </c>
      <c r="AT47" s="1126">
        <v>0</v>
      </c>
      <c r="AU47" s="1126">
        <v>0</v>
      </c>
      <c r="AV47" s="1126">
        <v>0</v>
      </c>
      <c r="AW47" s="1126">
        <v>0</v>
      </c>
      <c r="AX47" s="1126">
        <v>0</v>
      </c>
      <c r="AY47" s="1126">
        <v>0</v>
      </c>
      <c r="AZ47" s="1126">
        <v>0</v>
      </c>
      <c r="BA47" s="1126">
        <v>0</v>
      </c>
      <c r="BB47" s="1126">
        <v>0</v>
      </c>
      <c r="BC47" s="1126">
        <v>0</v>
      </c>
      <c r="BD47" s="1127">
        <v>0</v>
      </c>
      <c r="BE47" s="1119">
        <f t="shared" si="113"/>
        <v>0</v>
      </c>
      <c r="BF47" s="1125">
        <v>0</v>
      </c>
      <c r="BG47" s="1126">
        <v>0</v>
      </c>
      <c r="BH47" s="1126">
        <v>0</v>
      </c>
      <c r="BI47" s="1126">
        <v>0</v>
      </c>
      <c r="BJ47" s="1126">
        <v>0</v>
      </c>
      <c r="BK47" s="1126">
        <v>0</v>
      </c>
      <c r="BL47" s="1126">
        <v>0</v>
      </c>
      <c r="BM47" s="1126">
        <v>0</v>
      </c>
      <c r="BN47" s="1126">
        <v>0</v>
      </c>
      <c r="BO47" s="1126">
        <v>0</v>
      </c>
      <c r="BP47" s="1126">
        <v>0</v>
      </c>
      <c r="BQ47" s="1956">
        <v>0</v>
      </c>
      <c r="BR47" s="1112">
        <f t="shared" si="114"/>
        <v>0</v>
      </c>
      <c r="BS47" s="2291"/>
      <c r="BT47" s="2299"/>
      <c r="BU47" s="2299"/>
      <c r="BV47" s="2299"/>
      <c r="BW47" s="2299"/>
      <c r="BX47" s="2299"/>
      <c r="BY47" s="2274"/>
      <c r="BZ47" s="2274"/>
      <c r="CA47" s="2274"/>
      <c r="CB47" s="2274"/>
      <c r="CC47" s="2274"/>
      <c r="CD47" s="2275"/>
      <c r="CE47" s="1112">
        <f t="shared" si="115"/>
        <v>0</v>
      </c>
      <c r="CF47" s="2291"/>
      <c r="CG47" s="2299"/>
      <c r="CH47" s="2299"/>
      <c r="CI47" s="2299"/>
      <c r="CJ47" s="2299"/>
      <c r="CK47" s="2299"/>
      <c r="CL47" s="2274"/>
      <c r="CM47" s="2274"/>
      <c r="CN47" s="2274"/>
      <c r="CO47" s="2274"/>
      <c r="CP47" s="2274"/>
      <c r="CQ47" s="2275"/>
    </row>
    <row r="48" spans="2:95" hidden="1">
      <c r="B48" s="3313"/>
      <c r="C48" s="3314"/>
      <c r="D48" s="101" t="s">
        <v>578</v>
      </c>
      <c r="E48" s="23">
        <f t="shared" si="108"/>
        <v>325.23316599999998</v>
      </c>
      <c r="F48" s="425">
        <v>102.474592</v>
      </c>
      <c r="G48" s="354">
        <v>-104.95692099999999</v>
      </c>
      <c r="H48" s="609">
        <v>-42.690485999999993</v>
      </c>
      <c r="I48" s="335">
        <v>82.441102999999998</v>
      </c>
      <c r="J48" s="618">
        <v>7.3633430000000004</v>
      </c>
      <c r="K48" s="314">
        <v>42.799991000000006</v>
      </c>
      <c r="L48" s="314">
        <v>248.41475899999998</v>
      </c>
      <c r="M48" s="314">
        <v>-37.178914000000006</v>
      </c>
      <c r="N48" s="314">
        <v>-46.827603999999951</v>
      </c>
      <c r="O48" s="314">
        <v>165.24632499999998</v>
      </c>
      <c r="P48" s="314">
        <v>-16.910649999999976</v>
      </c>
      <c r="Q48" s="314">
        <v>-74.942372000000034</v>
      </c>
      <c r="R48" s="23">
        <f t="shared" si="109"/>
        <v>-497.07229500000028</v>
      </c>
      <c r="S48" s="425">
        <v>-28.172167999999999</v>
      </c>
      <c r="T48" s="354">
        <v>-33.54230900000001</v>
      </c>
      <c r="U48" s="354">
        <v>-26.571719000000002</v>
      </c>
      <c r="V48" s="335">
        <v>-33.476067000000057</v>
      </c>
      <c r="W48" s="618">
        <v>-36.290237000000019</v>
      </c>
      <c r="X48" s="314">
        <v>-41.703398000000007</v>
      </c>
      <c r="Y48" s="314">
        <v>-27.995978000000026</v>
      </c>
      <c r="Z48" s="314">
        <v>-43.989270000000012</v>
      </c>
      <c r="AA48" s="314">
        <v>-41.044933000000036</v>
      </c>
      <c r="AB48" s="314">
        <v>-42.899870000000007</v>
      </c>
      <c r="AC48" s="314">
        <v>-69.254997000000046</v>
      </c>
      <c r="AD48" s="314">
        <v>-72.131349000000014</v>
      </c>
      <c r="AE48" s="1112">
        <f t="shared" si="110"/>
        <v>231.42205600000011</v>
      </c>
      <c r="AF48" s="1125">
        <v>52.290541000000019</v>
      </c>
      <c r="AG48" s="1126">
        <v>53.005088000000001</v>
      </c>
      <c r="AH48" s="1126">
        <v>61.891064999999998</v>
      </c>
      <c r="AI48" s="1126">
        <v>166.12674899999999</v>
      </c>
      <c r="AJ48" s="1126">
        <v>83.259665000000012</v>
      </c>
      <c r="AK48" s="1126">
        <v>-7.0780149999999997</v>
      </c>
      <c r="AL48" s="1126">
        <v>-8.8919099999999993</v>
      </c>
      <c r="AM48" s="1126">
        <v>60.270150999999998</v>
      </c>
      <c r="AN48" s="1126">
        <v>185.74104600000001</v>
      </c>
      <c r="AO48" s="1126">
        <v>49.317717999999999</v>
      </c>
      <c r="AP48" s="1126">
        <v>-115.375725</v>
      </c>
      <c r="AQ48" s="1127">
        <v>-349.13431700000001</v>
      </c>
      <c r="AR48" s="206">
        <f t="shared" si="111"/>
        <v>-536.85464900000011</v>
      </c>
      <c r="AS48" s="1125">
        <v>-38.416343999999995</v>
      </c>
      <c r="AT48" s="1126">
        <v>-26.040925000000001</v>
      </c>
      <c r="AU48" s="1126">
        <v>-30.212168999999999</v>
      </c>
      <c r="AV48" s="1126">
        <v>-18.358668999999999</v>
      </c>
      <c r="AW48" s="1126">
        <v>1.1708959999999999</v>
      </c>
      <c r="AX48" s="1126">
        <v>-58.505762000000004</v>
      </c>
      <c r="AY48" s="1126">
        <v>-12.757868</v>
      </c>
      <c r="AZ48" s="1126">
        <v>-5.6658779999999993</v>
      </c>
      <c r="BA48" s="1126">
        <v>-54.555049000000004</v>
      </c>
      <c r="BB48" s="1126">
        <v>-164.30195699999999</v>
      </c>
      <c r="BC48" s="1126">
        <v>-135.78524000000002</v>
      </c>
      <c r="BD48" s="1127">
        <v>6.5743159999999996</v>
      </c>
      <c r="BE48" s="1119">
        <f t="shared" si="113"/>
        <v>140.15225599999999</v>
      </c>
      <c r="BF48" s="1125">
        <v>-20.811098000000001</v>
      </c>
      <c r="BG48" s="1126">
        <v>-12.223089999999999</v>
      </c>
      <c r="BH48" s="1126">
        <v>2.7742769999999979</v>
      </c>
      <c r="BI48" s="1126">
        <v>10.968639000000003</v>
      </c>
      <c r="BJ48" s="1126">
        <v>63.786427000000003</v>
      </c>
      <c r="BK48" s="1126">
        <v>-62.366493000000006</v>
      </c>
      <c r="BL48" s="1126">
        <v>25.415700999999999</v>
      </c>
      <c r="BM48" s="1126">
        <v>8.0450160000000004</v>
      </c>
      <c r="BN48" s="1126">
        <v>8.6840170000000008</v>
      </c>
      <c r="BO48" s="1126">
        <v>33.112696999999997</v>
      </c>
      <c r="BP48" s="1126">
        <v>39.100806999999996</v>
      </c>
      <c r="BQ48" s="1956">
        <v>43.665356000000003</v>
      </c>
      <c r="BR48" s="1112">
        <f t="shared" si="114"/>
        <v>200.41043500000001</v>
      </c>
      <c r="BS48" s="2291">
        <v>17.537690999999999</v>
      </c>
      <c r="BT48" s="2299">
        <v>17.149076000000001</v>
      </c>
      <c r="BU48" s="2299">
        <v>16.549093000000003</v>
      </c>
      <c r="BV48" s="2299">
        <v>23.799092000000002</v>
      </c>
      <c r="BW48" s="2299">
        <v>73.377283000000006</v>
      </c>
      <c r="BX48" s="2299">
        <v>51.998199999999997</v>
      </c>
      <c r="BY48" s="2274"/>
      <c r="BZ48" s="2274"/>
      <c r="CA48" s="2274"/>
      <c r="CB48" s="2274"/>
      <c r="CC48" s="2274"/>
      <c r="CD48" s="2275"/>
      <c r="CE48" s="1112">
        <f t="shared" si="115"/>
        <v>200.41043500000001</v>
      </c>
      <c r="CF48" s="2291">
        <v>17.537690999999999</v>
      </c>
      <c r="CG48" s="2299">
        <v>17.149076000000001</v>
      </c>
      <c r="CH48" s="2299">
        <v>16.549093000000003</v>
      </c>
      <c r="CI48" s="2299">
        <v>23.799092000000002</v>
      </c>
      <c r="CJ48" s="2299">
        <v>73.377283000000006</v>
      </c>
      <c r="CK48" s="2299">
        <v>51.998199999999997</v>
      </c>
      <c r="CL48" s="2274"/>
      <c r="CM48" s="2274"/>
      <c r="CN48" s="2274"/>
      <c r="CO48" s="2274"/>
      <c r="CP48" s="2274"/>
      <c r="CQ48" s="2275"/>
    </row>
    <row r="49" spans="2:95" hidden="1">
      <c r="B49" s="3313"/>
      <c r="C49" s="3314"/>
      <c r="D49" s="101" t="s">
        <v>390</v>
      </c>
      <c r="E49" s="23">
        <f t="shared" si="108"/>
        <v>0</v>
      </c>
      <c r="F49" s="425"/>
      <c r="G49" s="354"/>
      <c r="H49" s="609"/>
      <c r="I49" s="335"/>
      <c r="J49" s="618"/>
      <c r="K49" s="314"/>
      <c r="L49" s="314"/>
      <c r="M49" s="314"/>
      <c r="N49" s="314"/>
      <c r="O49" s="314"/>
      <c r="P49" s="314"/>
      <c r="Q49" s="396"/>
      <c r="R49" s="23">
        <f t="shared" si="109"/>
        <v>38.885452000000001</v>
      </c>
      <c r="S49" s="425"/>
      <c r="T49" s="354"/>
      <c r="U49" s="354"/>
      <c r="V49" s="335">
        <v>12.78</v>
      </c>
      <c r="W49" s="618">
        <v>0.15305299999999999</v>
      </c>
      <c r="X49" s="314">
        <v>0.1459</v>
      </c>
      <c r="Y49" s="314">
        <v>0.14199999999999999</v>
      </c>
      <c r="Z49" s="314">
        <v>14.134555000000001</v>
      </c>
      <c r="AA49" s="314">
        <v>0.11591</v>
      </c>
      <c r="AB49" s="314">
        <v>-0.86821899999999996</v>
      </c>
      <c r="AC49" s="314">
        <v>0.23342600000000002</v>
      </c>
      <c r="AD49" s="314">
        <v>12.048826999999999</v>
      </c>
      <c r="AE49" s="1112">
        <f t="shared" ref="AE49:AE51" si="116">SUM(AF49:AQ49)</f>
        <v>2.0612520000000001</v>
      </c>
      <c r="AF49" s="1125">
        <v>0.33594600000000002</v>
      </c>
      <c r="AG49" s="1126">
        <v>0.16747300000000001</v>
      </c>
      <c r="AH49" s="1126">
        <v>0.22790199999999999</v>
      </c>
      <c r="AI49" s="1126">
        <v>0.13641800000000001</v>
      </c>
      <c r="AJ49" s="1126">
        <v>0.19292799999999999</v>
      </c>
      <c r="AK49" s="1126">
        <v>0.13599900000000001</v>
      </c>
      <c r="AL49" s="1126">
        <v>0.16398199999999999</v>
      </c>
      <c r="AM49" s="1126">
        <v>0.16350899999999999</v>
      </c>
      <c r="AN49" s="1126">
        <v>0.16350899999999999</v>
      </c>
      <c r="AO49" s="1126">
        <v>0.19262699999999999</v>
      </c>
      <c r="AP49" s="1126">
        <v>1.6449999999999999E-2</v>
      </c>
      <c r="AQ49" s="1127">
        <v>0.16450899999999999</v>
      </c>
      <c r="AR49" s="206">
        <f t="shared" ref="AR49:AR51" si="117">SUM(AS49:BD49)</f>
        <v>1.0906640000000001</v>
      </c>
      <c r="AS49" s="1125">
        <v>0.16450899999999999</v>
      </c>
      <c r="AT49" s="1126">
        <v>7.6208999999999999E-2</v>
      </c>
      <c r="AU49" s="1126">
        <v>0.30880000000000002</v>
      </c>
      <c r="AV49" s="1126">
        <v>5.3573999999999997E-2</v>
      </c>
      <c r="AW49" s="1126">
        <v>9.9027000000000004E-2</v>
      </c>
      <c r="AX49" s="1126">
        <v>6.9509000000000001E-2</v>
      </c>
      <c r="AY49" s="1126">
        <v>6.9509000000000001E-2</v>
      </c>
      <c r="AZ49" s="1126">
        <v>6.9509000000000001E-2</v>
      </c>
      <c r="BA49" s="1126">
        <v>2.9517999999999999E-2</v>
      </c>
      <c r="BB49" s="1126">
        <v>0.1095</v>
      </c>
      <c r="BC49" s="1126">
        <v>4.1000000000000002E-2</v>
      </c>
      <c r="BD49" s="1127">
        <v>0</v>
      </c>
      <c r="BE49" s="1119">
        <f t="shared" si="113"/>
        <v>0.62310900000000013</v>
      </c>
      <c r="BF49" s="1125">
        <v>0</v>
      </c>
      <c r="BG49" s="1126">
        <v>9.8027000000000003E-2</v>
      </c>
      <c r="BH49" s="1126">
        <v>4.1000000000000002E-2</v>
      </c>
      <c r="BI49" s="1126">
        <v>6.9510000000000002E-2</v>
      </c>
      <c r="BJ49" s="1126">
        <v>6.9509000000000001E-2</v>
      </c>
      <c r="BK49" s="1126">
        <v>6.9517999999999996E-2</v>
      </c>
      <c r="BL49" s="1126">
        <v>6.9517999999999996E-2</v>
      </c>
      <c r="BM49" s="1126">
        <v>4.2099999999999999E-2</v>
      </c>
      <c r="BN49" s="1126">
        <v>4.1000000000000002E-2</v>
      </c>
      <c r="BO49" s="1126">
        <v>4.1000000000000002E-2</v>
      </c>
      <c r="BP49" s="1126">
        <v>4.1000000000000002E-2</v>
      </c>
      <c r="BQ49" s="1956">
        <v>4.0926999999999998E-2</v>
      </c>
      <c r="BR49" s="1112">
        <f t="shared" si="114"/>
        <v>8.3363680000000002</v>
      </c>
      <c r="BS49" s="2291">
        <v>0</v>
      </c>
      <c r="BT49" s="2299">
        <v>0</v>
      </c>
      <c r="BU49" s="2299">
        <v>0</v>
      </c>
      <c r="BV49" s="2299">
        <v>0</v>
      </c>
      <c r="BW49" s="2299">
        <v>0</v>
      </c>
      <c r="BX49" s="2299">
        <v>8.3363680000000002</v>
      </c>
      <c r="BY49" s="2274"/>
      <c r="BZ49" s="2274"/>
      <c r="CA49" s="2274"/>
      <c r="CB49" s="2274"/>
      <c r="CC49" s="2274"/>
      <c r="CD49" s="2275"/>
      <c r="CE49" s="1112">
        <f t="shared" si="115"/>
        <v>8.3363680000000002</v>
      </c>
      <c r="CF49" s="2291">
        <v>0</v>
      </c>
      <c r="CG49" s="2299">
        <v>0</v>
      </c>
      <c r="CH49" s="2299">
        <v>0</v>
      </c>
      <c r="CI49" s="2299">
        <v>0</v>
      </c>
      <c r="CJ49" s="2299">
        <v>0</v>
      </c>
      <c r="CK49" s="2299">
        <v>8.3363680000000002</v>
      </c>
      <c r="CL49" s="2274"/>
      <c r="CM49" s="2274"/>
      <c r="CN49" s="2274"/>
      <c r="CO49" s="2274"/>
      <c r="CP49" s="2274"/>
      <c r="CQ49" s="2275"/>
    </row>
    <row r="50" spans="2:95" hidden="1">
      <c r="B50" s="3313"/>
      <c r="C50" s="3314"/>
      <c r="D50" s="101" t="s">
        <v>576</v>
      </c>
      <c r="E50" s="23">
        <f t="shared" si="108"/>
        <v>14.088498</v>
      </c>
      <c r="F50" s="425">
        <v>1.5767450000000001</v>
      </c>
      <c r="G50" s="354">
        <v>2.1472009999999999</v>
      </c>
      <c r="H50" s="609">
        <v>1.357264</v>
      </c>
      <c r="I50" s="335">
        <v>1.290127</v>
      </c>
      <c r="J50" s="618">
        <v>1.3728629999999999</v>
      </c>
      <c r="K50" s="314">
        <v>0.98582700000000001</v>
      </c>
      <c r="L50" s="314">
        <v>0.91644499999999995</v>
      </c>
      <c r="M50" s="314">
        <v>0.91772699999999996</v>
      </c>
      <c r="N50" s="314">
        <v>0.87319999999999998</v>
      </c>
      <c r="O50" s="314">
        <v>0.89072700000000005</v>
      </c>
      <c r="P50" s="314">
        <v>0.91393599999999997</v>
      </c>
      <c r="Q50" s="396">
        <v>0.84643599999999997</v>
      </c>
      <c r="R50" s="23">
        <f t="shared" si="109"/>
        <v>8.260374999999998</v>
      </c>
      <c r="S50" s="425">
        <v>0.85299100000000005</v>
      </c>
      <c r="T50" s="354">
        <v>0.83360900000000004</v>
      </c>
      <c r="U50" s="354">
        <v>0.87170899999999996</v>
      </c>
      <c r="V50" s="335">
        <v>0.82106400000000002</v>
      </c>
      <c r="W50" s="618">
        <v>0.79827400000000004</v>
      </c>
      <c r="X50" s="314">
        <v>0.81369999999999998</v>
      </c>
      <c r="Y50" s="314">
        <v>0.74524500000000005</v>
      </c>
      <c r="Z50" s="314">
        <v>0.66043600000000002</v>
      </c>
      <c r="AA50" s="314">
        <v>0.55736300000000005</v>
      </c>
      <c r="AB50" s="314">
        <v>0.48250999999999999</v>
      </c>
      <c r="AC50" s="314">
        <v>0.42031000000000002</v>
      </c>
      <c r="AD50" s="314">
        <v>0.40316400000000002</v>
      </c>
      <c r="AE50" s="1112">
        <f t="shared" si="116"/>
        <v>13.009331900000003</v>
      </c>
      <c r="AF50" s="1125">
        <v>0.34317199999999998</v>
      </c>
      <c r="AG50" s="1126">
        <v>0.29979099999999997</v>
      </c>
      <c r="AH50" s="1126">
        <v>0.17977899999999999</v>
      </c>
      <c r="AI50" s="1126">
        <v>7.5705090000000004</v>
      </c>
      <c r="AJ50" s="1126">
        <v>1.461835</v>
      </c>
      <c r="AK50" s="1126">
        <v>2.3042009999999999</v>
      </c>
      <c r="AL50" s="1126">
        <v>0.42146299999999998</v>
      </c>
      <c r="AM50" s="1126">
        <v>0.130136</v>
      </c>
      <c r="AN50" s="1126">
        <v>0.118727</v>
      </c>
      <c r="AO50" s="1126">
        <v>6.4973000000000003E-2</v>
      </c>
      <c r="AP50" s="1126">
        <v>5.17549E-2</v>
      </c>
      <c r="AQ50" s="1127">
        <v>6.2991000000000005E-2</v>
      </c>
      <c r="AR50" s="206">
        <f t="shared" si="117"/>
        <v>37.940666</v>
      </c>
      <c r="AS50" s="1125">
        <v>6.2991000000000005E-2</v>
      </c>
      <c r="AT50" s="1126">
        <v>7.0179999999999999E-3</v>
      </c>
      <c r="AU50" s="1126">
        <v>6.2998999999999999E-2</v>
      </c>
      <c r="AV50" s="1126">
        <v>4.9575449999999996</v>
      </c>
      <c r="AW50" s="1126">
        <v>1.7857179999999999</v>
      </c>
      <c r="AX50" s="1126">
        <v>9.8993549999999999</v>
      </c>
      <c r="AY50" s="1126">
        <v>-7.8424649999999998</v>
      </c>
      <c r="AZ50" s="1126">
        <v>2.3221729999999998</v>
      </c>
      <c r="BA50" s="1126">
        <v>1.6408179999999999</v>
      </c>
      <c r="BB50" s="1126">
        <v>8.3645790000000009</v>
      </c>
      <c r="BC50" s="1126">
        <v>15.475845</v>
      </c>
      <c r="BD50" s="1127">
        <v>1.2040900000000001</v>
      </c>
      <c r="BE50" s="1119">
        <f t="shared" si="113"/>
        <v>150.14366100000001</v>
      </c>
      <c r="BF50" s="1125">
        <v>15.363637000000001</v>
      </c>
      <c r="BG50" s="1126">
        <v>5.8991000000000002E-2</v>
      </c>
      <c r="BH50" s="1126">
        <v>5.5473000000000001E-2</v>
      </c>
      <c r="BI50" s="1126">
        <v>7.4618000000000004E-2</v>
      </c>
      <c r="BJ50" s="1126">
        <v>1.820873</v>
      </c>
      <c r="BK50" s="1126">
        <v>0.116255</v>
      </c>
      <c r="BL50" s="1126">
        <v>5.3344909999999999</v>
      </c>
      <c r="BM50" s="1126">
        <v>3.5062989999999998</v>
      </c>
      <c r="BN50" s="1126">
        <v>109.959664</v>
      </c>
      <c r="BO50" s="1126">
        <v>5.9176089999999997</v>
      </c>
      <c r="BP50" s="1126">
        <v>2.9547330000000001</v>
      </c>
      <c r="BQ50" s="1956">
        <v>4.9810179999999997</v>
      </c>
      <c r="BR50" s="1112">
        <f t="shared" si="114"/>
        <v>75.901826</v>
      </c>
      <c r="BS50" s="2291">
        <v>9.0706059999999997</v>
      </c>
      <c r="BT50" s="2299">
        <v>5.9560870000000001</v>
      </c>
      <c r="BU50" s="2299">
        <v>16.356908000000001</v>
      </c>
      <c r="BV50" s="2299">
        <v>4.7801359999999997</v>
      </c>
      <c r="BW50" s="2299">
        <v>22.489412999999999</v>
      </c>
      <c r="BX50" s="2299">
        <v>17.248676</v>
      </c>
      <c r="BY50" s="2274"/>
      <c r="BZ50" s="2274"/>
      <c r="CA50" s="2274"/>
      <c r="CB50" s="2274"/>
      <c r="CC50" s="2274"/>
      <c r="CD50" s="2275"/>
      <c r="CE50" s="1112">
        <f t="shared" si="115"/>
        <v>75.901826</v>
      </c>
      <c r="CF50" s="2291">
        <v>9.0706059999999997</v>
      </c>
      <c r="CG50" s="2299">
        <v>5.9560870000000001</v>
      </c>
      <c r="CH50" s="2299">
        <v>16.356908000000001</v>
      </c>
      <c r="CI50" s="2299">
        <v>4.7801359999999997</v>
      </c>
      <c r="CJ50" s="2299">
        <v>22.489412999999999</v>
      </c>
      <c r="CK50" s="2299">
        <v>17.248676</v>
      </c>
      <c r="CL50" s="2274"/>
      <c r="CM50" s="2274"/>
      <c r="CN50" s="2274"/>
      <c r="CO50" s="2274"/>
      <c r="CP50" s="2274"/>
      <c r="CQ50" s="2275"/>
    </row>
    <row r="51" spans="2:95" hidden="1">
      <c r="B51" s="3315"/>
      <c r="C51" s="3316"/>
      <c r="D51" s="255" t="s">
        <v>257</v>
      </c>
      <c r="E51" s="249">
        <f t="shared" si="108"/>
        <v>131.27536599999948</v>
      </c>
      <c r="F51" s="1954">
        <f t="shared" ref="F51:K51" si="118">F42-SUM(F43:F50)</f>
        <v>1.303476999999873</v>
      </c>
      <c r="G51" s="345">
        <f t="shared" si="118"/>
        <v>9.6727279999993456</v>
      </c>
      <c r="H51" s="1955">
        <f t="shared" si="118"/>
        <v>16.999999999999659</v>
      </c>
      <c r="I51" s="1955">
        <f t="shared" si="118"/>
        <v>17</v>
      </c>
      <c r="J51" s="1955">
        <f t="shared" si="118"/>
        <v>9.181818000000078</v>
      </c>
      <c r="K51" s="1955">
        <f t="shared" si="118"/>
        <v>19.196182000000249</v>
      </c>
      <c r="L51" s="336">
        <v>50.272727000000202</v>
      </c>
      <c r="M51" s="336">
        <v>20.003434000000254</v>
      </c>
      <c r="N51" s="336">
        <v>17.270908999999904</v>
      </c>
      <c r="O51" s="336">
        <v>16.589090999999883</v>
      </c>
      <c r="P51" s="1955">
        <f>P42-SUM(P43:P50)</f>
        <v>-3.8918189999999981</v>
      </c>
      <c r="Q51" s="1955">
        <f>Q42-SUM(Q43:Q50)</f>
        <v>-42.323180999999977</v>
      </c>
      <c r="R51" s="249">
        <f t="shared" si="109"/>
        <v>15.730266999999429</v>
      </c>
      <c r="S51" s="1954">
        <f t="shared" ref="S51:AK51" si="119">S42-SUM(S43:S50)</f>
        <v>0.9754009999999198</v>
      </c>
      <c r="T51" s="1954">
        <f t="shared" si="119"/>
        <v>7.1618179999999221</v>
      </c>
      <c r="U51" s="1954">
        <f t="shared" si="119"/>
        <v>20.340147999999999</v>
      </c>
      <c r="V51" s="1954">
        <f t="shared" si="119"/>
        <v>3.9955820000001268</v>
      </c>
      <c r="W51" s="1954">
        <f t="shared" si="119"/>
        <v>-56.546818999999914</v>
      </c>
      <c r="X51" s="1954">
        <f t="shared" si="119"/>
        <v>5.2799999999995748</v>
      </c>
      <c r="Y51" s="1954">
        <f t="shared" si="119"/>
        <v>1.454546000000164</v>
      </c>
      <c r="Z51" s="1954">
        <f t="shared" si="119"/>
        <v>8.3499999999999091</v>
      </c>
      <c r="AA51" s="1954">
        <f t="shared" si="119"/>
        <v>9.6761369999999829</v>
      </c>
      <c r="AB51" s="1954">
        <f t="shared" si="119"/>
        <v>8.8409089999997832</v>
      </c>
      <c r="AC51" s="1954">
        <f t="shared" si="119"/>
        <v>5.1707269999999994</v>
      </c>
      <c r="AD51" s="1954">
        <f t="shared" si="119"/>
        <v>1.0318179999999586</v>
      </c>
      <c r="AE51" s="1116">
        <f t="shared" si="116"/>
        <v>1480.7543621</v>
      </c>
      <c r="AF51" s="1134">
        <f t="shared" si="119"/>
        <v>3.4108000000000516</v>
      </c>
      <c r="AG51" s="1135">
        <f t="shared" si="119"/>
        <v>1.3089999996509505E-3</v>
      </c>
      <c r="AH51" s="1135">
        <f t="shared" si="119"/>
        <v>15.493164999999919</v>
      </c>
      <c r="AI51" s="1135">
        <f t="shared" si="119"/>
        <v>83.011597999999992</v>
      </c>
      <c r="AJ51" s="1135">
        <f t="shared" si="119"/>
        <v>28.412791000000226</v>
      </c>
      <c r="AK51" s="1135">
        <f t="shared" si="119"/>
        <v>0.25682600000000377</v>
      </c>
      <c r="AL51" s="1135">
        <v>-102.454545</v>
      </c>
      <c r="AM51" s="1135">
        <f t="shared" ref="AM51:AQ51" si="120">AM42-SUM(AM43:AM50)</f>
        <v>4.545699999999897E-2</v>
      </c>
      <c r="AN51" s="1135">
        <f t="shared" si="120"/>
        <v>1585.9111499999999</v>
      </c>
      <c r="AO51" s="1135">
        <f t="shared" si="120"/>
        <v>-83.599997999999914</v>
      </c>
      <c r="AP51" s="1135">
        <f t="shared" si="120"/>
        <v>35.406254099999998</v>
      </c>
      <c r="AQ51" s="1136">
        <f t="shared" si="120"/>
        <v>-85.140445000000113</v>
      </c>
      <c r="AR51" s="1150">
        <f t="shared" si="117"/>
        <v>118.32515800000023</v>
      </c>
      <c r="AS51" s="1134">
        <f t="shared" ref="AS51:BD51" si="121">AS42-SUM(AS43:AS50)</f>
        <v>-97.933169000000078</v>
      </c>
      <c r="AT51" s="1135">
        <f t="shared" si="121"/>
        <v>-74.889998999999875</v>
      </c>
      <c r="AU51" s="1135">
        <f t="shared" si="121"/>
        <v>66.90006199999992</v>
      </c>
      <c r="AV51" s="1135">
        <f t="shared" si="121"/>
        <v>-76.552727000000004</v>
      </c>
      <c r="AW51" s="1135">
        <f t="shared" si="121"/>
        <v>14.71636399999997</v>
      </c>
      <c r="AX51" s="1135">
        <f t="shared" si="121"/>
        <v>18.553643000000012</v>
      </c>
      <c r="AY51" s="1135">
        <f t="shared" si="121"/>
        <v>60.403427000000192</v>
      </c>
      <c r="AZ51" s="1135">
        <f t="shared" si="121"/>
        <v>11.009089999999901</v>
      </c>
      <c r="BA51" s="1135">
        <f t="shared" si="121"/>
        <v>62.290908999999999</v>
      </c>
      <c r="BB51" s="1135">
        <f t="shared" si="121"/>
        <v>63.14363800000006</v>
      </c>
      <c r="BC51" s="1135">
        <f t="shared" si="121"/>
        <v>72.893249000000026</v>
      </c>
      <c r="BD51" s="1135">
        <f t="shared" si="121"/>
        <v>-2.2093289999999204</v>
      </c>
      <c r="BE51" s="1123">
        <f t="shared" si="113"/>
        <v>393.5343721193891</v>
      </c>
      <c r="BF51" s="1134">
        <f t="shared" ref="BF51:BQ51" si="122">BF42-SUM(BF43:BF50)</f>
        <v>2.0918729999999641</v>
      </c>
      <c r="BG51" s="1135">
        <f t="shared" si="122"/>
        <v>2.313882208869785</v>
      </c>
      <c r="BH51" s="1135">
        <f t="shared" si="122"/>
        <v>62.926489282713874</v>
      </c>
      <c r="BI51" s="1135">
        <f t="shared" si="122"/>
        <v>10.309122948034656</v>
      </c>
      <c r="BJ51" s="1135">
        <f t="shared" si="122"/>
        <v>36.306201926404128</v>
      </c>
      <c r="BK51" s="1135">
        <f t="shared" si="122"/>
        <v>177.50241068836999</v>
      </c>
      <c r="BL51" s="1135">
        <f t="shared" si="122"/>
        <v>-44.434613935003654</v>
      </c>
      <c r="BM51" s="1135">
        <f t="shared" si="122"/>
        <v>12.364314999999948</v>
      </c>
      <c r="BN51" s="1135">
        <f t="shared" si="122"/>
        <v>61.992162000000235</v>
      </c>
      <c r="BO51" s="1135">
        <f t="shared" si="122"/>
        <v>-23.540447999999969</v>
      </c>
      <c r="BP51" s="1135">
        <f t="shared" si="122"/>
        <v>102.543859</v>
      </c>
      <c r="BQ51" s="691">
        <f t="shared" si="122"/>
        <v>-6.8408819999998514</v>
      </c>
      <c r="BR51" s="1116">
        <f t="shared" si="114"/>
        <v>6806.1586880000004</v>
      </c>
      <c r="BS51" s="958">
        <f t="shared" ref="BS51:CD51" si="123">BS42-SUM(BS43:BS50)</f>
        <v>-46.867060999999921</v>
      </c>
      <c r="BT51" s="889">
        <f t="shared" si="123"/>
        <v>-52.696964000000207</v>
      </c>
      <c r="BU51" s="889">
        <f t="shared" si="123"/>
        <v>55.391119000000003</v>
      </c>
      <c r="BV51" s="889">
        <f t="shared" si="123"/>
        <v>-167.13014199999998</v>
      </c>
      <c r="BW51" s="889">
        <f t="shared" si="123"/>
        <v>51.216133999999784</v>
      </c>
      <c r="BX51" s="889">
        <f t="shared" si="123"/>
        <v>-622.76640899999995</v>
      </c>
      <c r="BY51" s="889">
        <f t="shared" si="123"/>
        <v>1937.0862569999999</v>
      </c>
      <c r="BZ51" s="889">
        <f t="shared" si="123"/>
        <v>391.76510999999999</v>
      </c>
      <c r="CA51" s="889">
        <f t="shared" si="123"/>
        <v>1510.8351150000001</v>
      </c>
      <c r="CB51" s="889">
        <f t="shared" si="123"/>
        <v>391.54513600000001</v>
      </c>
      <c r="CC51" s="889">
        <f t="shared" si="123"/>
        <v>1130.85556</v>
      </c>
      <c r="CD51" s="1742">
        <f t="shared" si="123"/>
        <v>2226.924833</v>
      </c>
      <c r="CE51" s="1116">
        <f t="shared" si="115"/>
        <v>4168.3630279216904</v>
      </c>
      <c r="CF51" s="958">
        <f t="shared" ref="CF51:CQ51" si="124">CF42-SUM(CF43:CF50)</f>
        <v>183.37533229451856</v>
      </c>
      <c r="CG51" s="889">
        <f t="shared" si="124"/>
        <v>-1247.1766293005721</v>
      </c>
      <c r="CH51" s="889">
        <f t="shared" si="124"/>
        <v>14.998226294518531</v>
      </c>
      <c r="CI51" s="889">
        <f t="shared" si="124"/>
        <v>-152.68586459565915</v>
      </c>
      <c r="CJ51" s="889">
        <f t="shared" si="124"/>
        <v>-687.58243345743972</v>
      </c>
      <c r="CK51" s="889">
        <f t="shared" si="124"/>
        <v>408.15219044248715</v>
      </c>
      <c r="CL51" s="889">
        <f t="shared" si="124"/>
        <v>1080.0479215425605</v>
      </c>
      <c r="CM51" s="889">
        <f t="shared" si="124"/>
        <v>954.63182040434083</v>
      </c>
      <c r="CN51" s="889">
        <f t="shared" si="124"/>
        <v>909.51403919373536</v>
      </c>
      <c r="CO51" s="889">
        <f t="shared" si="124"/>
        <v>954.63182040434083</v>
      </c>
      <c r="CP51" s="889">
        <f t="shared" si="124"/>
        <v>954.63182040434083</v>
      </c>
      <c r="CQ51" s="1742">
        <f t="shared" si="124"/>
        <v>795.82478429451851</v>
      </c>
    </row>
    <row r="52" spans="2:95" ht="16.5" customHeight="1">
      <c r="B52" s="3311" t="s">
        <v>749</v>
      </c>
      <c r="C52" s="3312"/>
      <c r="D52" s="253" t="s">
        <v>199</v>
      </c>
      <c r="E52" s="256">
        <f t="shared" ref="E52:K54" si="125">E42*1000000/E7</f>
        <v>27553.39538199348</v>
      </c>
      <c r="F52" s="561">
        <f t="shared" si="125"/>
        <v>26126.927403076475</v>
      </c>
      <c r="G52" s="561">
        <f t="shared" si="125"/>
        <v>-3697.8722546266863</v>
      </c>
      <c r="H52" s="561">
        <f t="shared" si="125"/>
        <v>56433.338122810754</v>
      </c>
      <c r="I52" s="561">
        <f t="shared" si="125"/>
        <v>41910.079376854599</v>
      </c>
      <c r="J52" s="561">
        <f t="shared" si="125"/>
        <v>-2027.2578972182932</v>
      </c>
      <c r="K52" s="561">
        <f t="shared" si="125"/>
        <v>25923.510432033712</v>
      </c>
      <c r="L52" s="376">
        <v>30707.510049094813</v>
      </c>
      <c r="M52" s="376">
        <v>37750.187244416484</v>
      </c>
      <c r="N52" s="376">
        <f t="shared" ref="N52:AC52" si="126">N42*1000000/N7</f>
        <v>21870.674015009379</v>
      </c>
      <c r="O52" s="376">
        <f t="shared" si="126"/>
        <v>43618.229614108612</v>
      </c>
      <c r="P52" s="561">
        <f t="shared" si="126"/>
        <v>31744.093649851631</v>
      </c>
      <c r="Q52" s="561">
        <f t="shared" si="126"/>
        <v>23799.464861438133</v>
      </c>
      <c r="R52" s="256">
        <f t="shared" si="126"/>
        <v>18987.187063290752</v>
      </c>
      <c r="S52" s="257">
        <f t="shared" si="126"/>
        <v>47539.276087595521</v>
      </c>
      <c r="T52" s="257">
        <f t="shared" si="126"/>
        <v>2274.7762139338615</v>
      </c>
      <c r="U52" s="257">
        <f t="shared" si="126"/>
        <v>-24558.939002343486</v>
      </c>
      <c r="V52" s="257">
        <f t="shared" si="126"/>
        <v>19418.860987182212</v>
      </c>
      <c r="W52" s="257">
        <f t="shared" si="126"/>
        <v>21000.945273967987</v>
      </c>
      <c r="X52" s="257">
        <f t="shared" si="126"/>
        <v>25528.749495606877</v>
      </c>
      <c r="Y52" s="257">
        <f t="shared" si="126"/>
        <v>15330.170351161225</v>
      </c>
      <c r="Z52" s="257">
        <f t="shared" si="126"/>
        <v>8699.2614759647968</v>
      </c>
      <c r="AA52" s="257">
        <f t="shared" si="126"/>
        <v>32918.055887603819</v>
      </c>
      <c r="AB52" s="257">
        <f t="shared" ref="AB52" si="127">AB42*1000000/AB7</f>
        <v>37020.82919535433</v>
      </c>
      <c r="AC52" s="257">
        <f t="shared" si="126"/>
        <v>35481.954523596898</v>
      </c>
      <c r="AD52" s="257">
        <f t="shared" ref="AD52:AF52" si="128">AD42*1000000/AD7</f>
        <v>9782.7003231017734</v>
      </c>
      <c r="AE52" s="1115">
        <f t="shared" ref="AE52" si="129">AE42*1000000/AE7</f>
        <v>20448.044528875376</v>
      </c>
      <c r="AF52" s="1117">
        <f t="shared" si="128"/>
        <v>30418.470451175595</v>
      </c>
      <c r="AG52" s="1118">
        <f t="shared" ref="AG52:BQ52" si="130">AG42*1000000/AG7</f>
        <v>24494.575969980164</v>
      </c>
      <c r="AH52" s="1118">
        <f t="shared" si="130"/>
        <v>-13746.711341594835</v>
      </c>
      <c r="AI52" s="1118">
        <f t="shared" si="130"/>
        <v>30100.398695599171</v>
      </c>
      <c r="AJ52" s="1118">
        <f t="shared" si="130"/>
        <v>12111.916642446098</v>
      </c>
      <c r="AK52" s="1118">
        <f t="shared" si="130"/>
        <v>3869.7729194417093</v>
      </c>
      <c r="AL52" s="1118">
        <f t="shared" si="130"/>
        <v>-5307.3321423931375</v>
      </c>
      <c r="AM52" s="1118">
        <f t="shared" si="130"/>
        <v>28638.021331761935</v>
      </c>
      <c r="AN52" s="1118">
        <f t="shared" si="130"/>
        <v>144591.05092390513</v>
      </c>
      <c r="AO52" s="1118">
        <f t="shared" si="130"/>
        <v>31136.895743368295</v>
      </c>
      <c r="AP52" s="1118">
        <f t="shared" si="130"/>
        <v>-5616.8158998646823</v>
      </c>
      <c r="AQ52" s="1124">
        <f t="shared" si="130"/>
        <v>-29543.330337420975</v>
      </c>
      <c r="AR52" s="1149">
        <f>AR42*1000000/AR7</f>
        <v>5726.7718649779854</v>
      </c>
      <c r="AS52" s="1117">
        <f t="shared" si="130"/>
        <v>2149.0473392535218</v>
      </c>
      <c r="AT52" s="1118">
        <f t="shared" si="130"/>
        <v>27207.514776032578</v>
      </c>
      <c r="AU52" s="1118">
        <f t="shared" si="130"/>
        <v>8739.6202005380292</v>
      </c>
      <c r="AV52" s="1118">
        <f t="shared" si="130"/>
        <v>26540.959917382042</v>
      </c>
      <c r="AW52" s="1118">
        <f t="shared" si="130"/>
        <v>15951.094156040368</v>
      </c>
      <c r="AX52" s="1118">
        <f t="shared" si="130"/>
        <v>-346.59502607810714</v>
      </c>
      <c r="AY52" s="1118">
        <f t="shared" si="130"/>
        <v>-22013.714857101284</v>
      </c>
      <c r="AZ52" s="1118">
        <f>AZ42*1000000/AZ7</f>
        <v>32813.276107464008</v>
      </c>
      <c r="BA52" s="1118">
        <f t="shared" si="130"/>
        <v>-38454.751213498726</v>
      </c>
      <c r="BB52" s="1118">
        <f t="shared" si="130"/>
        <v>881.15452038001843</v>
      </c>
      <c r="BC52" s="1118">
        <f t="shared" si="130"/>
        <v>-3497.5420019091775</v>
      </c>
      <c r="BD52" s="1124">
        <f t="shared" si="130"/>
        <v>-1269.4927829830337</v>
      </c>
      <c r="BE52" s="1122">
        <f t="shared" si="130"/>
        <v>65218.558590231361</v>
      </c>
      <c r="BF52" s="1117">
        <f t="shared" si="130"/>
        <v>39841.076738176795</v>
      </c>
      <c r="BG52" s="1118">
        <f t="shared" si="130"/>
        <v>-17672.375414258189</v>
      </c>
      <c r="BH52" s="1118">
        <f t="shared" si="130"/>
        <v>87172.657570093463</v>
      </c>
      <c r="BI52" s="1118">
        <f t="shared" si="130"/>
        <v>85407.497289972904</v>
      </c>
      <c r="BJ52" s="1118">
        <f t="shared" si="130"/>
        <v>93244.693232444668</v>
      </c>
      <c r="BK52" s="1118">
        <f t="shared" si="130"/>
        <v>105488.9376562626</v>
      </c>
      <c r="BL52" s="1118">
        <f t="shared" si="130"/>
        <v>71193.59299383717</v>
      </c>
      <c r="BM52" s="1118">
        <f t="shared" si="130"/>
        <v>32384.452638112973</v>
      </c>
      <c r="BN52" s="1118">
        <f t="shared" si="130"/>
        <v>158988.24742014741</v>
      </c>
      <c r="BO52" s="1118">
        <f t="shared" si="130"/>
        <v>55260.00624926306</v>
      </c>
      <c r="BP52" s="1118">
        <f t="shared" si="130"/>
        <v>42682.208314872252</v>
      </c>
      <c r="BQ52" s="1957">
        <f t="shared" si="130"/>
        <v>52151.695468572354</v>
      </c>
      <c r="BR52" s="1959">
        <f t="shared" ref="BR52:CD52" si="131">BR42*1000000/BR7</f>
        <v>71573.509813640485</v>
      </c>
      <c r="BS52" s="1117">
        <f t="shared" si="131"/>
        <v>50480.399053909321</v>
      </c>
      <c r="BT52" s="2843">
        <f t="shared" si="131"/>
        <v>123793.11149181487</v>
      </c>
      <c r="BU52" s="2843">
        <f t="shared" si="131"/>
        <v>94253.570446348065</v>
      </c>
      <c r="BV52" s="2843">
        <f t="shared" si="131"/>
        <v>57939.701916558821</v>
      </c>
      <c r="BW52" s="2843">
        <f t="shared" si="131"/>
        <v>75848.477439532944</v>
      </c>
      <c r="BX52" s="2843">
        <f t="shared" si="131"/>
        <v>-1059.0665862220271</v>
      </c>
      <c r="BY52" s="2843">
        <f t="shared" si="131"/>
        <v>91229.984316865259</v>
      </c>
      <c r="BZ52" s="2843">
        <f t="shared" si="131"/>
        <v>20957.851067244424</v>
      </c>
      <c r="CA52" s="2843">
        <f t="shared" si="131"/>
        <v>83499.232618547583</v>
      </c>
      <c r="CB52" s="2843">
        <f t="shared" si="131"/>
        <v>27899.753170870743</v>
      </c>
      <c r="CC52" s="2843">
        <f t="shared" si="131"/>
        <v>83661.726714507662</v>
      </c>
      <c r="CD52" s="2844">
        <f t="shared" si="131"/>
        <v>168400.24447973381</v>
      </c>
      <c r="CE52" s="1959">
        <f t="shared" ref="CE52" si="132">CE42*1000000/CE7</f>
        <v>66876.032293656986</v>
      </c>
      <c r="CF52" s="2839">
        <v>66876.032293657001</v>
      </c>
      <c r="CG52" s="2840">
        <v>66876.032293657001</v>
      </c>
      <c r="CH52" s="2840">
        <v>66876.032293657001</v>
      </c>
      <c r="CI52" s="2840">
        <v>66876.032293657001</v>
      </c>
      <c r="CJ52" s="2840">
        <v>66876.032293657001</v>
      </c>
      <c r="CK52" s="2840">
        <v>66876.032293657001</v>
      </c>
      <c r="CL52" s="2840">
        <v>66876.032293657001</v>
      </c>
      <c r="CM52" s="2840">
        <v>66876.032293657001</v>
      </c>
      <c r="CN52" s="2840">
        <v>66876.032293657001</v>
      </c>
      <c r="CO52" s="2840">
        <v>66876.032293657001</v>
      </c>
      <c r="CP52" s="2840">
        <v>66876.032293657001</v>
      </c>
      <c r="CQ52" s="2841">
        <v>66876.032293657001</v>
      </c>
    </row>
    <row r="53" spans="2:95" ht="16.5" hidden="1" customHeight="1">
      <c r="B53" s="3313"/>
      <c r="C53" s="3314"/>
      <c r="D53" s="2" t="s">
        <v>15</v>
      </c>
      <c r="E53" s="23">
        <f t="shared" si="125"/>
        <v>-1904.0854009581788</v>
      </c>
      <c r="F53" s="562">
        <f t="shared" si="125"/>
        <v>10316.621530954535</v>
      </c>
      <c r="G53" s="562">
        <f t="shared" si="125"/>
        <v>-28718.653738644327</v>
      </c>
      <c r="H53" s="562">
        <f t="shared" si="125"/>
        <v>-26248.176326222379</v>
      </c>
      <c r="I53" s="562">
        <f t="shared" si="125"/>
        <v>31603.084226647083</v>
      </c>
      <c r="J53" s="562">
        <f t="shared" si="125"/>
        <v>-32703.025463451806</v>
      </c>
      <c r="K53" s="562">
        <f t="shared" si="125"/>
        <v>27465.587641907528</v>
      </c>
      <c r="L53" s="341">
        <v>-19489.801118571984</v>
      </c>
      <c r="M53" s="341">
        <v>-24815.98305446321</v>
      </c>
      <c r="N53" s="341">
        <f t="shared" ref="N53:R54" si="133">N43*1000000/N8</f>
        <v>-119.22367065055587</v>
      </c>
      <c r="O53" s="341">
        <f t="shared" si="133"/>
        <v>1474.9320266522855</v>
      </c>
      <c r="P53" s="562">
        <f t="shared" si="133"/>
        <v>67726.74333570071</v>
      </c>
      <c r="Q53" s="562">
        <f t="shared" si="133"/>
        <v>12185.577040344953</v>
      </c>
      <c r="R53" s="23">
        <f t="shared" si="133"/>
        <v>-33807.776993206833</v>
      </c>
      <c r="S53" s="562">
        <f t="shared" ref="S53:V54" si="134">S43/S8*1000000</f>
        <v>45334.948571855202</v>
      </c>
      <c r="T53" s="562">
        <f t="shared" si="134"/>
        <v>-37875.37993369461</v>
      </c>
      <c r="U53" s="562">
        <f t="shared" si="134"/>
        <v>-97236.953307813354</v>
      </c>
      <c r="V53" s="562">
        <f t="shared" si="134"/>
        <v>-39417.601227929423</v>
      </c>
      <c r="W53" s="562">
        <f t="shared" ref="W53:X53" si="135">W43/W8*1000000</f>
        <v>-46405.192261568518</v>
      </c>
      <c r="X53" s="562">
        <f t="shared" si="135"/>
        <v>-34141.95153408539</v>
      </c>
      <c r="Y53" s="562">
        <f t="shared" ref="Y53:Z53" si="136">Y43/Y8*1000000</f>
        <v>-62939.997176842597</v>
      </c>
      <c r="Z53" s="562">
        <f t="shared" si="136"/>
        <v>-53430.385643489986</v>
      </c>
      <c r="AA53" s="562">
        <f t="shared" ref="AA53:AB53" si="137">AA43/AA8*1000000</f>
        <v>-5142.0430830757859</v>
      </c>
      <c r="AB53" s="562">
        <f t="shared" si="137"/>
        <v>-26373.786727539547</v>
      </c>
      <c r="AC53" s="562">
        <f t="shared" ref="AC53:AD53" si="138">AC43/AC8*1000000</f>
        <v>-23667.948939230486</v>
      </c>
      <c r="AD53" s="562">
        <f t="shared" si="138"/>
        <v>-19348.214013456953</v>
      </c>
      <c r="AE53" s="1112">
        <f t="shared" ref="AE53" si="139">AE43*1000000/AE8</f>
        <v>-59782.680120570876</v>
      </c>
      <c r="AF53" s="1125">
        <f t="shared" ref="AF53:AG53" si="140">AF43/AF8*1000000</f>
        <v>-9898.1647840138794</v>
      </c>
      <c r="AG53" s="1126">
        <f t="shared" si="140"/>
        <v>-34885.435601635494</v>
      </c>
      <c r="AH53" s="1126">
        <f t="shared" ref="AH53:AI53" si="141">AH43/AH8*1000000</f>
        <v>-90465.112429546134</v>
      </c>
      <c r="AI53" s="1126">
        <f t="shared" si="141"/>
        <v>-30897.0771601134</v>
      </c>
      <c r="AJ53" s="1126">
        <f t="shared" ref="AJ53:AQ53" si="142">AJ43/AJ8*1000000</f>
        <v>-72163.646351062634</v>
      </c>
      <c r="AK53" s="1126">
        <f t="shared" si="142"/>
        <v>-91435.066302281368</v>
      </c>
      <c r="AL53" s="1126">
        <f t="shared" si="142"/>
        <v>-70319.687073863635</v>
      </c>
      <c r="AM53" s="1126">
        <f t="shared" si="142"/>
        <v>-71227.463799465579</v>
      </c>
      <c r="AN53" s="1126">
        <f t="shared" si="142"/>
        <v>-69980.550333086605</v>
      </c>
      <c r="AO53" s="1126">
        <f t="shared" si="142"/>
        <v>-73340.156384031667</v>
      </c>
      <c r="AP53" s="1126">
        <f t="shared" si="142"/>
        <v>-42334.822645099906</v>
      </c>
      <c r="AQ53" s="1127">
        <f t="shared" si="142"/>
        <v>-43982.04915547854</v>
      </c>
      <c r="AR53" s="206">
        <f>AR43*1000000/AR8</f>
        <v>-77191.855896722991</v>
      </c>
      <c r="AS53" s="1125">
        <f t="shared" ref="AS53:BD53" si="143">AS43/AS8*1000000</f>
        <v>-80409.816827853007</v>
      </c>
      <c r="AT53" s="1126">
        <f t="shared" si="143"/>
        <v>-64144.103006256672</v>
      </c>
      <c r="AU53" s="1126">
        <f t="shared" si="143"/>
        <v>-73609.502200406219</v>
      </c>
      <c r="AV53" s="1126">
        <f t="shared" si="143"/>
        <v>-45770.424965490041</v>
      </c>
      <c r="AW53" s="1126">
        <f t="shared" si="143"/>
        <v>-75392.121922428341</v>
      </c>
      <c r="AX53" s="1126">
        <f t="shared" si="143"/>
        <v>-99413.081106161844</v>
      </c>
      <c r="AY53" s="1126">
        <f t="shared" si="143"/>
        <v>-89720.269816477929</v>
      </c>
      <c r="AZ53" s="1126">
        <f t="shared" si="143"/>
        <v>-76729.604764005286</v>
      </c>
      <c r="BA53" s="1126">
        <f t="shared" si="143"/>
        <v>-62261.036187623751</v>
      </c>
      <c r="BB53" s="1126">
        <f t="shared" si="143"/>
        <v>-96361.216303802488</v>
      </c>
      <c r="BC53" s="1126">
        <f t="shared" si="143"/>
        <v>-83344.795360945907</v>
      </c>
      <c r="BD53" s="1127">
        <f t="shared" si="143"/>
        <v>-77960.394132999412</v>
      </c>
      <c r="BE53" s="1119">
        <f>BE43*1000000/BE8</f>
        <v>-10030.386820079097</v>
      </c>
      <c r="BF53" s="1125">
        <f t="shared" ref="BF53" si="144">BF43/BF8*1000000</f>
        <v>-79520.410409414893</v>
      </c>
      <c r="BG53" s="1126">
        <f t="shared" ref="BG53:BQ53" si="145">BG43/BG8*1000000</f>
        <v>-55587.592677367291</v>
      </c>
      <c r="BH53" s="1126">
        <f t="shared" si="145"/>
        <v>-15657.097362578119</v>
      </c>
      <c r="BI53" s="1126">
        <f t="shared" si="145"/>
        <v>8181.5911291975071</v>
      </c>
      <c r="BJ53" s="1126">
        <f t="shared" si="145"/>
        <v>10297.246592023557</v>
      </c>
      <c r="BK53" s="1126">
        <f t="shared" si="145"/>
        <v>14931.149380885499</v>
      </c>
      <c r="BL53" s="1126">
        <f t="shared" si="145"/>
        <v>-19441.550774134586</v>
      </c>
      <c r="BM53" s="1126">
        <f t="shared" si="145"/>
        <v>21592.474760147372</v>
      </c>
      <c r="BN53" s="1126">
        <f t="shared" si="145"/>
        <v>-3536.8279286992852</v>
      </c>
      <c r="BO53" s="1126">
        <f t="shared" si="145"/>
        <v>6004.5213689618595</v>
      </c>
      <c r="BP53" s="1126">
        <f t="shared" si="145"/>
        <v>7732.8291448060891</v>
      </c>
      <c r="BQ53" s="1940">
        <f t="shared" si="145"/>
        <v>1825.3819296158895</v>
      </c>
      <c r="BR53" s="1119">
        <f>BR43*1000000/BR8</f>
        <v>-47.400840741767851</v>
      </c>
      <c r="BS53" s="957">
        <f t="shared" ref="BS53:CD53" si="146">BS43/BS8*1000000</f>
        <v>678.94640958726393</v>
      </c>
      <c r="BT53" s="879">
        <f t="shared" si="146"/>
        <v>221.94908481567413</v>
      </c>
      <c r="BU53" s="879">
        <f t="shared" si="146"/>
        <v>-1175.5275489186406</v>
      </c>
      <c r="BV53" s="879">
        <f t="shared" si="146"/>
        <v>-521.64935450363555</v>
      </c>
      <c r="BW53" s="879">
        <f t="shared" si="146"/>
        <v>-74.740514650638616</v>
      </c>
      <c r="BX53" s="879">
        <f t="shared" si="146"/>
        <v>-70.909863747525321</v>
      </c>
      <c r="BY53" s="879">
        <f t="shared" si="146"/>
        <v>0</v>
      </c>
      <c r="BZ53" s="879">
        <f t="shared" si="146"/>
        <v>0</v>
      </c>
      <c r="CA53" s="879">
        <f t="shared" si="146"/>
        <v>0</v>
      </c>
      <c r="CB53" s="879">
        <f t="shared" si="146"/>
        <v>0</v>
      </c>
      <c r="CC53" s="879">
        <f t="shared" si="146"/>
        <v>0</v>
      </c>
      <c r="CD53" s="1668">
        <f t="shared" si="146"/>
        <v>0</v>
      </c>
      <c r="CE53" s="1119">
        <f>CE43*1000000/CE8</f>
        <v>-52.559068086184581</v>
      </c>
      <c r="CF53" s="957">
        <f t="shared" ref="CF53:CQ53" si="147">CF43/CF8*1000000</f>
        <v>712.78315416469206</v>
      </c>
      <c r="CG53" s="879">
        <f t="shared" si="147"/>
        <v>238.81233825044487</v>
      </c>
      <c r="CH53" s="879">
        <f t="shared" si="147"/>
        <v>-860.70979601912143</v>
      </c>
      <c r="CI53" s="879">
        <f t="shared" si="147"/>
        <v>-552.45943841822623</v>
      </c>
      <c r="CJ53" s="879">
        <f t="shared" si="147"/>
        <v>-110.54606152165861</v>
      </c>
      <c r="CK53" s="879">
        <f t="shared" si="147"/>
        <v>-90.30198630424141</v>
      </c>
      <c r="CL53" s="879">
        <f t="shared" si="147"/>
        <v>0</v>
      </c>
      <c r="CM53" s="879">
        <f t="shared" si="147"/>
        <v>0</v>
      </c>
      <c r="CN53" s="879">
        <f t="shared" si="147"/>
        <v>0</v>
      </c>
      <c r="CO53" s="879">
        <f t="shared" si="147"/>
        <v>0</v>
      </c>
      <c r="CP53" s="879">
        <f t="shared" si="147"/>
        <v>0</v>
      </c>
      <c r="CQ53" s="1668">
        <f t="shared" si="147"/>
        <v>0</v>
      </c>
    </row>
    <row r="54" spans="2:95" ht="16.5" hidden="1" customHeight="1">
      <c r="B54" s="3313"/>
      <c r="C54" s="3314"/>
      <c r="D54" s="2" t="s">
        <v>16</v>
      </c>
      <c r="E54" s="23">
        <f t="shared" si="125"/>
        <v>46166.997979053747</v>
      </c>
      <c r="F54" s="562">
        <f t="shared" si="125"/>
        <v>38875.785010555948</v>
      </c>
      <c r="G54" s="562">
        <f t="shared" si="125"/>
        <v>25948.566351540616</v>
      </c>
      <c r="H54" s="562">
        <f t="shared" si="125"/>
        <v>112386.96354248159</v>
      </c>
      <c r="I54" s="562">
        <f t="shared" si="125"/>
        <v>56841.759327165149</v>
      </c>
      <c r="J54" s="562">
        <f t="shared" si="125"/>
        <v>15632.383709224849</v>
      </c>
      <c r="K54" s="562">
        <f t="shared" si="125"/>
        <v>17183.62942325378</v>
      </c>
      <c r="L54" s="314">
        <v>25611.160016748498</v>
      </c>
      <c r="M54" s="314">
        <v>93743.476371091761</v>
      </c>
      <c r="N54" s="314">
        <f t="shared" si="133"/>
        <v>44196.658185015476</v>
      </c>
      <c r="O54" s="314">
        <f t="shared" si="133"/>
        <v>48706.217367955527</v>
      </c>
      <c r="P54" s="562">
        <f t="shared" si="133"/>
        <v>19091.097177318108</v>
      </c>
      <c r="Q54" s="562">
        <f t="shared" si="133"/>
        <v>53592.040145798717</v>
      </c>
      <c r="R54" s="23">
        <f t="shared" si="133"/>
        <v>69533.345935086152</v>
      </c>
      <c r="S54" s="562">
        <f t="shared" si="134"/>
        <v>60386.16918717284</v>
      </c>
      <c r="T54" s="562">
        <f t="shared" si="134"/>
        <v>41691.869138486087</v>
      </c>
      <c r="U54" s="562">
        <f t="shared" si="134"/>
        <v>37112.020401483009</v>
      </c>
      <c r="V54" s="562">
        <f t="shared" si="134"/>
        <v>68866.928362765189</v>
      </c>
      <c r="W54" s="562">
        <f t="shared" ref="W54:X54" si="148">W44/W9*1000000</f>
        <v>83917.44147811229</v>
      </c>
      <c r="X54" s="562">
        <f t="shared" si="148"/>
        <v>79831.294354210535</v>
      </c>
      <c r="Y54" s="562">
        <f t="shared" ref="Y54:Z54" si="149">Y44/Y9*1000000</f>
        <v>74835.716400789621</v>
      </c>
      <c r="Z54" s="562">
        <f t="shared" si="149"/>
        <v>68684.260256768059</v>
      </c>
      <c r="AA54" s="562">
        <f t="shared" ref="AA54:AB54" si="150">AA44/AA9*1000000</f>
        <v>75525.788617886166</v>
      </c>
      <c r="AB54" s="562">
        <f t="shared" si="150"/>
        <v>97794.002366040353</v>
      </c>
      <c r="AC54" s="562">
        <f t="shared" ref="AC54:AD54" si="151">AC44/AC9*1000000</f>
        <v>92161.797953632951</v>
      </c>
      <c r="AD54" s="562">
        <f t="shared" si="151"/>
        <v>46622.524896659706</v>
      </c>
      <c r="AE54" s="1112">
        <f t="shared" ref="AE54" si="152">AE44*1000000/AE9</f>
        <v>74647.049714915964</v>
      </c>
      <c r="AF54" s="1125">
        <f t="shared" ref="AF54:AG54" si="153">AF44/AF9*1000000</f>
        <v>62705.228789635192</v>
      </c>
      <c r="AG54" s="1126">
        <f t="shared" si="153"/>
        <v>81826.792885740681</v>
      </c>
      <c r="AH54" s="1126">
        <f t="shared" ref="AH54:AI54" si="154">AH44/AH9*1000000</f>
        <v>46785.438168592205</v>
      </c>
      <c r="AI54" s="1126">
        <f t="shared" si="154"/>
        <v>65632.551009421266</v>
      </c>
      <c r="AJ54" s="1126">
        <f t="shared" ref="AJ54:AK54" si="155">AJ44/AJ9*1000000</f>
        <v>98107.242343541948</v>
      </c>
      <c r="AK54" s="1126">
        <f t="shared" si="155"/>
        <v>103702.61995806094</v>
      </c>
      <c r="AL54" s="1126">
        <f t="shared" ref="AL54:AQ54" si="156">AL44/AL9*1000000</f>
        <v>68172.458766909476</v>
      </c>
      <c r="AM54" s="1126">
        <f t="shared" si="156"/>
        <v>118607.48398747893</v>
      </c>
      <c r="AN54" s="1126">
        <f t="shared" si="156"/>
        <v>81240.805582158966</v>
      </c>
      <c r="AO54" s="1126">
        <f t="shared" si="156"/>
        <v>108885.14981729598</v>
      </c>
      <c r="AP54" s="1126">
        <f t="shared" si="156"/>
        <v>25100.608765304954</v>
      </c>
      <c r="AQ54" s="1127">
        <f t="shared" si="156"/>
        <v>30916.777998263668</v>
      </c>
      <c r="AR54" s="206">
        <f>AR44*1000000/AR9</f>
        <v>60784.647780677893</v>
      </c>
      <c r="AS54" s="1125">
        <f t="shared" ref="AS54:BD54" si="157">AS44/AS9*1000000</f>
        <v>63744.493342065056</v>
      </c>
      <c r="AT54" s="1126">
        <f t="shared" si="157"/>
        <v>100629</v>
      </c>
      <c r="AU54" s="1126">
        <f t="shared" si="157"/>
        <v>55068.276476578416</v>
      </c>
      <c r="AV54" s="1126">
        <f t="shared" si="157"/>
        <v>74045.767925671578</v>
      </c>
      <c r="AW54" s="1126">
        <f t="shared" si="157"/>
        <v>68672.217236255572</v>
      </c>
      <c r="AX54" s="1126">
        <f t="shared" si="157"/>
        <v>58072.959672403071</v>
      </c>
      <c r="AY54" s="1126">
        <f t="shared" si="157"/>
        <v>14657.14611528822</v>
      </c>
      <c r="AZ54" s="1126">
        <f t="shared" si="157"/>
        <v>105149.76332258676</v>
      </c>
      <c r="BA54" s="1126">
        <f t="shared" si="157"/>
        <v>-27008.936200048713</v>
      </c>
      <c r="BB54" s="1126">
        <f t="shared" si="157"/>
        <v>84001.398459612334</v>
      </c>
      <c r="BC54" s="1126">
        <f t="shared" si="157"/>
        <v>53304.79315680021</v>
      </c>
      <c r="BD54" s="1127">
        <f t="shared" si="157"/>
        <v>40055.393813354283</v>
      </c>
      <c r="BE54" s="1119">
        <f>BE44*1000000/BE9</f>
        <v>118059.48447648938</v>
      </c>
      <c r="BF54" s="1125">
        <f t="shared" ref="BF54" si="158">BF44/BF9*1000000</f>
        <v>114989.22263469451</v>
      </c>
      <c r="BG54" s="1126">
        <f t="shared" ref="BG54:BQ54" si="159">BG44/BG9*1000000</f>
        <v>5633.3604338435489</v>
      </c>
      <c r="BH54" s="1126">
        <f t="shared" si="159"/>
        <v>161867.05121433813</v>
      </c>
      <c r="BI54" s="1126">
        <f t="shared" si="159"/>
        <v>145447.71557234286</v>
      </c>
      <c r="BJ54" s="1126">
        <f t="shared" si="159"/>
        <v>149506.46453126214</v>
      </c>
      <c r="BK54" s="1126">
        <f t="shared" si="159"/>
        <v>166898.2837291786</v>
      </c>
      <c r="BL54" s="1126">
        <f t="shared" si="159"/>
        <v>143495.53107954038</v>
      </c>
      <c r="BM54" s="1126">
        <f t="shared" si="159"/>
        <v>35941.769218751819</v>
      </c>
      <c r="BN54" s="1126">
        <f t="shared" si="159"/>
        <v>241855.18972925172</v>
      </c>
      <c r="BO54" s="1126">
        <f t="shared" si="159"/>
        <v>94861.728632182479</v>
      </c>
      <c r="BP54" s="1126">
        <f t="shared" si="159"/>
        <v>58625.735018900217</v>
      </c>
      <c r="BQ54" s="1940">
        <f t="shared" si="159"/>
        <v>99925.377358311933</v>
      </c>
      <c r="BR54" s="1119">
        <f>BR44*1000000/BR9</f>
        <v>56212.370555513262</v>
      </c>
      <c r="BS54" s="957">
        <f t="shared" ref="BS54:CD54" si="160">BS44/BS9*1000000</f>
        <v>77681.103890742335</v>
      </c>
      <c r="BT54" s="879">
        <f t="shared" si="160"/>
        <v>204929.79827937516</v>
      </c>
      <c r="BU54" s="879">
        <f t="shared" si="160"/>
        <v>78355.223497997329</v>
      </c>
      <c r="BV54" s="879">
        <f t="shared" si="160"/>
        <v>106847.63265895954</v>
      </c>
      <c r="BW54" s="879">
        <f t="shared" si="160"/>
        <v>130636.36454481864</v>
      </c>
      <c r="BX54" s="879">
        <f t="shared" si="160"/>
        <v>-9262.9928894634777</v>
      </c>
      <c r="BY54" s="879">
        <f t="shared" si="160"/>
        <v>0</v>
      </c>
      <c r="BZ54" s="879">
        <f t="shared" si="160"/>
        <v>0</v>
      </c>
      <c r="CA54" s="879">
        <f t="shared" si="160"/>
        <v>0</v>
      </c>
      <c r="CB54" s="879">
        <f t="shared" si="160"/>
        <v>0</v>
      </c>
      <c r="CC54" s="879">
        <f t="shared" si="160"/>
        <v>0</v>
      </c>
      <c r="CD54" s="1668">
        <f t="shared" si="160"/>
        <v>0</v>
      </c>
      <c r="CE54" s="1119">
        <f>CE44*1000000/CE9</f>
        <v>65049.806789934162</v>
      </c>
      <c r="CF54" s="957">
        <f t="shared" ref="CF54:CQ54" si="161">CF44/CF9*1000000</f>
        <v>68619.188398161816</v>
      </c>
      <c r="CG54" s="879">
        <f t="shared" si="161"/>
        <v>280058.60961073963</v>
      </c>
      <c r="CH54" s="879">
        <f t="shared" si="161"/>
        <v>61701.721729739736</v>
      </c>
      <c r="CI54" s="879">
        <f t="shared" si="161"/>
        <v>129607.4778972669</v>
      </c>
      <c r="CJ54" s="879">
        <f t="shared" si="161"/>
        <v>202544.25418480986</v>
      </c>
      <c r="CK54" s="879">
        <f t="shared" si="161"/>
        <v>-9481.6434297116884</v>
      </c>
      <c r="CL54" s="879">
        <f t="shared" si="161"/>
        <v>0</v>
      </c>
      <c r="CM54" s="879">
        <f t="shared" si="161"/>
        <v>0</v>
      </c>
      <c r="CN54" s="879">
        <f t="shared" si="161"/>
        <v>0</v>
      </c>
      <c r="CO54" s="879">
        <f t="shared" si="161"/>
        <v>0</v>
      </c>
      <c r="CP54" s="879">
        <f t="shared" si="161"/>
        <v>0</v>
      </c>
      <c r="CQ54" s="1668">
        <f t="shared" si="161"/>
        <v>0</v>
      </c>
    </row>
    <row r="55" spans="2:95" ht="16.5" hidden="1" customHeight="1">
      <c r="B55" s="3313"/>
      <c r="C55" s="3314"/>
      <c r="D55" s="2" t="s">
        <v>575</v>
      </c>
      <c r="E55" s="23">
        <f>IFERROR(E45*1000000/E10,0)</f>
        <v>0</v>
      </c>
      <c r="F55" s="562"/>
      <c r="G55" s="562"/>
      <c r="H55" s="562"/>
      <c r="I55" s="562"/>
      <c r="J55" s="562"/>
      <c r="K55" s="562"/>
      <c r="L55" s="314"/>
      <c r="M55" s="314"/>
      <c r="N55" s="314"/>
      <c r="O55" s="314"/>
      <c r="P55" s="562"/>
      <c r="Q55" s="562"/>
      <c r="R55" s="23">
        <f>IFERROR(R45*1000000/R10,0)</f>
        <v>0</v>
      </c>
      <c r="S55" s="562"/>
      <c r="T55" s="562"/>
      <c r="U55" s="562"/>
      <c r="V55" s="562"/>
      <c r="W55" s="562"/>
      <c r="X55" s="562"/>
      <c r="Y55" s="562"/>
      <c r="Z55" s="562"/>
      <c r="AA55" s="562"/>
      <c r="AB55" s="562"/>
      <c r="AC55" s="562"/>
      <c r="AD55" s="562"/>
      <c r="AE55" s="1112">
        <f>IFERROR(AE45*1000000/AE10,0)</f>
        <v>0</v>
      </c>
      <c r="AF55" s="1125"/>
      <c r="AG55" s="1126"/>
      <c r="AH55" s="1126"/>
      <c r="AI55" s="1126"/>
      <c r="AJ55" s="1126"/>
      <c r="AK55" s="1126"/>
      <c r="AL55" s="1126"/>
      <c r="AM55" s="1126"/>
      <c r="AN55" s="1126"/>
      <c r="AO55" s="1126"/>
      <c r="AP55" s="1126"/>
      <c r="AQ55" s="1127"/>
      <c r="AR55" s="206">
        <f>IFERROR(AR45*1000000/AR10,0)</f>
        <v>0</v>
      </c>
      <c r="AS55" s="1125"/>
      <c r="AT55" s="1126"/>
      <c r="AU55" s="1126"/>
      <c r="AV55" s="1126"/>
      <c r="AW55" s="1126"/>
      <c r="AX55" s="1126"/>
      <c r="AY55" s="1126"/>
      <c r="AZ55" s="1126"/>
      <c r="BA55" s="1126"/>
      <c r="BB55" s="1126"/>
      <c r="BC55" s="1126"/>
      <c r="BD55" s="1127"/>
      <c r="BE55" s="1119">
        <f>IFERROR(BE45*1000000/BE10,0)</f>
        <v>0</v>
      </c>
      <c r="BF55" s="1125"/>
      <c r="BG55" s="1126"/>
      <c r="BH55" s="1126"/>
      <c r="BI55" s="1126"/>
      <c r="BJ55" s="1126"/>
      <c r="BK55" s="1126"/>
      <c r="BL55" s="1126"/>
      <c r="BM55" s="1126"/>
      <c r="BN55" s="1126"/>
      <c r="BO55" s="1126"/>
      <c r="BP55" s="1126"/>
      <c r="BQ55" s="1940"/>
      <c r="BR55" s="1119">
        <f>IFERROR(BR45*1000000/BR10,0)</f>
        <v>83506.128243662941</v>
      </c>
      <c r="BS55" s="957">
        <f>BS45/BS10*1000000</f>
        <v>205399.02409638555</v>
      </c>
      <c r="BT55" s="879">
        <f t="shared" ref="BT55:CD55" si="162">BT45/BT10*1000000</f>
        <v>280354.35718341853</v>
      </c>
      <c r="BU55" s="879">
        <f t="shared" si="162"/>
        <v>410228.77033065236</v>
      </c>
      <c r="BV55" s="879">
        <f t="shared" si="162"/>
        <v>143941.32409739713</v>
      </c>
      <c r="BW55" s="879">
        <f t="shared" si="162"/>
        <v>130411.06604784005</v>
      </c>
      <c r="BX55" s="879">
        <f t="shared" si="162"/>
        <v>185865.19134033748</v>
      </c>
      <c r="BY55" s="879">
        <f t="shared" si="162"/>
        <v>0</v>
      </c>
      <c r="BZ55" s="879">
        <f t="shared" si="162"/>
        <v>0</v>
      </c>
      <c r="CA55" s="879">
        <f t="shared" si="162"/>
        <v>0</v>
      </c>
      <c r="CB55" s="879">
        <f t="shared" si="162"/>
        <v>0</v>
      </c>
      <c r="CC55" s="879">
        <f t="shared" si="162"/>
        <v>0</v>
      </c>
      <c r="CD55" s="1668">
        <f t="shared" si="162"/>
        <v>0</v>
      </c>
      <c r="CE55" s="1119">
        <f>IFERROR(CE45*1000000/CE10,0)</f>
        <v>104800.84282295205</v>
      </c>
      <c r="CF55" s="957">
        <f>CF45/CF10*1000000</f>
        <v>153116.0807562808</v>
      </c>
      <c r="CG55" s="879">
        <f t="shared" ref="CG55:CQ55" si="163">CG45/CG10*1000000</f>
        <v>217484.67346406565</v>
      </c>
      <c r="CH55" s="879">
        <f t="shared" si="163"/>
        <v>274858.56743941933</v>
      </c>
      <c r="CI55" s="879">
        <f t="shared" si="163"/>
        <v>171144.08000186551</v>
      </c>
      <c r="CJ55" s="879">
        <f t="shared" si="163"/>
        <v>161159.18613451478</v>
      </c>
      <c r="CK55" s="879">
        <f t="shared" si="163"/>
        <v>274994.21180294937</v>
      </c>
      <c r="CL55" s="879">
        <f t="shared" si="163"/>
        <v>0</v>
      </c>
      <c r="CM55" s="879">
        <f t="shared" si="163"/>
        <v>0</v>
      </c>
      <c r="CN55" s="879">
        <f t="shared" si="163"/>
        <v>0</v>
      </c>
      <c r="CO55" s="879">
        <f t="shared" si="163"/>
        <v>0</v>
      </c>
      <c r="CP55" s="879">
        <f t="shared" si="163"/>
        <v>0</v>
      </c>
      <c r="CQ55" s="1668">
        <f t="shared" si="163"/>
        <v>0</v>
      </c>
    </row>
    <row r="56" spans="2:95" ht="16.5" hidden="1" customHeight="1">
      <c r="B56" s="3313"/>
      <c r="C56" s="3314"/>
      <c r="D56" s="2" t="s">
        <v>258</v>
      </c>
      <c r="E56" s="23">
        <f t="shared" ref="E56:J56" si="164">E46*1000000/(E11+E12+E13)</f>
        <v>-14456.374419804028</v>
      </c>
      <c r="F56" s="562">
        <f t="shared" si="164"/>
        <v>-74450.174831892407</v>
      </c>
      <c r="G56" s="562">
        <f t="shared" si="164"/>
        <v>4432.2218476061962</v>
      </c>
      <c r="H56" s="562">
        <f t="shared" si="164"/>
        <v>182759.56864654334</v>
      </c>
      <c r="I56" s="562">
        <f t="shared" si="164"/>
        <v>-490604.21052631579</v>
      </c>
      <c r="J56" s="562">
        <f t="shared" si="164"/>
        <v>-1161561.25</v>
      </c>
      <c r="K56" s="562"/>
      <c r="L56" s="314"/>
      <c r="M56" s="314"/>
      <c r="N56" s="314"/>
      <c r="O56" s="314"/>
      <c r="P56" s="562"/>
      <c r="Q56" s="562"/>
      <c r="R56" s="23"/>
      <c r="S56" s="562"/>
      <c r="T56" s="562"/>
      <c r="U56" s="562"/>
      <c r="V56" s="562"/>
      <c r="W56" s="562"/>
      <c r="X56" s="562"/>
      <c r="Y56" s="562"/>
      <c r="Z56" s="562"/>
      <c r="AA56" s="562"/>
      <c r="AB56" s="562"/>
      <c r="AC56" s="562"/>
      <c r="AD56" s="562"/>
      <c r="AE56" s="1112"/>
      <c r="AF56" s="1125"/>
      <c r="AG56" s="1126"/>
      <c r="AH56" s="1126"/>
      <c r="AI56" s="1126"/>
      <c r="AJ56" s="1126"/>
      <c r="AK56" s="1126"/>
      <c r="AL56" s="1126"/>
      <c r="AM56" s="1126"/>
      <c r="AN56" s="1126"/>
      <c r="AO56" s="1126"/>
      <c r="AP56" s="1126"/>
      <c r="AQ56" s="1127"/>
      <c r="AR56" s="206"/>
      <c r="AS56" s="1125"/>
      <c r="AT56" s="1126"/>
      <c r="AU56" s="1126"/>
      <c r="AV56" s="1126"/>
      <c r="AW56" s="1126"/>
      <c r="AX56" s="1126"/>
      <c r="AY56" s="1126"/>
      <c r="AZ56" s="1126"/>
      <c r="BA56" s="1126"/>
      <c r="BB56" s="1126"/>
      <c r="BC56" s="1126"/>
      <c r="BD56" s="1127"/>
      <c r="BE56" s="1119"/>
      <c r="BF56" s="1125"/>
      <c r="BG56" s="1126"/>
      <c r="BH56" s="1126"/>
      <c r="BI56" s="1126"/>
      <c r="BJ56" s="1126"/>
      <c r="BK56" s="1126"/>
      <c r="BL56" s="1126"/>
      <c r="BM56" s="1126"/>
      <c r="BN56" s="1126"/>
      <c r="BO56" s="1126"/>
      <c r="BP56" s="1126"/>
      <c r="BQ56" s="1940"/>
      <c r="BR56" s="1119"/>
      <c r="BS56" s="957"/>
      <c r="BT56" s="879"/>
      <c r="BU56" s="879"/>
      <c r="BV56" s="879"/>
      <c r="BW56" s="879"/>
      <c r="BX56" s="879"/>
      <c r="BY56" s="879"/>
      <c r="BZ56" s="879"/>
      <c r="CA56" s="879"/>
      <c r="CB56" s="879"/>
      <c r="CC56" s="879"/>
      <c r="CD56" s="1668"/>
      <c r="CE56" s="1119"/>
      <c r="CF56" s="957"/>
      <c r="CG56" s="879"/>
      <c r="CH56" s="879"/>
      <c r="CI56" s="879"/>
      <c r="CJ56" s="879"/>
      <c r="CK56" s="879"/>
      <c r="CL56" s="879"/>
      <c r="CM56" s="879"/>
      <c r="CN56" s="879"/>
      <c r="CO56" s="879"/>
      <c r="CP56" s="879"/>
      <c r="CQ56" s="1668"/>
    </row>
    <row r="57" spans="2:95" ht="16.5" hidden="1" customHeight="1">
      <c r="B57" s="3313"/>
      <c r="C57" s="3314"/>
      <c r="D57" s="143" t="s">
        <v>54</v>
      </c>
      <c r="E57" s="22"/>
      <c r="F57" s="563"/>
      <c r="G57" s="563"/>
      <c r="H57" s="563"/>
      <c r="I57" s="563"/>
      <c r="J57" s="563"/>
      <c r="K57" s="563"/>
      <c r="L57" s="315"/>
      <c r="M57" s="315"/>
      <c r="N57" s="315"/>
      <c r="O57" s="315"/>
      <c r="P57" s="563"/>
      <c r="Q57" s="563"/>
      <c r="R57" s="22"/>
      <c r="S57" s="563"/>
      <c r="T57" s="563"/>
      <c r="U57" s="563"/>
      <c r="V57" s="563"/>
      <c r="W57" s="563"/>
      <c r="X57" s="563"/>
      <c r="Y57" s="563"/>
      <c r="Z57" s="563"/>
      <c r="AA57" s="563"/>
      <c r="AB57" s="563"/>
      <c r="AC57" s="563"/>
      <c r="AD57" s="563"/>
      <c r="AE57" s="1113"/>
      <c r="AF57" s="1128"/>
      <c r="AG57" s="1129"/>
      <c r="AH57" s="1129"/>
      <c r="AI57" s="1129"/>
      <c r="AJ57" s="1129"/>
      <c r="AK57" s="1129"/>
      <c r="AL57" s="1129"/>
      <c r="AM57" s="1129"/>
      <c r="AN57" s="1129"/>
      <c r="AO57" s="1129"/>
      <c r="AP57" s="1129"/>
      <c r="AQ57" s="1130"/>
      <c r="AR57" s="207"/>
      <c r="AS57" s="1128"/>
      <c r="AT57" s="1129"/>
      <c r="AU57" s="1129"/>
      <c r="AV57" s="1129"/>
      <c r="AW57" s="1129"/>
      <c r="AX57" s="1129"/>
      <c r="AY57" s="1129"/>
      <c r="AZ57" s="1129"/>
      <c r="BA57" s="1129"/>
      <c r="BB57" s="1129"/>
      <c r="BC57" s="1129"/>
      <c r="BD57" s="1130"/>
      <c r="BE57" s="1120"/>
      <c r="BF57" s="1128"/>
      <c r="BG57" s="1129"/>
      <c r="BH57" s="1129"/>
      <c r="BI57" s="1129"/>
      <c r="BJ57" s="1129"/>
      <c r="BK57" s="1129"/>
      <c r="BL57" s="1129"/>
      <c r="BM57" s="1129"/>
      <c r="BN57" s="1129"/>
      <c r="BO57" s="1129"/>
      <c r="BP57" s="1129"/>
      <c r="BQ57" s="1941"/>
      <c r="BR57" s="1120"/>
      <c r="BS57" s="1881"/>
      <c r="BT57" s="1879"/>
      <c r="BU57" s="1879"/>
      <c r="BV57" s="1879"/>
      <c r="BW57" s="1879"/>
      <c r="BX57" s="1879"/>
      <c r="BY57" s="1879"/>
      <c r="BZ57" s="1879"/>
      <c r="CA57" s="1879"/>
      <c r="CB57" s="1879"/>
      <c r="CC57" s="1879"/>
      <c r="CD57" s="1739"/>
      <c r="CE57" s="1120"/>
      <c r="CF57" s="1881"/>
      <c r="CG57" s="1879"/>
      <c r="CH57" s="1879"/>
      <c r="CI57" s="1879"/>
      <c r="CJ57" s="1879"/>
      <c r="CK57" s="1879"/>
      <c r="CL57" s="1879"/>
      <c r="CM57" s="1879"/>
      <c r="CN57" s="1879"/>
      <c r="CO57" s="1879"/>
      <c r="CP57" s="1879"/>
      <c r="CQ57" s="1739"/>
    </row>
    <row r="58" spans="2:95" ht="16.5" hidden="1" customHeight="1">
      <c r="B58" s="3313"/>
      <c r="C58" s="3314"/>
      <c r="D58" s="144" t="s">
        <v>17</v>
      </c>
      <c r="E58" s="23"/>
      <c r="F58" s="562"/>
      <c r="G58" s="562"/>
      <c r="H58" s="562"/>
      <c r="I58" s="562"/>
      <c r="J58" s="562"/>
      <c r="K58" s="562"/>
      <c r="L58" s="314"/>
      <c r="M58" s="314"/>
      <c r="N58" s="314"/>
      <c r="O58" s="314"/>
      <c r="P58" s="562"/>
      <c r="Q58" s="562"/>
      <c r="R58" s="23"/>
      <c r="S58" s="562"/>
      <c r="T58" s="562"/>
      <c r="U58" s="562"/>
      <c r="V58" s="562"/>
      <c r="W58" s="562"/>
      <c r="X58" s="562"/>
      <c r="Y58" s="562"/>
      <c r="Z58" s="562"/>
      <c r="AA58" s="562"/>
      <c r="AB58" s="562"/>
      <c r="AC58" s="562"/>
      <c r="AD58" s="562"/>
      <c r="AE58" s="1112"/>
      <c r="AF58" s="1125"/>
      <c r="AG58" s="1126"/>
      <c r="AH58" s="1126"/>
      <c r="AI58" s="1126"/>
      <c r="AJ58" s="1126"/>
      <c r="AK58" s="1126"/>
      <c r="AL58" s="1126"/>
      <c r="AM58" s="1126"/>
      <c r="AN58" s="1126"/>
      <c r="AO58" s="1126"/>
      <c r="AP58" s="1126"/>
      <c r="AQ58" s="1127"/>
      <c r="AR58" s="206"/>
      <c r="AS58" s="1125"/>
      <c r="AT58" s="1126"/>
      <c r="AU58" s="1126"/>
      <c r="AV58" s="1126"/>
      <c r="AW58" s="1126"/>
      <c r="AX58" s="1126"/>
      <c r="AY58" s="1126"/>
      <c r="AZ58" s="1126"/>
      <c r="BA58" s="1126"/>
      <c r="BB58" s="1126"/>
      <c r="BC58" s="1126"/>
      <c r="BD58" s="1127"/>
      <c r="BE58" s="1119"/>
      <c r="BF58" s="1125"/>
      <c r="BG58" s="1126"/>
      <c r="BH58" s="1126"/>
      <c r="BI58" s="1126"/>
      <c r="BJ58" s="1126"/>
      <c r="BK58" s="1126"/>
      <c r="BL58" s="1126"/>
      <c r="BM58" s="1126"/>
      <c r="BN58" s="1126"/>
      <c r="BO58" s="1126"/>
      <c r="BP58" s="1126"/>
      <c r="BQ58" s="1940"/>
      <c r="BR58" s="1119"/>
      <c r="BS58" s="957"/>
      <c r="BT58" s="879"/>
      <c r="BU58" s="879"/>
      <c r="BV58" s="879"/>
      <c r="BW58" s="879"/>
      <c r="BX58" s="879"/>
      <c r="BY58" s="879"/>
      <c r="BZ58" s="879"/>
      <c r="CA58" s="879"/>
      <c r="CB58" s="879"/>
      <c r="CC58" s="879"/>
      <c r="CD58" s="1668"/>
      <c r="CE58" s="1119"/>
      <c r="CF58" s="957"/>
      <c r="CG58" s="879"/>
      <c r="CH58" s="879"/>
      <c r="CI58" s="879"/>
      <c r="CJ58" s="879"/>
      <c r="CK58" s="879"/>
      <c r="CL58" s="879"/>
      <c r="CM58" s="879"/>
      <c r="CN58" s="879"/>
      <c r="CO58" s="879"/>
      <c r="CP58" s="879"/>
      <c r="CQ58" s="1668"/>
    </row>
    <row r="59" spans="2:95" ht="16.5" hidden="1" customHeight="1">
      <c r="B59" s="3313"/>
      <c r="C59" s="3314"/>
      <c r="D59" s="145" t="s">
        <v>578</v>
      </c>
      <c r="E59" s="24">
        <f t="shared" ref="E59:K59" si="165">E48*1000000/E16</f>
        <v>28335.351629203695</v>
      </c>
      <c r="F59" s="564">
        <f t="shared" si="165"/>
        <v>95591.970149253728</v>
      </c>
      <c r="G59" s="564">
        <f t="shared" si="165"/>
        <v>-109216.35900104059</v>
      </c>
      <c r="H59" s="564">
        <f t="shared" si="165"/>
        <v>-34262.027287319419</v>
      </c>
      <c r="I59" s="564">
        <f t="shared" si="165"/>
        <v>153236.25092936802</v>
      </c>
      <c r="J59" s="564">
        <f t="shared" si="165"/>
        <v>15600.302966101695</v>
      </c>
      <c r="K59" s="564">
        <f t="shared" si="165"/>
        <v>37478.1007005254</v>
      </c>
      <c r="L59" s="316">
        <v>199050.28766025638</v>
      </c>
      <c r="M59" s="316">
        <v>-44956.365175332539</v>
      </c>
      <c r="N59" s="316">
        <f>N48*1000000/N16</f>
        <v>-40126.481576692328</v>
      </c>
      <c r="O59" s="316">
        <f>O48*1000000/O16</f>
        <v>166915.47979797976</v>
      </c>
      <c r="P59" s="564">
        <f>P48*1000000/P16</f>
        <v>-21111.922596754026</v>
      </c>
      <c r="Q59" s="564">
        <f>Q48*1000000/Q16</f>
        <v>-73907.664694280102</v>
      </c>
      <c r="R59" s="24">
        <f>R48*1000000/R16</f>
        <v>-38389.889944392977</v>
      </c>
      <c r="S59" s="426">
        <f t="shared" ref="S59:X59" si="166">S48/S16*1000000</f>
        <v>-27378.200194363457</v>
      </c>
      <c r="T59" s="426">
        <f t="shared" si="166"/>
        <v>-35344.898840885151</v>
      </c>
      <c r="U59" s="426">
        <f t="shared" si="166"/>
        <v>-25115.046313799623</v>
      </c>
      <c r="V59" s="426">
        <f t="shared" si="166"/>
        <v>-32095.941514861031</v>
      </c>
      <c r="W59" s="426">
        <f t="shared" si="166"/>
        <v>-29600.519575856459</v>
      </c>
      <c r="X59" s="426">
        <f t="shared" si="166"/>
        <v>-34408.744224422451</v>
      </c>
      <c r="Y59" s="426">
        <f t="shared" ref="Y59:Z59" si="167">Y48/Y16*1000000</f>
        <v>-24365.516100957379</v>
      </c>
      <c r="Z59" s="426">
        <f t="shared" si="167"/>
        <v>-46549.492063492078</v>
      </c>
      <c r="AA59" s="426">
        <f t="shared" ref="AA59:AB59" si="168">AA48/AA16*1000000</f>
        <v>-41627.721095334717</v>
      </c>
      <c r="AB59" s="426">
        <f t="shared" si="168"/>
        <v>-40433.430725730446</v>
      </c>
      <c r="AC59" s="426">
        <f t="shared" ref="AC59:AD59" si="169">AC48/AC16*1000000</f>
        <v>-54360.280219780252</v>
      </c>
      <c r="AD59" s="426">
        <f t="shared" si="169"/>
        <v>-70995.422244094501</v>
      </c>
      <c r="AE59" s="1114">
        <f>AE48*1000000/AE16</f>
        <v>23112.15979227006</v>
      </c>
      <c r="AF59" s="1131">
        <f t="shared" ref="AF59:AG59" si="170">AF48/AF16*1000000</f>
        <v>59828.994279176222</v>
      </c>
      <c r="AG59" s="1132">
        <f t="shared" si="170"/>
        <v>67781.44245524297</v>
      </c>
      <c r="AH59" s="1132">
        <f t="shared" ref="AH59:AI59" si="171">AH48/AH16*1000000</f>
        <v>56521.520547945205</v>
      </c>
      <c r="AI59" s="1132">
        <f t="shared" si="171"/>
        <v>192499.12977983776</v>
      </c>
      <c r="AJ59" s="1132">
        <f t="shared" ref="AJ59:AQ59" si="172">AJ48/AJ16*1000000</f>
        <v>104074.58125000002</v>
      </c>
      <c r="AK59" s="1132">
        <f t="shared" si="172"/>
        <v>-9513.4610215053763</v>
      </c>
      <c r="AL59" s="1132">
        <f t="shared" si="172"/>
        <v>-13351.216216216217</v>
      </c>
      <c r="AM59" s="1132">
        <f t="shared" si="172"/>
        <v>74869.752795031047</v>
      </c>
      <c r="AN59" s="1132">
        <f t="shared" si="172"/>
        <v>179807.4017424976</v>
      </c>
      <c r="AO59" s="1132">
        <f t="shared" si="172"/>
        <v>44151.940913160252</v>
      </c>
      <c r="AP59" s="1132">
        <f t="shared" si="172"/>
        <v>-146788.45419847328</v>
      </c>
      <c r="AQ59" s="1133">
        <f t="shared" si="172"/>
        <v>-779317.671875</v>
      </c>
      <c r="AR59" s="208">
        <f>AR48*1000000/AR16</f>
        <v>36585809.015598431</v>
      </c>
      <c r="AS59" s="1131">
        <f t="shared" ref="AS59:BD59" si="173">AS48/AS16*1000000</f>
        <v>-59560.223255813951</v>
      </c>
      <c r="AT59" s="1132">
        <f t="shared" si="173"/>
        <v>-32149.290123456791</v>
      </c>
      <c r="AU59" s="1132">
        <f t="shared" si="173"/>
        <v>-48108.549363057318</v>
      </c>
      <c r="AV59" s="1132">
        <f t="shared" si="173"/>
        <v>-35305.132692307692</v>
      </c>
      <c r="AW59" s="1132">
        <f t="shared" si="173"/>
        <v>2243.0957854406129</v>
      </c>
      <c r="AX59" s="1132">
        <f t="shared" si="173"/>
        <v>-85037.444767441862</v>
      </c>
      <c r="AY59" s="1132">
        <f t="shared" si="173"/>
        <v>-19657.73189522342</v>
      </c>
      <c r="AZ59" s="1132">
        <f t="shared" si="173"/>
        <v>-7263.9461538461528</v>
      </c>
      <c r="BA59" s="1132">
        <f t="shared" si="173"/>
        <v>-72934.55748663102</v>
      </c>
      <c r="BB59" s="1132">
        <f t="shared" si="173"/>
        <v>-97740.60499702557</v>
      </c>
      <c r="BC59" s="1132">
        <f t="shared" si="173"/>
        <v>-109064.44979919679</v>
      </c>
      <c r="BD59" s="1133">
        <f t="shared" si="173"/>
        <v>12288.441121495327</v>
      </c>
      <c r="BE59" s="1121">
        <f>BE48*1000000/BE16</f>
        <v>29137.683160083161</v>
      </c>
      <c r="BF59" s="1131">
        <f t="shared" ref="BF59" si="174">BF48/BF16*1000000</f>
        <v>-32466.611544461779</v>
      </c>
      <c r="BG59" s="1132">
        <f t="shared" ref="BG59:BQ59" si="175">BG48/BG16*1000000</f>
        <v>-32081.601049868765</v>
      </c>
      <c r="BH59" s="1132">
        <f t="shared" si="175"/>
        <v>6004.9285714285661</v>
      </c>
      <c r="BI59" s="1132">
        <f t="shared" si="175"/>
        <v>20125.94311926606</v>
      </c>
      <c r="BJ59" s="1132">
        <f t="shared" si="175"/>
        <v>98893.685271317838</v>
      </c>
      <c r="BK59" s="1132">
        <f t="shared" si="175"/>
        <v>-145038.3558139535</v>
      </c>
      <c r="BL59" s="1132">
        <f t="shared" si="175"/>
        <v>48689.082375478931</v>
      </c>
      <c r="BM59" s="1132">
        <f t="shared" si="175"/>
        <v>74490.888888888905</v>
      </c>
      <c r="BN59" s="1132">
        <f t="shared" si="175"/>
        <v>137841.5396825397</v>
      </c>
      <c r="BO59" s="1132">
        <f t="shared" si="175"/>
        <v>624767.8679245282</v>
      </c>
      <c r="BP59" s="1132">
        <f t="shared" si="175"/>
        <v>85559.752735229762</v>
      </c>
      <c r="BQ59" s="1942">
        <f t="shared" si="175"/>
        <v>86809.852882703781</v>
      </c>
      <c r="BR59" s="1121">
        <f>BR48*1000000/BR16</f>
        <v>64523.642949130714</v>
      </c>
      <c r="BS59" s="959">
        <f t="shared" ref="BS59:CD59" si="176">BS48/BS16*1000000</f>
        <v>92792.015873015873</v>
      </c>
      <c r="BT59" s="883">
        <f t="shared" si="176"/>
        <v>504384.58823529421</v>
      </c>
      <c r="BU59" s="883">
        <f t="shared" si="176"/>
        <v>133460.42741935485</v>
      </c>
      <c r="BV59" s="883">
        <f t="shared" si="176"/>
        <v>127952.10752688174</v>
      </c>
      <c r="BW59" s="883">
        <f t="shared" si="176"/>
        <v>140032.98282442751</v>
      </c>
      <c r="BX59" s="883">
        <f t="shared" si="176"/>
        <v>164551.2658227848</v>
      </c>
      <c r="BY59" s="883">
        <f t="shared" si="176"/>
        <v>0</v>
      </c>
      <c r="BZ59" s="883">
        <f t="shared" si="176"/>
        <v>0</v>
      </c>
      <c r="CA59" s="883">
        <f t="shared" si="176"/>
        <v>0</v>
      </c>
      <c r="CB59" s="883">
        <f t="shared" si="176"/>
        <v>0</v>
      </c>
      <c r="CC59" s="883">
        <f t="shared" si="176"/>
        <v>0</v>
      </c>
      <c r="CD59" s="1740">
        <f t="shared" si="176"/>
        <v>0</v>
      </c>
      <c r="CE59" s="1121">
        <f>CE48*1000000/CE16</f>
        <v>82783.680262878333</v>
      </c>
      <c r="CF59" s="959">
        <f t="shared" ref="CF59:CQ59" si="177">CF48/CF16*1000000</f>
        <v>103490.0919557663</v>
      </c>
      <c r="CG59" s="883">
        <f t="shared" si="177"/>
        <v>74451.936423759646</v>
      </c>
      <c r="CH59" s="883">
        <f t="shared" si="177"/>
        <v>97656.365159731053</v>
      </c>
      <c r="CI59" s="883">
        <f t="shared" si="177"/>
        <v>117076.11445833361</v>
      </c>
      <c r="CJ59" s="883">
        <f t="shared" si="177"/>
        <v>319052.69721166487</v>
      </c>
      <c r="CK59" s="883">
        <f t="shared" si="177"/>
        <v>241389.92809288009</v>
      </c>
      <c r="CL59" s="883">
        <f t="shared" si="177"/>
        <v>0</v>
      </c>
      <c r="CM59" s="883">
        <f t="shared" si="177"/>
        <v>0</v>
      </c>
      <c r="CN59" s="883">
        <f t="shared" si="177"/>
        <v>0</v>
      </c>
      <c r="CO59" s="883">
        <f t="shared" si="177"/>
        <v>0</v>
      </c>
      <c r="CP59" s="883">
        <f t="shared" si="177"/>
        <v>0</v>
      </c>
      <c r="CQ59" s="1740">
        <f t="shared" si="177"/>
        <v>0</v>
      </c>
    </row>
    <row r="60" spans="2:95" ht="16.5" hidden="1" customHeight="1">
      <c r="B60" s="3313"/>
      <c r="C60" s="3314"/>
      <c r="D60" s="68" t="s">
        <v>18</v>
      </c>
      <c r="E60" s="23">
        <f t="shared" ref="E60:E63" si="178">SUM(F60:Q60)</f>
        <v>0</v>
      </c>
      <c r="F60" s="562"/>
      <c r="G60" s="562"/>
      <c r="H60" s="562"/>
      <c r="I60" s="562"/>
      <c r="J60" s="562"/>
      <c r="K60" s="562"/>
      <c r="L60" s="314"/>
      <c r="M60" s="314"/>
      <c r="N60" s="314"/>
      <c r="O60" s="314"/>
      <c r="P60" s="562"/>
      <c r="Q60" s="562"/>
      <c r="R60" s="23">
        <f t="shared" ref="R60:R63" si="179">SUM(S60:AD60)</f>
        <v>0</v>
      </c>
      <c r="S60" s="562"/>
      <c r="T60" s="562"/>
      <c r="U60" s="562"/>
      <c r="V60" s="562"/>
      <c r="W60" s="562"/>
      <c r="X60" s="562"/>
      <c r="Y60" s="562"/>
      <c r="Z60" s="562"/>
      <c r="AA60" s="562"/>
      <c r="AB60" s="562"/>
      <c r="AC60" s="562"/>
      <c r="AD60" s="562"/>
      <c r="AE60" s="1112">
        <f t="shared" ref="AE60:AE63" si="180">SUM(AF60:AQ60)</f>
        <v>0</v>
      </c>
      <c r="AF60" s="1125"/>
      <c r="AG60" s="1126"/>
      <c r="AH60" s="1126"/>
      <c r="AI60" s="1126"/>
      <c r="AJ60" s="1126"/>
      <c r="AK60" s="1126"/>
      <c r="AL60" s="1126"/>
      <c r="AM60" s="1126"/>
      <c r="AN60" s="1126"/>
      <c r="AO60" s="1126"/>
      <c r="AP60" s="1126"/>
      <c r="AQ60" s="1127"/>
      <c r="AR60" s="206">
        <f t="shared" ref="AR60:AR63" si="181">SUM(AS60:BD60)</f>
        <v>0</v>
      </c>
      <c r="AS60" s="1125"/>
      <c r="AT60" s="1126"/>
      <c r="AU60" s="1126"/>
      <c r="AV60" s="1126"/>
      <c r="AW60" s="1126"/>
      <c r="AX60" s="1126"/>
      <c r="AY60" s="1126"/>
      <c r="AZ60" s="1126"/>
      <c r="BA60" s="1126"/>
      <c r="BB60" s="1126"/>
      <c r="BC60" s="1126"/>
      <c r="BD60" s="1127"/>
      <c r="BE60" s="1119">
        <f t="shared" ref="BE60:BE63" si="182">SUM(BF60:BQ60)</f>
        <v>0</v>
      </c>
      <c r="BF60" s="1125"/>
      <c r="BG60" s="1126"/>
      <c r="BH60" s="1126"/>
      <c r="BI60" s="1126"/>
      <c r="BJ60" s="1126"/>
      <c r="BK60" s="1126"/>
      <c r="BL60" s="1126"/>
      <c r="BM60" s="1126"/>
      <c r="BN60" s="1126"/>
      <c r="BO60" s="1126"/>
      <c r="BP60" s="1126"/>
      <c r="BQ60" s="1940"/>
      <c r="BR60" s="1119">
        <f t="shared" ref="BR60:BR63" si="183">SUM(BS60:CD60)</f>
        <v>0</v>
      </c>
      <c r="BS60" s="957"/>
      <c r="BT60" s="879"/>
      <c r="BU60" s="879"/>
      <c r="BV60" s="879"/>
      <c r="BW60" s="879"/>
      <c r="BX60" s="879"/>
      <c r="BY60" s="879"/>
      <c r="BZ60" s="879"/>
      <c r="CA60" s="879"/>
      <c r="CB60" s="879"/>
      <c r="CC60" s="879"/>
      <c r="CD60" s="1668"/>
      <c r="CE60" s="1119">
        <f t="shared" ref="CE60:CE63" si="184">SUM(CF60:CQ60)</f>
        <v>0</v>
      </c>
      <c r="CF60" s="957"/>
      <c r="CG60" s="879"/>
      <c r="CH60" s="879"/>
      <c r="CI60" s="879"/>
      <c r="CJ60" s="879"/>
      <c r="CK60" s="879"/>
      <c r="CL60" s="879"/>
      <c r="CM60" s="879"/>
      <c r="CN60" s="879"/>
      <c r="CO60" s="879"/>
      <c r="CP60" s="879"/>
      <c r="CQ60" s="1668"/>
    </row>
    <row r="61" spans="2:95" ht="16.5" hidden="1" customHeight="1">
      <c r="B61" s="3313"/>
      <c r="C61" s="3314"/>
      <c r="D61" s="2" t="s">
        <v>55</v>
      </c>
      <c r="E61" s="23">
        <f t="shared" si="178"/>
        <v>0</v>
      </c>
      <c r="F61" s="562"/>
      <c r="G61" s="562"/>
      <c r="H61" s="562"/>
      <c r="I61" s="562"/>
      <c r="J61" s="562"/>
      <c r="K61" s="562"/>
      <c r="L61" s="314"/>
      <c r="M61" s="314"/>
      <c r="N61" s="314"/>
      <c r="O61" s="314"/>
      <c r="P61" s="562"/>
      <c r="Q61" s="562"/>
      <c r="R61" s="23">
        <f t="shared" si="179"/>
        <v>0</v>
      </c>
      <c r="S61" s="562"/>
      <c r="T61" s="562"/>
      <c r="U61" s="562"/>
      <c r="V61" s="562"/>
      <c r="W61" s="562"/>
      <c r="X61" s="562"/>
      <c r="Y61" s="562"/>
      <c r="Z61" s="562"/>
      <c r="AA61" s="562"/>
      <c r="AB61" s="562"/>
      <c r="AC61" s="562"/>
      <c r="AD61" s="562"/>
      <c r="AE61" s="1112">
        <f t="shared" si="180"/>
        <v>0</v>
      </c>
      <c r="AF61" s="1125"/>
      <c r="AG61" s="1126"/>
      <c r="AH61" s="1126"/>
      <c r="AI61" s="1126"/>
      <c r="AJ61" s="1126"/>
      <c r="AK61" s="1126"/>
      <c r="AL61" s="1126"/>
      <c r="AM61" s="1126"/>
      <c r="AN61" s="1126"/>
      <c r="AO61" s="1126"/>
      <c r="AP61" s="1126"/>
      <c r="AQ61" s="1127"/>
      <c r="AR61" s="206">
        <f t="shared" si="181"/>
        <v>0</v>
      </c>
      <c r="AS61" s="1125"/>
      <c r="AT61" s="1126"/>
      <c r="AU61" s="1126"/>
      <c r="AV61" s="1126"/>
      <c r="AW61" s="1126"/>
      <c r="AX61" s="1126"/>
      <c r="AY61" s="1126"/>
      <c r="AZ61" s="1126"/>
      <c r="BA61" s="1126"/>
      <c r="BB61" s="1126"/>
      <c r="BC61" s="1126"/>
      <c r="BD61" s="1127"/>
      <c r="BE61" s="1119">
        <f t="shared" si="182"/>
        <v>0</v>
      </c>
      <c r="BF61" s="1125"/>
      <c r="BG61" s="1126"/>
      <c r="BH61" s="1126"/>
      <c r="BI61" s="1126"/>
      <c r="BJ61" s="1126"/>
      <c r="BK61" s="1126"/>
      <c r="BL61" s="1126"/>
      <c r="BM61" s="1126"/>
      <c r="BN61" s="1126"/>
      <c r="BO61" s="1126"/>
      <c r="BP61" s="1126"/>
      <c r="BQ61" s="1940"/>
      <c r="BR61" s="1119">
        <f t="shared" si="183"/>
        <v>0</v>
      </c>
      <c r="BS61" s="957"/>
      <c r="BT61" s="879"/>
      <c r="BU61" s="879"/>
      <c r="BV61" s="879"/>
      <c r="BW61" s="879"/>
      <c r="BX61" s="879"/>
      <c r="BY61" s="879"/>
      <c r="BZ61" s="879"/>
      <c r="CA61" s="879"/>
      <c r="CB61" s="879"/>
      <c r="CC61" s="879"/>
      <c r="CD61" s="1668"/>
      <c r="CE61" s="1119">
        <f t="shared" si="184"/>
        <v>0</v>
      </c>
      <c r="CF61" s="957"/>
      <c r="CG61" s="879"/>
      <c r="CH61" s="879"/>
      <c r="CI61" s="879"/>
      <c r="CJ61" s="879"/>
      <c r="CK61" s="879"/>
      <c r="CL61" s="879"/>
      <c r="CM61" s="879"/>
      <c r="CN61" s="879"/>
      <c r="CO61" s="879"/>
      <c r="CP61" s="879"/>
      <c r="CQ61" s="1668"/>
    </row>
    <row r="62" spans="2:95" ht="16.5" hidden="1" customHeight="1">
      <c r="B62" s="3313"/>
      <c r="C62" s="3314"/>
      <c r="D62" s="2" t="s">
        <v>56</v>
      </c>
      <c r="E62" s="23">
        <f t="shared" si="178"/>
        <v>0</v>
      </c>
      <c r="F62" s="562"/>
      <c r="G62" s="562"/>
      <c r="H62" s="562"/>
      <c r="I62" s="562"/>
      <c r="J62" s="562"/>
      <c r="K62" s="562"/>
      <c r="L62" s="314"/>
      <c r="M62" s="314"/>
      <c r="N62" s="314"/>
      <c r="O62" s="314"/>
      <c r="P62" s="562"/>
      <c r="Q62" s="562"/>
      <c r="R62" s="23">
        <f t="shared" si="179"/>
        <v>0</v>
      </c>
      <c r="S62" s="562"/>
      <c r="T62" s="562"/>
      <c r="U62" s="562"/>
      <c r="V62" s="562"/>
      <c r="W62" s="562"/>
      <c r="X62" s="562"/>
      <c r="Y62" s="562"/>
      <c r="Z62" s="562"/>
      <c r="AA62" s="562"/>
      <c r="AB62" s="562"/>
      <c r="AC62" s="562"/>
      <c r="AD62" s="562"/>
      <c r="AE62" s="1112">
        <f t="shared" si="180"/>
        <v>0</v>
      </c>
      <c r="AF62" s="1125"/>
      <c r="AG62" s="1126"/>
      <c r="AH62" s="1126"/>
      <c r="AI62" s="1126"/>
      <c r="AJ62" s="1126"/>
      <c r="AK62" s="1126"/>
      <c r="AL62" s="1126"/>
      <c r="AM62" s="1126"/>
      <c r="AN62" s="1126"/>
      <c r="AO62" s="1126"/>
      <c r="AP62" s="1126"/>
      <c r="AQ62" s="1127"/>
      <c r="AR62" s="206">
        <f t="shared" si="181"/>
        <v>0</v>
      </c>
      <c r="AS62" s="1125"/>
      <c r="AT62" s="1126"/>
      <c r="AU62" s="1126"/>
      <c r="AV62" s="1126"/>
      <c r="AW62" s="1126"/>
      <c r="AX62" s="1126"/>
      <c r="AY62" s="1126"/>
      <c r="AZ62" s="1126"/>
      <c r="BA62" s="1126"/>
      <c r="BB62" s="1126"/>
      <c r="BC62" s="1126"/>
      <c r="BD62" s="1127"/>
      <c r="BE62" s="1119">
        <f t="shared" si="182"/>
        <v>0</v>
      </c>
      <c r="BF62" s="1125"/>
      <c r="BG62" s="1126"/>
      <c r="BH62" s="1126"/>
      <c r="BI62" s="1126"/>
      <c r="BJ62" s="1126"/>
      <c r="BK62" s="1126"/>
      <c r="BL62" s="1126"/>
      <c r="BM62" s="1126"/>
      <c r="BN62" s="1126"/>
      <c r="BO62" s="1126"/>
      <c r="BP62" s="1126"/>
      <c r="BQ62" s="1940"/>
      <c r="BR62" s="1119">
        <f t="shared" si="183"/>
        <v>0</v>
      </c>
      <c r="BS62" s="957"/>
      <c r="BT62" s="879"/>
      <c r="BU62" s="879"/>
      <c r="BV62" s="879"/>
      <c r="BW62" s="879"/>
      <c r="BX62" s="879"/>
      <c r="BY62" s="879"/>
      <c r="BZ62" s="879"/>
      <c r="CA62" s="879"/>
      <c r="CB62" s="879"/>
      <c r="CC62" s="879"/>
      <c r="CD62" s="1668"/>
      <c r="CE62" s="1119">
        <f t="shared" si="184"/>
        <v>0</v>
      </c>
      <c r="CF62" s="957"/>
      <c r="CG62" s="879"/>
      <c r="CH62" s="879"/>
      <c r="CI62" s="879"/>
      <c r="CJ62" s="879"/>
      <c r="CK62" s="879"/>
      <c r="CL62" s="879"/>
      <c r="CM62" s="879"/>
      <c r="CN62" s="879"/>
      <c r="CO62" s="879"/>
      <c r="CP62" s="879"/>
      <c r="CQ62" s="1668"/>
    </row>
    <row r="63" spans="2:95" hidden="1">
      <c r="B63" s="3315"/>
      <c r="C63" s="3316"/>
      <c r="D63" s="255" t="s">
        <v>57</v>
      </c>
      <c r="E63" s="249">
        <f t="shared" si="178"/>
        <v>0</v>
      </c>
      <c r="F63" s="565"/>
      <c r="G63" s="565"/>
      <c r="H63" s="565"/>
      <c r="I63" s="565"/>
      <c r="J63" s="565"/>
      <c r="K63" s="565"/>
      <c r="L63" s="320"/>
      <c r="M63" s="320"/>
      <c r="N63" s="320"/>
      <c r="O63" s="320"/>
      <c r="P63" s="565"/>
      <c r="Q63" s="565"/>
      <c r="R63" s="249">
        <f t="shared" si="179"/>
        <v>0</v>
      </c>
      <c r="S63" s="565"/>
      <c r="T63" s="565"/>
      <c r="U63" s="565"/>
      <c r="V63" s="565"/>
      <c r="W63" s="565"/>
      <c r="X63" s="565"/>
      <c r="Y63" s="565"/>
      <c r="Z63" s="565"/>
      <c r="AA63" s="565"/>
      <c r="AB63" s="565"/>
      <c r="AC63" s="565"/>
      <c r="AD63" s="565"/>
      <c r="AE63" s="1116">
        <f t="shared" si="180"/>
        <v>0</v>
      </c>
      <c r="AF63" s="1134"/>
      <c r="AG63" s="1135"/>
      <c r="AH63" s="1135"/>
      <c r="AI63" s="1135"/>
      <c r="AJ63" s="1135"/>
      <c r="AK63" s="1135"/>
      <c r="AL63" s="1135"/>
      <c r="AM63" s="1135"/>
      <c r="AN63" s="1135"/>
      <c r="AO63" s="1135"/>
      <c r="AP63" s="1135"/>
      <c r="AQ63" s="1136"/>
      <c r="AR63" s="1150">
        <f t="shared" si="181"/>
        <v>0</v>
      </c>
      <c r="AS63" s="1134"/>
      <c r="AT63" s="1135"/>
      <c r="AU63" s="1135"/>
      <c r="AV63" s="1135"/>
      <c r="AW63" s="1135"/>
      <c r="AX63" s="1135"/>
      <c r="AY63" s="1135"/>
      <c r="AZ63" s="1135"/>
      <c r="BA63" s="1135"/>
      <c r="BB63" s="1135"/>
      <c r="BC63" s="1135"/>
      <c r="BD63" s="1136"/>
      <c r="BE63" s="1123">
        <f t="shared" si="182"/>
        <v>0</v>
      </c>
      <c r="BF63" s="1134"/>
      <c r="BG63" s="1135"/>
      <c r="BH63" s="1135"/>
      <c r="BI63" s="1135"/>
      <c r="BJ63" s="1135"/>
      <c r="BK63" s="1135"/>
      <c r="BL63" s="1135"/>
      <c r="BM63" s="1135"/>
      <c r="BN63" s="1135"/>
      <c r="BO63" s="1135"/>
      <c r="BP63" s="1135"/>
      <c r="BQ63" s="1943"/>
      <c r="BR63" s="1123">
        <f t="shared" si="183"/>
        <v>0</v>
      </c>
      <c r="BS63" s="958"/>
      <c r="BT63" s="889"/>
      <c r="BU63" s="889"/>
      <c r="BV63" s="889"/>
      <c r="BW63" s="889"/>
      <c r="BX63" s="889"/>
      <c r="BY63" s="889"/>
      <c r="BZ63" s="889"/>
      <c r="CA63" s="889"/>
      <c r="CB63" s="889"/>
      <c r="CC63" s="889"/>
      <c r="CD63" s="1742"/>
      <c r="CE63" s="1123">
        <f t="shared" si="184"/>
        <v>0</v>
      </c>
      <c r="CF63" s="958"/>
      <c r="CG63" s="889"/>
      <c r="CH63" s="889"/>
      <c r="CI63" s="889"/>
      <c r="CJ63" s="889"/>
      <c r="CK63" s="889"/>
      <c r="CL63" s="889"/>
      <c r="CM63" s="889"/>
      <c r="CN63" s="889"/>
      <c r="CO63" s="889"/>
      <c r="CP63" s="889"/>
      <c r="CQ63" s="1742"/>
    </row>
    <row r="64" spans="2:95">
      <c r="B64" s="1973"/>
      <c r="C64" s="1973"/>
      <c r="D64" s="423"/>
      <c r="E64" s="1424"/>
      <c r="F64" s="746"/>
      <c r="G64" s="746"/>
      <c r="H64" s="746"/>
      <c r="I64" s="746"/>
      <c r="J64" s="746"/>
      <c r="K64" s="746"/>
      <c r="L64" s="746"/>
      <c r="M64" s="746"/>
      <c r="N64" s="746"/>
      <c r="O64" s="746"/>
      <c r="P64" s="746"/>
      <c r="Q64" s="746"/>
      <c r="R64" s="1424"/>
      <c r="S64" s="746"/>
      <c r="T64" s="746"/>
      <c r="U64" s="746"/>
      <c r="V64" s="746"/>
      <c r="W64" s="746"/>
      <c r="X64" s="746"/>
      <c r="Y64" s="746"/>
      <c r="Z64" s="746"/>
      <c r="AA64" s="746"/>
      <c r="AB64" s="746"/>
      <c r="AC64" s="746"/>
      <c r="AD64" s="746"/>
      <c r="AE64" s="1424"/>
      <c r="AF64" s="1165"/>
      <c r="AG64" s="1165"/>
      <c r="AH64" s="1165"/>
      <c r="AI64" s="1165"/>
      <c r="AJ64" s="1165"/>
      <c r="AK64" s="1165"/>
      <c r="AL64" s="1165"/>
      <c r="AM64" s="1165"/>
      <c r="AN64" s="1165"/>
      <c r="AO64" s="1165"/>
      <c r="AP64" s="1165"/>
      <c r="AQ64" s="1165"/>
      <c r="AR64" s="1424"/>
      <c r="AS64" s="1165"/>
      <c r="AT64" s="1165"/>
      <c r="AU64" s="1165"/>
      <c r="AV64" s="1165"/>
      <c r="AW64" s="1165"/>
      <c r="AX64" s="1165"/>
      <c r="AY64" s="1165"/>
      <c r="AZ64" s="1165"/>
      <c r="BA64" s="1165"/>
      <c r="BB64" s="1165"/>
      <c r="BC64" s="1165"/>
      <c r="BD64" s="1165"/>
      <c r="BE64" s="1424"/>
      <c r="BF64" s="1165"/>
      <c r="BG64" s="1165"/>
      <c r="BH64" s="1165"/>
      <c r="BI64" s="1165"/>
      <c r="BJ64" s="1165"/>
      <c r="BK64" s="1165"/>
      <c r="BL64" s="1165"/>
      <c r="BM64" s="1165"/>
      <c r="BN64" s="1165"/>
      <c r="BO64" s="1165"/>
      <c r="BP64" s="1165"/>
      <c r="BQ64" s="1166"/>
      <c r="BR64" s="1424"/>
      <c r="BS64" s="1165"/>
      <c r="BT64" s="1165"/>
      <c r="BU64" s="1165"/>
      <c r="BV64" s="1165"/>
      <c r="BW64" s="1165"/>
      <c r="BX64" s="1165"/>
      <c r="BY64" s="1165"/>
      <c r="BZ64" s="1165"/>
      <c r="CA64" s="1165"/>
      <c r="CB64" s="1165"/>
      <c r="CC64" s="1165"/>
      <c r="CD64" s="1165"/>
      <c r="CE64" s="1424"/>
      <c r="CF64" s="1165"/>
      <c r="CG64" s="1165"/>
      <c r="CH64" s="1165"/>
      <c r="CI64" s="1165"/>
      <c r="CJ64" s="1165"/>
      <c r="CK64" s="1165"/>
      <c r="CL64" s="1165"/>
      <c r="CM64" s="1165"/>
      <c r="CN64" s="1165"/>
      <c r="CO64" s="1165"/>
      <c r="CP64" s="1165"/>
      <c r="CQ64" s="1165"/>
    </row>
    <row r="65" spans="2:95" ht="21">
      <c r="B65" s="1969" t="s">
        <v>562</v>
      </c>
      <c r="C65" s="423"/>
      <c r="D65" s="423"/>
      <c r="E65" s="423"/>
      <c r="F65" s="423"/>
      <c r="G65" s="488"/>
      <c r="H65" s="488"/>
      <c r="I65" s="488"/>
      <c r="J65" s="488"/>
      <c r="K65" s="488"/>
      <c r="L65" s="488"/>
      <c r="M65" s="488"/>
      <c r="N65" s="488"/>
      <c r="O65" s="488"/>
      <c r="P65" s="488"/>
      <c r="Q65" s="488"/>
      <c r="R65" s="423"/>
      <c r="S65" s="423"/>
      <c r="T65" s="488"/>
      <c r="U65" s="488"/>
      <c r="V65" s="488"/>
      <c r="W65" s="488"/>
      <c r="X65" s="488"/>
      <c r="Y65" s="488"/>
      <c r="Z65" s="488"/>
      <c r="AA65" s="488"/>
      <c r="AB65" s="488"/>
      <c r="AC65" s="488"/>
      <c r="AD65" s="488"/>
      <c r="AE65" s="423"/>
      <c r="AF65" s="423"/>
      <c r="AG65" s="488"/>
      <c r="AH65" s="488"/>
      <c r="AI65" s="488"/>
      <c r="AJ65" s="488"/>
      <c r="AK65" s="488"/>
      <c r="AL65" s="488"/>
      <c r="AM65" s="488"/>
      <c r="AN65" s="488"/>
      <c r="AO65" s="488"/>
      <c r="AP65" s="488"/>
      <c r="AQ65" s="488"/>
      <c r="AR65" s="423"/>
      <c r="AS65" s="423"/>
      <c r="AT65" s="488"/>
      <c r="AU65" s="488"/>
      <c r="AV65" s="488"/>
      <c r="AW65" s="488"/>
      <c r="AX65" s="488"/>
      <c r="AY65" s="488"/>
      <c r="AZ65" s="488"/>
      <c r="BA65" s="488"/>
      <c r="BB65" s="488"/>
      <c r="BC65" s="488"/>
      <c r="BD65" s="488"/>
      <c r="BE65" s="423"/>
      <c r="BF65" s="423"/>
      <c r="BG65" s="488"/>
      <c r="BH65" s="488"/>
      <c r="BI65" s="488"/>
      <c r="BJ65" s="488"/>
      <c r="BK65" s="488"/>
      <c r="BL65" s="488"/>
      <c r="BM65" s="488"/>
      <c r="BN65" s="488"/>
      <c r="BO65" s="488"/>
      <c r="BP65" s="488"/>
      <c r="BQ65" s="1162"/>
      <c r="BR65" s="423"/>
      <c r="BS65" s="423"/>
      <c r="BT65" s="488"/>
      <c r="BU65" s="488"/>
      <c r="BV65" s="488"/>
      <c r="BW65" s="488"/>
      <c r="BX65" s="488"/>
      <c r="BY65" s="488"/>
      <c r="BZ65" s="488"/>
      <c r="CA65" s="488"/>
      <c r="CB65" s="488"/>
      <c r="CC65" s="488"/>
      <c r="CD65" s="488"/>
      <c r="CE65" s="423"/>
      <c r="CF65" s="423"/>
      <c r="CG65" s="488"/>
      <c r="CH65" s="488"/>
      <c r="CI65" s="488"/>
      <c r="CJ65" s="488"/>
      <c r="CK65" s="488"/>
      <c r="CL65" s="488"/>
      <c r="CM65" s="488"/>
      <c r="CN65" s="488"/>
      <c r="CO65" s="488"/>
      <c r="CP65" s="488"/>
      <c r="CQ65" s="488"/>
    </row>
    <row r="66" spans="2:95">
      <c r="B66" s="3340" t="s">
        <v>222</v>
      </c>
      <c r="C66" s="3341"/>
      <c r="D66" s="240" t="s">
        <v>14</v>
      </c>
      <c r="E66" s="444">
        <f>SUM(F66:Q66)</f>
        <v>1079.1700860000001</v>
      </c>
      <c r="F66" s="576">
        <v>133.99297200000001</v>
      </c>
      <c r="G66" s="446">
        <v>130.95562000000001</v>
      </c>
      <c r="H66" s="446">
        <v>109.18212200000001</v>
      </c>
      <c r="I66" s="446">
        <v>107.433609</v>
      </c>
      <c r="J66" s="446">
        <v>79.319048000000009</v>
      </c>
      <c r="K66" s="446">
        <v>80.919223000000002</v>
      </c>
      <c r="L66" s="446">
        <v>98.246055999999996</v>
      </c>
      <c r="M66" s="446">
        <v>72.710359999999994</v>
      </c>
      <c r="N66" s="446">
        <v>51.260382</v>
      </c>
      <c r="O66" s="446">
        <v>66.908325000000005</v>
      </c>
      <c r="P66" s="446">
        <v>72.827218999999999</v>
      </c>
      <c r="Q66" s="446">
        <v>75.415149999999997</v>
      </c>
      <c r="R66" s="444">
        <f>SUM(S66:AD66)</f>
        <v>886.81103399999995</v>
      </c>
      <c r="S66" s="446">
        <v>76.998693000000003</v>
      </c>
      <c r="T66" s="446">
        <v>78.399771000000001</v>
      </c>
      <c r="U66" s="446">
        <v>38.564182000000002</v>
      </c>
      <c r="V66" s="446">
        <v>58.113052000000003</v>
      </c>
      <c r="W66" s="446">
        <v>54.746617000000001</v>
      </c>
      <c r="X66" s="446">
        <v>51.356360000000002</v>
      </c>
      <c r="Y66" s="446">
        <v>117.206588</v>
      </c>
      <c r="Z66" s="446">
        <v>116.229523</v>
      </c>
      <c r="AA66" s="446">
        <v>96.566806999999997</v>
      </c>
      <c r="AB66" s="446">
        <v>62.307690000000001</v>
      </c>
      <c r="AC66" s="446">
        <v>51.244703999999999</v>
      </c>
      <c r="AD66" s="446">
        <v>85.077046999999993</v>
      </c>
      <c r="AE66" s="444">
        <f>SUM(AF66:AQ66)</f>
        <v>2564.5152910000002</v>
      </c>
      <c r="AF66" s="544">
        <v>87.891819999999996</v>
      </c>
      <c r="AG66" s="544">
        <v>86.229133000000004</v>
      </c>
      <c r="AH66" s="544">
        <v>66.986411000000004</v>
      </c>
      <c r="AI66" s="544">
        <v>130.107867</v>
      </c>
      <c r="AJ66" s="544">
        <v>77.707499999999996</v>
      </c>
      <c r="AK66" s="544">
        <v>306.54950000000002</v>
      </c>
      <c r="AL66" s="544">
        <v>380.72050000000002</v>
      </c>
      <c r="AM66" s="544">
        <v>321.64510000000001</v>
      </c>
      <c r="AN66" s="544">
        <v>319.61354499999999</v>
      </c>
      <c r="AO66" s="544">
        <v>434.7235</v>
      </c>
      <c r="AP66" s="544">
        <v>200.05099999999999</v>
      </c>
      <c r="AQ66" s="544">
        <v>152.28941499999999</v>
      </c>
      <c r="AR66" s="444">
        <f>SUM(AS66:BD66)</f>
        <v>4763.7031859999997</v>
      </c>
      <c r="AS66" s="544">
        <v>381.65032500000001</v>
      </c>
      <c r="AT66" s="544">
        <v>340.72799400000002</v>
      </c>
      <c r="AU66" s="544">
        <v>433.423586</v>
      </c>
      <c r="AV66" s="544">
        <v>599.34695699999997</v>
      </c>
      <c r="AW66" s="544">
        <v>403.55283800000001</v>
      </c>
      <c r="AX66" s="544">
        <v>444.91202399999997</v>
      </c>
      <c r="AY66" s="544">
        <v>367.76541500000002</v>
      </c>
      <c r="AZ66" s="544">
        <v>355.771929</v>
      </c>
      <c r="BA66" s="544">
        <v>308.596611</v>
      </c>
      <c r="BB66" s="544">
        <v>526.50760400000001</v>
      </c>
      <c r="BC66" s="544">
        <v>367.07373799999999</v>
      </c>
      <c r="BD66" s="544">
        <v>234.374165</v>
      </c>
      <c r="BE66" s="444">
        <f>SUM(BF66:BQ66)</f>
        <v>5016.5058500000005</v>
      </c>
      <c r="BF66" s="397">
        <v>353.69458800000001</v>
      </c>
      <c r="BG66" s="415">
        <v>282.56479899999999</v>
      </c>
      <c r="BH66" s="415">
        <v>523.79608699999994</v>
      </c>
      <c r="BI66" s="415">
        <v>388.06455799999998</v>
      </c>
      <c r="BJ66" s="415">
        <v>449.74791299999998</v>
      </c>
      <c r="BK66" s="415">
        <v>472.56203399999998</v>
      </c>
      <c r="BL66" s="415">
        <v>450.02070300000003</v>
      </c>
      <c r="BM66" s="415">
        <v>383.46826499999997</v>
      </c>
      <c r="BN66" s="415">
        <v>703.45597999999995</v>
      </c>
      <c r="BO66" s="415">
        <v>483.50419399999998</v>
      </c>
      <c r="BP66" s="415">
        <v>306.62207000000001</v>
      </c>
      <c r="BQ66" s="1161">
        <v>219.004659</v>
      </c>
      <c r="BR66" s="1960">
        <f>SUM(BS66:CD66)</f>
        <v>5206.1695749999999</v>
      </c>
      <c r="BS66" s="397">
        <v>359.49649699999998</v>
      </c>
      <c r="BT66" s="415">
        <v>305.03546599999999</v>
      </c>
      <c r="BU66" s="415">
        <v>94.739800000000002</v>
      </c>
      <c r="BV66" s="415">
        <v>522.45925299999999</v>
      </c>
      <c r="BW66" s="415">
        <v>370.02561300000002</v>
      </c>
      <c r="BX66" s="415">
        <v>501.69340099999999</v>
      </c>
      <c r="BY66" s="415">
        <v>902.82280300000002</v>
      </c>
      <c r="BZ66" s="415">
        <v>453.27737500000001</v>
      </c>
      <c r="CA66" s="415">
        <v>594.84826899999996</v>
      </c>
      <c r="CB66" s="415">
        <v>345.95853699999998</v>
      </c>
      <c r="CC66" s="415">
        <v>427.04981199999997</v>
      </c>
      <c r="CD66" s="1738">
        <v>328.76274899999999</v>
      </c>
      <c r="CE66" s="1960">
        <f>SUM(CF66:CQ66)</f>
        <v>4676.7597990522727</v>
      </c>
      <c r="CF66" s="397">
        <v>306.276248101531</v>
      </c>
      <c r="CG66" s="415">
        <f>(CG68*CF7)/1000000</f>
        <v>328.96112749091611</v>
      </c>
      <c r="CH66" s="415">
        <f t="shared" ref="CH66:CQ66" si="185">(CH68*CG7)/1000000</f>
        <v>447.13191291381037</v>
      </c>
      <c r="CI66" s="415">
        <f t="shared" si="185"/>
        <v>328.96112749091611</v>
      </c>
      <c r="CJ66" s="415">
        <f t="shared" si="185"/>
        <v>394.6054033204112</v>
      </c>
      <c r="CK66" s="415">
        <f t="shared" si="185"/>
        <v>446.44724445195754</v>
      </c>
      <c r="CL66" s="415">
        <f t="shared" si="185"/>
        <v>418.15770659420667</v>
      </c>
      <c r="CM66" s="415">
        <f t="shared" si="185"/>
        <v>446.44724445195754</v>
      </c>
      <c r="CN66" s="415">
        <f t="shared" si="185"/>
        <v>394.6054033204112</v>
      </c>
      <c r="CO66" s="415">
        <f t="shared" si="185"/>
        <v>375.95557427533271</v>
      </c>
      <c r="CP66" s="415">
        <f t="shared" si="185"/>
        <v>394.6054033204112</v>
      </c>
      <c r="CQ66" s="1738">
        <f t="shared" si="185"/>
        <v>394.6054033204112</v>
      </c>
    </row>
    <row r="67" spans="2:95" hidden="1">
      <c r="B67" s="3332"/>
      <c r="C67" s="3333"/>
      <c r="D67" s="71" t="s">
        <v>211</v>
      </c>
      <c r="E67" s="632"/>
      <c r="F67" s="632"/>
      <c r="G67" s="632"/>
      <c r="H67" s="632"/>
      <c r="I67" s="632"/>
      <c r="J67" s="632"/>
      <c r="K67" s="632"/>
      <c r="L67" s="545"/>
      <c r="M67" s="545"/>
      <c r="N67" s="545"/>
      <c r="O67" s="545"/>
      <c r="P67" s="545"/>
      <c r="Q67" s="545"/>
      <c r="R67" s="632"/>
      <c r="S67" s="632"/>
      <c r="T67" s="632"/>
      <c r="U67" s="632"/>
      <c r="V67" s="632"/>
      <c r="W67" s="632"/>
      <c r="X67" s="632"/>
      <c r="Y67" s="545"/>
      <c r="Z67" s="545"/>
      <c r="AA67" s="545"/>
      <c r="AB67" s="545"/>
      <c r="AC67" s="545"/>
      <c r="AD67" s="545"/>
      <c r="AE67" s="632"/>
      <c r="AF67" s="632"/>
      <c r="AG67" s="632"/>
      <c r="AH67" s="632"/>
      <c r="AI67" s="632"/>
      <c r="AJ67" s="632"/>
      <c r="AK67" s="632"/>
      <c r="AL67" s="545"/>
      <c r="AM67" s="545"/>
      <c r="AN67" s="545"/>
      <c r="AO67" s="545"/>
      <c r="AP67" s="545"/>
      <c r="AQ67" s="545"/>
      <c r="AR67" s="632"/>
      <c r="AS67" s="1151"/>
      <c r="AT67" s="1151"/>
      <c r="AU67" s="1151"/>
      <c r="AV67" s="1151"/>
      <c r="AW67" s="1151"/>
      <c r="AX67" s="1151"/>
      <c r="AY67" s="1151"/>
      <c r="AZ67" s="1151"/>
      <c r="BA67" s="1151"/>
      <c r="BB67" s="1151"/>
      <c r="BC67" s="1151"/>
      <c r="BD67" s="1151"/>
      <c r="BE67" s="632"/>
      <c r="BF67" s="1963"/>
      <c r="BG67" s="1964"/>
      <c r="BH67" s="1964"/>
      <c r="BI67" s="1964"/>
      <c r="BJ67" s="1964"/>
      <c r="BK67" s="1964"/>
      <c r="BL67" s="1964"/>
      <c r="BM67" s="1964"/>
      <c r="BN67" s="1964"/>
      <c r="BO67" s="1964"/>
      <c r="BP67" s="1964"/>
      <c r="BQ67" s="1965"/>
      <c r="BR67" s="1961"/>
      <c r="BS67" s="1963"/>
      <c r="BT67" s="1964"/>
      <c r="BU67" s="1964"/>
      <c r="BV67" s="1964"/>
      <c r="BW67" s="1964"/>
      <c r="BX67" s="1964"/>
      <c r="BY67" s="1964"/>
      <c r="BZ67" s="1964"/>
      <c r="CA67" s="1964"/>
      <c r="CB67" s="1964"/>
      <c r="CC67" s="1964"/>
      <c r="CD67" s="1970"/>
      <c r="CE67" s="1961"/>
      <c r="CF67" s="1963"/>
      <c r="CG67" s="1964"/>
      <c r="CH67" s="1964"/>
      <c r="CI67" s="1964"/>
      <c r="CJ67" s="1964"/>
      <c r="CK67" s="1964"/>
      <c r="CL67" s="1964"/>
      <c r="CM67" s="1964"/>
      <c r="CN67" s="1964"/>
      <c r="CO67" s="1964"/>
      <c r="CP67" s="1964"/>
      <c r="CQ67" s="1970"/>
    </row>
    <row r="68" spans="2:95">
      <c r="B68" s="3378"/>
      <c r="C68" s="3379"/>
      <c r="D68" s="258" t="s">
        <v>223</v>
      </c>
      <c r="E68" s="445">
        <f>E66*1000000/E7</f>
        <v>7156.2528497821631</v>
      </c>
      <c r="F68" s="351">
        <v>12259.192314730102</v>
      </c>
      <c r="G68" s="351">
        <f t="shared" ref="G68:M68" si="186">G66*1000000/F7</f>
        <v>9115.028885640706</v>
      </c>
      <c r="H68" s="351">
        <f t="shared" si="186"/>
        <v>7862.1820407575433</v>
      </c>
      <c r="I68" s="351">
        <f t="shared" si="186"/>
        <v>7679.8633926656657</v>
      </c>
      <c r="J68" s="351">
        <f t="shared" si="186"/>
        <v>6538.0026376524902</v>
      </c>
      <c r="K68" s="351">
        <f t="shared" si="186"/>
        <v>6358.5748074807479</v>
      </c>
      <c r="L68" s="351">
        <f t="shared" si="186"/>
        <v>6901.7250439058662</v>
      </c>
      <c r="M68" s="351">
        <f t="shared" si="186"/>
        <v>5577.6587910401968</v>
      </c>
      <c r="N68" s="349">
        <v>4031.1719094054733</v>
      </c>
      <c r="O68" s="349">
        <v>5230.4819418386496</v>
      </c>
      <c r="P68" s="351">
        <f>P66*1000000/O7</f>
        <v>6358.2345905360571</v>
      </c>
      <c r="Q68" s="351">
        <f>Q66*1000000/P7</f>
        <v>8951.3531157270027</v>
      </c>
      <c r="R68" s="445">
        <f t="shared" ref="R68" si="187">R66*1000000/R7</f>
        <v>5185.319868509222</v>
      </c>
      <c r="S68" s="351">
        <f>S66*1000000/Q7</f>
        <v>6973.2560224596991</v>
      </c>
      <c r="T68" s="351">
        <f>T66*1000000/S7</f>
        <v>5761.3000440917103</v>
      </c>
      <c r="U68" s="351">
        <f t="shared" ref="U68:AD68" si="188">U66*1000000/T7</f>
        <v>3015.4180936742514</v>
      </c>
      <c r="V68" s="351">
        <f t="shared" si="188"/>
        <v>3891.0647472380315</v>
      </c>
      <c r="W68" s="351">
        <f t="shared" si="188"/>
        <v>3876.9645917427943</v>
      </c>
      <c r="X68" s="351">
        <f t="shared" si="188"/>
        <v>3469.7898790622257</v>
      </c>
      <c r="Y68" s="351">
        <f t="shared" si="188"/>
        <v>7628.1541164985356</v>
      </c>
      <c r="Z68" s="351">
        <f t="shared" si="188"/>
        <v>8326.254924996776</v>
      </c>
      <c r="AA68" s="351">
        <f t="shared" si="188"/>
        <v>6538.0370345294514</v>
      </c>
      <c r="AB68" s="351">
        <f t="shared" si="188"/>
        <v>4836.4270744391833</v>
      </c>
      <c r="AC68" s="351">
        <f t="shared" si="188"/>
        <v>3563.8572918839973</v>
      </c>
      <c r="AD68" s="351">
        <f t="shared" si="188"/>
        <v>5844.407982413959</v>
      </c>
      <c r="AE68" s="445">
        <f t="shared" ref="AE68" si="189">AE66*1000000/AE7</f>
        <v>13919.427328484586</v>
      </c>
      <c r="AF68" s="351">
        <f>AF66*1000000/AD7</f>
        <v>5916.2506731287021</v>
      </c>
      <c r="AG68" s="351">
        <f>AG66*1000000/AF7</f>
        <v>6088.3381345760081</v>
      </c>
      <c r="AH68" s="351">
        <f t="shared" ref="AH68:AJ68" si="190">AH66*1000000/AG7</f>
        <v>4742.7365477201929</v>
      </c>
      <c r="AI68" s="351">
        <f t="shared" si="190"/>
        <v>8762.6526804956902</v>
      </c>
      <c r="AJ68" s="351">
        <f t="shared" si="190"/>
        <v>4736.5293185419969</v>
      </c>
      <c r="AK68" s="351">
        <f t="shared" ref="AK68:AQ68" si="191">AK66*1000000/AJ7</f>
        <v>17819.537290007556</v>
      </c>
      <c r="AL68" s="351">
        <f t="shared" si="191"/>
        <v>22049.024150112931</v>
      </c>
      <c r="AM68" s="351">
        <f t="shared" si="191"/>
        <v>20894.18604651163</v>
      </c>
      <c r="AN68" s="351">
        <f t="shared" si="191"/>
        <v>18834.03329404832</v>
      </c>
      <c r="AO68" s="351">
        <f t="shared" si="191"/>
        <v>31625.454677724429</v>
      </c>
      <c r="AP68" s="351">
        <f t="shared" si="191"/>
        <v>12341.209130166564</v>
      </c>
      <c r="AQ68" s="351">
        <f t="shared" si="191"/>
        <v>10303.749323410013</v>
      </c>
      <c r="AR68" s="445">
        <f t="shared" ref="AR68" si="192">AR66*1000000/AR7</f>
        <v>25893.91306191227</v>
      </c>
      <c r="AS68" s="351">
        <f>AS66*1000000/AQ7</f>
        <v>29069.260796709576</v>
      </c>
      <c r="AT68" s="351">
        <f>AT66*1000000/AS7</f>
        <v>22750.083060693061</v>
      </c>
      <c r="AU68" s="351">
        <f t="shared" ref="AU68:BD68" si="193">AU66*1000000/AT7</f>
        <v>25213.7048283886</v>
      </c>
      <c r="AV68" s="351">
        <f t="shared" si="193"/>
        <v>36643.858950843729</v>
      </c>
      <c r="AW68" s="351">
        <f t="shared" si="193"/>
        <v>26047.430323371846</v>
      </c>
      <c r="AX68" s="351">
        <f t="shared" si="193"/>
        <v>26887.775669305614</v>
      </c>
      <c r="AY68" s="351">
        <f t="shared" si="193"/>
        <v>23391.770449052285</v>
      </c>
      <c r="AZ68" s="351">
        <f t="shared" si="193"/>
        <v>25872.440477056214</v>
      </c>
      <c r="BA68" s="351">
        <f t="shared" si="193"/>
        <v>17024.141391294754</v>
      </c>
      <c r="BB68" s="351">
        <f t="shared" si="193"/>
        <v>40566.114800832111</v>
      </c>
      <c r="BC68" s="351">
        <f t="shared" si="193"/>
        <v>22499.156481765247</v>
      </c>
      <c r="BD68" s="351">
        <f t="shared" si="193"/>
        <v>15980.783103777445</v>
      </c>
      <c r="BE68" s="445">
        <f t="shared" ref="BE68" si="194">BE66*1000000/BE7</f>
        <v>33721.688670493808</v>
      </c>
      <c r="BF68" s="351">
        <f>BF66*1000000/BD7</f>
        <v>29855.202836161054</v>
      </c>
      <c r="BG68" s="351">
        <f>BG66*1000000/BF7</f>
        <v>16980.037197283818</v>
      </c>
      <c r="BH68" s="351">
        <f t="shared" ref="BH68:BQ68" si="195">BH66*1000000/BG7</f>
        <v>40369.640616570323</v>
      </c>
      <c r="BI68" s="351">
        <f t="shared" si="195"/>
        <v>29014.172560747662</v>
      </c>
      <c r="BJ68" s="351">
        <f t="shared" si="195"/>
        <v>33856.36201445348</v>
      </c>
      <c r="BK68" s="351">
        <f t="shared" si="195"/>
        <v>33417.865356056856</v>
      </c>
      <c r="BL68" s="351">
        <f t="shared" si="195"/>
        <v>36294.919187031213</v>
      </c>
      <c r="BM68" s="351">
        <f t="shared" si="195"/>
        <v>24876.306519623744</v>
      </c>
      <c r="BN68" s="351">
        <f t="shared" si="195"/>
        <v>87331.592799503414</v>
      </c>
      <c r="BO68" s="351">
        <f t="shared" si="195"/>
        <v>59398.549631449634</v>
      </c>
      <c r="BP68" s="351">
        <f t="shared" si="195"/>
        <v>36153.999528357504</v>
      </c>
      <c r="BQ68" s="1958">
        <f t="shared" si="195"/>
        <v>16172.253655294639</v>
      </c>
      <c r="BR68" s="1962">
        <f t="shared" ref="BR68" si="196">BR66*1000000/BR7</f>
        <v>26603.216068718477</v>
      </c>
      <c r="BS68" s="351">
        <f>BS66*1000000/BQ7</f>
        <v>29194.128390449896</v>
      </c>
      <c r="BT68" s="351">
        <f>BT66*1000000/BS7</f>
        <v>27225.586040699749</v>
      </c>
      <c r="BU68" s="351">
        <f t="shared" ref="BU68:BX68" si="197">BU66*1000000/BT7</f>
        <v>5152.5425572415297</v>
      </c>
      <c r="BV68" s="351">
        <f t="shared" si="197"/>
        <v>58888.554215509466</v>
      </c>
      <c r="BW68" s="351">
        <f t="shared" si="197"/>
        <v>22803.0820854132</v>
      </c>
      <c r="BX68" s="351">
        <f t="shared" si="197"/>
        <v>20921.32614678899</v>
      </c>
      <c r="BY68" s="351">
        <f t="shared" ref="BY68" si="198">BY66*1000000/BX7</f>
        <v>49518.58287626152</v>
      </c>
      <c r="BZ68" s="351">
        <f t="shared" ref="BZ68" si="199">BZ66*1000000/BY7</f>
        <v>21347.778222578061</v>
      </c>
      <c r="CA68" s="351">
        <f t="shared" ref="CA68" si="200">CA66*1000000/BZ7</f>
        <v>31821.979832022684</v>
      </c>
      <c r="CB68" s="351">
        <f t="shared" ref="CB68" si="201">CB66*1000000/CA7</f>
        <v>19120.069470542723</v>
      </c>
      <c r="CC68" s="351">
        <f t="shared" ref="CC68" si="202">CC66*1000000/CB7</f>
        <v>30429.657403448768</v>
      </c>
      <c r="CD68" s="1958">
        <f t="shared" ref="CD68" si="203">CD66*1000000/CC7</f>
        <v>24322.168306576903</v>
      </c>
      <c r="CE68" s="1962">
        <f t="shared" ref="CE68" si="204">CE66*1000000/CE7</f>
        <v>27510.351759131016</v>
      </c>
      <c r="CF68" s="1966">
        <v>27043.7922261274</v>
      </c>
      <c r="CG68" s="1966">
        <v>27643.7922261274</v>
      </c>
      <c r="CH68" s="1966">
        <v>27643.7922261274</v>
      </c>
      <c r="CI68" s="1966">
        <v>27643.7922261274</v>
      </c>
      <c r="CJ68" s="1966">
        <v>27643.7922261274</v>
      </c>
      <c r="CK68" s="1966">
        <v>27643.7922261274</v>
      </c>
      <c r="CL68" s="1966">
        <v>27643.7922261274</v>
      </c>
      <c r="CM68" s="1966">
        <v>27643.7922261274</v>
      </c>
      <c r="CN68" s="1966">
        <v>27643.7922261274</v>
      </c>
      <c r="CO68" s="1966">
        <v>27643.7922261274</v>
      </c>
      <c r="CP68" s="1966">
        <v>27643.7922261274</v>
      </c>
      <c r="CQ68" s="2842">
        <v>27643.7922261274</v>
      </c>
    </row>
    <row r="69" spans="2:95">
      <c r="B69" s="423"/>
      <c r="C69" s="423"/>
      <c r="D69" s="423"/>
      <c r="E69" s="423"/>
      <c r="F69" s="423"/>
      <c r="G69" s="423"/>
      <c r="H69" s="423"/>
      <c r="I69" s="423"/>
      <c r="J69" s="423"/>
      <c r="K69" s="423"/>
      <c r="L69" s="423"/>
      <c r="M69" s="423"/>
      <c r="N69" s="423"/>
      <c r="O69" s="423"/>
      <c r="P69" s="423"/>
      <c r="Q69" s="423"/>
      <c r="R69" s="423"/>
      <c r="S69" s="423"/>
      <c r="T69" s="423"/>
      <c r="U69" s="423"/>
      <c r="V69" s="423"/>
      <c r="W69" s="423"/>
      <c r="X69" s="423"/>
      <c r="Y69" s="423"/>
      <c r="Z69" s="423"/>
      <c r="AA69" s="423"/>
      <c r="AB69" s="423"/>
      <c r="AC69" s="423"/>
      <c r="AD69" s="423"/>
      <c r="AE69" s="423"/>
      <c r="AF69" s="423"/>
      <c r="AG69" s="423"/>
      <c r="AH69" s="423"/>
      <c r="AI69" s="423"/>
      <c r="AJ69" s="423"/>
      <c r="AK69" s="423"/>
      <c r="AL69" s="423"/>
      <c r="AM69" s="423"/>
      <c r="AN69" s="423"/>
      <c r="AO69" s="423"/>
      <c r="AP69" s="423"/>
      <c r="AQ69" s="423"/>
      <c r="AR69" s="423"/>
      <c r="AS69" s="423"/>
      <c r="AT69" s="423"/>
      <c r="AU69" s="423"/>
      <c r="AV69" s="423"/>
      <c r="AW69" s="423"/>
      <c r="AX69" s="423"/>
      <c r="AY69" s="423"/>
      <c r="AZ69" s="423"/>
      <c r="BA69" s="423"/>
      <c r="BB69" s="423"/>
      <c r="BC69" s="423"/>
      <c r="BD69" s="423"/>
      <c r="BE69" s="423"/>
      <c r="BF69" s="423"/>
      <c r="BG69" s="423"/>
      <c r="BH69" s="423"/>
      <c r="BI69" s="423"/>
      <c r="BJ69" s="423"/>
      <c r="BK69" s="423"/>
      <c r="BL69" s="423"/>
      <c r="BM69" s="423"/>
      <c r="BN69" s="423"/>
      <c r="BO69" s="423"/>
      <c r="BP69" s="423"/>
      <c r="BQ69" s="865"/>
      <c r="BR69" s="423"/>
      <c r="BS69" s="423"/>
      <c r="BT69" s="423"/>
      <c r="BU69" s="423"/>
      <c r="BV69" s="423"/>
      <c r="BW69" s="423"/>
      <c r="BX69" s="423"/>
      <c r="BY69" s="423"/>
      <c r="BZ69" s="423"/>
      <c r="CA69" s="423"/>
      <c r="CB69" s="423"/>
      <c r="CC69" s="423"/>
      <c r="CD69" s="423"/>
      <c r="CE69" s="423"/>
      <c r="CF69" s="423"/>
      <c r="CG69" s="423"/>
      <c r="CH69" s="423"/>
      <c r="CI69" s="423"/>
      <c r="CJ69" s="423"/>
      <c r="CK69" s="423"/>
      <c r="CL69" s="423"/>
      <c r="CM69" s="423"/>
      <c r="CN69" s="423"/>
      <c r="CO69" s="423"/>
      <c r="CP69" s="423"/>
      <c r="CQ69" s="423"/>
    </row>
    <row r="70" spans="2:95">
      <c r="B70" s="423"/>
      <c r="C70" s="423"/>
      <c r="D70" s="423"/>
      <c r="E70" s="423"/>
      <c r="F70" s="423"/>
      <c r="G70" s="423"/>
      <c r="H70" s="423"/>
      <c r="I70" s="423"/>
      <c r="J70" s="423"/>
      <c r="K70" s="423"/>
      <c r="L70" s="423"/>
      <c r="M70" s="423"/>
      <c r="N70" s="423"/>
      <c r="O70" s="423"/>
      <c r="P70" s="423"/>
      <c r="Q70" s="423"/>
      <c r="R70" s="423"/>
      <c r="S70" s="423"/>
      <c r="T70" s="423"/>
      <c r="U70" s="423"/>
      <c r="V70" s="423"/>
      <c r="W70" s="423"/>
      <c r="X70" s="423"/>
      <c r="Y70" s="423"/>
      <c r="Z70" s="423"/>
      <c r="AA70" s="423"/>
      <c r="AB70" s="423"/>
      <c r="AC70" s="423"/>
      <c r="AD70" s="423"/>
      <c r="AE70" s="423"/>
      <c r="AF70" s="423"/>
      <c r="AG70" s="423"/>
      <c r="AH70" s="423"/>
      <c r="AI70" s="423"/>
      <c r="AJ70" s="423"/>
      <c r="AK70" s="423"/>
      <c r="AL70" s="423"/>
      <c r="AM70" s="423"/>
      <c r="AN70" s="423"/>
      <c r="AO70" s="423"/>
      <c r="AP70" s="423"/>
      <c r="AQ70" s="423"/>
      <c r="AR70" s="423"/>
      <c r="AS70" s="423"/>
      <c r="AT70" s="423"/>
      <c r="AU70" s="423"/>
      <c r="AV70" s="423"/>
      <c r="AW70" s="423"/>
      <c r="AX70" s="423"/>
      <c r="AY70" s="423"/>
      <c r="AZ70" s="423"/>
      <c r="BA70" s="423"/>
      <c r="BB70" s="423"/>
      <c r="BC70" s="423"/>
      <c r="BD70" s="423"/>
      <c r="BE70" s="423"/>
      <c r="BF70" s="423"/>
      <c r="BG70" s="423"/>
      <c r="BH70" s="423"/>
      <c r="BI70" s="423"/>
      <c r="BJ70" s="423"/>
      <c r="BK70" s="423"/>
      <c r="BL70" s="423"/>
      <c r="BM70" s="423"/>
      <c r="BN70" s="423"/>
      <c r="BO70" s="423"/>
      <c r="BP70" s="423"/>
      <c r="BQ70" s="865"/>
      <c r="BR70" s="423"/>
      <c r="BS70" s="423"/>
      <c r="BT70" s="423"/>
      <c r="BU70" s="423"/>
      <c r="BV70" s="423"/>
      <c r="BW70" s="423"/>
      <c r="BX70" s="423"/>
      <c r="BY70" s="423"/>
      <c r="BZ70" s="423"/>
      <c r="CA70" s="423"/>
      <c r="CB70" s="423"/>
      <c r="CC70" s="423"/>
      <c r="CD70" s="423"/>
      <c r="CE70" s="2948"/>
      <c r="CG70" s="2948"/>
      <c r="CH70" s="423"/>
      <c r="CI70" s="423"/>
      <c r="CJ70" s="423"/>
      <c r="CK70" s="423"/>
      <c r="CL70" s="423"/>
      <c r="CM70" s="423"/>
      <c r="CN70" s="423"/>
      <c r="CO70" s="423"/>
      <c r="CP70" s="423"/>
      <c r="CQ70" s="423"/>
    </row>
    <row r="71" spans="2:95" ht="21">
      <c r="B71" s="1969" t="s">
        <v>260</v>
      </c>
      <c r="C71" s="423"/>
      <c r="D71" s="423"/>
      <c r="E71" s="423"/>
      <c r="F71" s="423"/>
      <c r="G71" s="488"/>
      <c r="H71" s="488"/>
      <c r="I71" s="488"/>
      <c r="J71" s="488"/>
      <c r="K71" s="488"/>
      <c r="L71" s="488"/>
      <c r="M71" s="488"/>
      <c r="N71" s="488"/>
      <c r="O71" s="488"/>
      <c r="P71" s="488"/>
      <c r="Q71" s="488"/>
      <c r="R71" s="423"/>
      <c r="S71" s="423"/>
      <c r="T71" s="488"/>
      <c r="U71" s="488"/>
      <c r="V71" s="488"/>
      <c r="W71" s="488"/>
      <c r="X71" s="488"/>
      <c r="Y71" s="488"/>
      <c r="Z71" s="488"/>
      <c r="AA71" s="488"/>
      <c r="AB71" s="488"/>
      <c r="AC71" s="488"/>
      <c r="AD71" s="488"/>
      <c r="AE71" s="423"/>
      <c r="AF71" s="423"/>
      <c r="AG71" s="488"/>
      <c r="AH71" s="488"/>
      <c r="AI71" s="488"/>
      <c r="AJ71" s="488"/>
      <c r="AK71" s="488"/>
      <c r="AL71" s="488"/>
      <c r="AM71" s="488"/>
      <c r="AN71" s="488"/>
      <c r="AO71" s="488"/>
      <c r="AP71" s="488"/>
      <c r="AQ71" s="488"/>
      <c r="AR71" s="423"/>
      <c r="AS71" s="423"/>
      <c r="AT71" s="488"/>
      <c r="AU71" s="488"/>
      <c r="AV71" s="488"/>
      <c r="AW71" s="488"/>
      <c r="AX71" s="488"/>
      <c r="AY71" s="488"/>
      <c r="AZ71" s="488"/>
      <c r="BA71" s="488"/>
      <c r="BB71" s="488"/>
      <c r="BC71" s="488"/>
      <c r="BD71" s="488"/>
      <c r="BE71" s="423"/>
      <c r="BF71" s="423"/>
      <c r="BG71" s="488"/>
      <c r="BH71" s="488"/>
      <c r="BI71" s="488"/>
      <c r="BJ71" s="488"/>
      <c r="BK71" s="488"/>
      <c r="BL71" s="488"/>
      <c r="BM71" s="488"/>
      <c r="BN71" s="488"/>
      <c r="BO71" s="488"/>
      <c r="BP71" s="488"/>
      <c r="BQ71" s="1162"/>
      <c r="BR71" s="423"/>
      <c r="BS71" s="423"/>
      <c r="BT71" s="488"/>
      <c r="BU71" s="488"/>
      <c r="BV71" s="488"/>
      <c r="BW71" s="488"/>
      <c r="BX71" s="488"/>
      <c r="BY71" s="488"/>
      <c r="BZ71" s="488"/>
      <c r="CA71" s="488"/>
      <c r="CB71" s="488"/>
      <c r="CC71" s="488"/>
      <c r="CD71" s="488"/>
      <c r="CE71" s="423"/>
      <c r="CF71" s="423"/>
      <c r="CG71" s="488"/>
      <c r="CH71" s="488"/>
      <c r="CI71" s="488"/>
      <c r="CJ71" s="488"/>
      <c r="CK71" s="488"/>
      <c r="CL71" s="488"/>
      <c r="CM71" s="488"/>
      <c r="CN71" s="488"/>
      <c r="CO71" s="488"/>
      <c r="CP71" s="488"/>
      <c r="CQ71" s="488"/>
    </row>
    <row r="72" spans="2:95">
      <c r="B72" s="3340" t="s">
        <v>261</v>
      </c>
      <c r="C72" s="3341"/>
      <c r="D72" s="240" t="s">
        <v>14</v>
      </c>
      <c r="E72" s="244">
        <f>SUM(F72:Q72)</f>
        <v>1090.014113</v>
      </c>
      <c r="F72" s="350">
        <v>147.659513</v>
      </c>
      <c r="G72" s="350">
        <v>145.43331599999999</v>
      </c>
      <c r="H72" s="350">
        <v>53.141831000000003</v>
      </c>
      <c r="I72" s="350">
        <v>175.673935</v>
      </c>
      <c r="J72" s="350">
        <v>119.3505</v>
      </c>
      <c r="K72" s="350">
        <v>91.694794999999999</v>
      </c>
      <c r="L72" s="350">
        <v>98.917973000000003</v>
      </c>
      <c r="M72" s="350">
        <v>73.514657999999997</v>
      </c>
      <c r="N72" s="350">
        <v>65.674392999999995</v>
      </c>
      <c r="O72" s="350">
        <v>68.658745999999994</v>
      </c>
      <c r="P72" s="350">
        <v>18.62359</v>
      </c>
      <c r="Q72" s="350">
        <v>31.670863000000001</v>
      </c>
      <c r="R72" s="244">
        <f>SUM(S72:AD72)</f>
        <v>231.86112800000001</v>
      </c>
      <c r="S72" s="1971">
        <v>56.786904</v>
      </c>
      <c r="T72" s="446">
        <v>27.643360000000001</v>
      </c>
      <c r="U72" s="446">
        <v>20.340147999999999</v>
      </c>
      <c r="V72" s="446">
        <v>22.529941999999998</v>
      </c>
      <c r="W72" s="446">
        <v>23.178453999999999</v>
      </c>
      <c r="X72" s="446">
        <v>14.368359999999999</v>
      </c>
      <c r="Y72" s="446">
        <v>19.308299000000002</v>
      </c>
      <c r="Z72" s="446">
        <v>9.8348279999999999</v>
      </c>
      <c r="AA72" s="446">
        <v>3.9521320000000002</v>
      </c>
      <c r="AB72" s="741">
        <v>10.282876999999999</v>
      </c>
      <c r="AC72" s="741">
        <v>14.502395999999999</v>
      </c>
      <c r="AD72" s="741">
        <v>9.1334280000000003</v>
      </c>
      <c r="AE72" s="244">
        <f>SUM(AF72:AQ72)</f>
        <v>192.18449899999999</v>
      </c>
      <c r="AF72" s="544">
        <v>21.710100000000001</v>
      </c>
      <c r="AG72" s="544">
        <v>0</v>
      </c>
      <c r="AH72" s="544">
        <v>18.890499999999999</v>
      </c>
      <c r="AI72" s="544">
        <v>25.992139999999999</v>
      </c>
      <c r="AJ72" s="544">
        <v>20.244540000000001</v>
      </c>
      <c r="AK72" s="544">
        <v>13.499000000000001</v>
      </c>
      <c r="AL72" s="544">
        <v>14.475519999999999</v>
      </c>
      <c r="AM72" s="544">
        <v>11.17896</v>
      </c>
      <c r="AN72" s="544">
        <v>36.267313999999999</v>
      </c>
      <c r="AO72" s="544">
        <v>8.6372800000000005</v>
      </c>
      <c r="AP72" s="544">
        <v>17.331045</v>
      </c>
      <c r="AQ72" s="544">
        <v>3.9581</v>
      </c>
      <c r="AR72" s="244">
        <f>SUM(AS72:BD72)</f>
        <v>8.4021399999999993</v>
      </c>
      <c r="AS72" s="1141">
        <v>2.3940000000000001</v>
      </c>
      <c r="AT72" s="1142">
        <v>0.16847999999999999</v>
      </c>
      <c r="AU72" s="1142">
        <v>1.0677000000000001</v>
      </c>
      <c r="AV72" s="1142">
        <v>0.874</v>
      </c>
      <c r="AW72" s="1142">
        <v>1.24282</v>
      </c>
      <c r="AX72" s="1577">
        <v>0.3211</v>
      </c>
      <c r="AY72" s="1577">
        <v>5.7000000000000002E-2</v>
      </c>
      <c r="AZ72" s="1142">
        <v>0.63917999999999997</v>
      </c>
      <c r="BA72" s="1142">
        <v>0.94072</v>
      </c>
      <c r="BB72" s="1142">
        <v>0.42498000000000002</v>
      </c>
      <c r="BC72" s="1142">
        <v>6.0479999999999999E-2</v>
      </c>
      <c r="BD72" s="544">
        <v>0.21168000000000001</v>
      </c>
      <c r="BE72" s="1139">
        <f>SUM(BF72:BQ72)</f>
        <v>40.248519999999999</v>
      </c>
      <c r="BF72" s="1945">
        <v>-0.48952000000000001</v>
      </c>
      <c r="BG72" s="1142">
        <v>0</v>
      </c>
      <c r="BH72" s="1142">
        <v>1.3109999999999999</v>
      </c>
      <c r="BI72" s="1142">
        <v>5.4170400000000001</v>
      </c>
      <c r="BJ72" s="1142">
        <v>2.7265000000000001</v>
      </c>
      <c r="BK72" s="1142">
        <v>11.324</v>
      </c>
      <c r="BL72" s="1142">
        <v>2.8690000000000002</v>
      </c>
      <c r="BM72" s="1142">
        <v>2.2610000000000001</v>
      </c>
      <c r="BN72" s="1142">
        <v>1.7575000000000001</v>
      </c>
      <c r="BO72" s="1142">
        <v>0.95</v>
      </c>
      <c r="BP72" s="1142">
        <v>6.9255000000000004</v>
      </c>
      <c r="BQ72" s="1944">
        <v>5.1965000000000003</v>
      </c>
      <c r="BR72" s="1139">
        <f>SUM(BS72:CD72)</f>
        <v>40.575775</v>
      </c>
      <c r="BS72" s="1945">
        <v>0</v>
      </c>
      <c r="BT72" s="1142">
        <v>0</v>
      </c>
      <c r="BU72" s="1142">
        <v>0</v>
      </c>
      <c r="BV72" s="1142">
        <v>11.220325000000001</v>
      </c>
      <c r="BW72" s="1142">
        <v>21.6128</v>
      </c>
      <c r="BX72" s="1142">
        <v>2.4</v>
      </c>
      <c r="BY72" s="1142">
        <v>3.8766500000000002</v>
      </c>
      <c r="BZ72" s="1142">
        <v>0</v>
      </c>
      <c r="CA72" s="1142">
        <v>0</v>
      </c>
      <c r="CB72" s="1142">
        <v>0</v>
      </c>
      <c r="CC72" s="1142">
        <v>0.71</v>
      </c>
      <c r="CD72" s="2538">
        <v>0.75600000000000001</v>
      </c>
      <c r="CE72" s="1139">
        <f>SUM(CF72:CQ72)</f>
        <v>97.714940732565495</v>
      </c>
      <c r="CF72" s="1945">
        <f t="shared" ref="CF72" si="205">CF73*CF7/1000000</f>
        <v>6.8400458512795863</v>
      </c>
      <c r="CG72" s="1142">
        <f t="shared" ref="CG72" si="206">CG73*CG7/1000000</f>
        <v>9.2971555916899895</v>
      </c>
      <c r="CH72" s="1142">
        <f t="shared" ref="CH72" si="207">CH73*CH7/1000000</f>
        <v>6.8400458512795863</v>
      </c>
      <c r="CI72" s="1142">
        <f t="shared" ref="CI72" si="208">CI73*CI7/1000000</f>
        <v>8.2049787233563638</v>
      </c>
      <c r="CJ72" s="1142">
        <f t="shared" ref="CJ72" si="209">CJ73*CJ7/1000000</f>
        <v>9.2829193695937224</v>
      </c>
      <c r="CK72" s="1142">
        <f t="shared" ref="CK72" si="210">CK73*CK7/1000000</f>
        <v>8.6946986958186177</v>
      </c>
      <c r="CL72" s="1142">
        <f t="shared" ref="CL72" si="211">CL73*CL7/1000000</f>
        <v>9.2829193695937224</v>
      </c>
      <c r="CM72" s="1142">
        <f t="shared" ref="CM72" si="212">CM73*CM7/1000000</f>
        <v>8.2049787233563638</v>
      </c>
      <c r="CN72" s="1142">
        <f t="shared" ref="CN72" si="213">CN73*CN7/1000000</f>
        <v>7.817195258605242</v>
      </c>
      <c r="CO72" s="1142">
        <f t="shared" ref="CO72" si="214">CO73*CO7/1000000</f>
        <v>8.2049787233563638</v>
      </c>
      <c r="CP72" s="1142">
        <f t="shared" ref="CP72" si="215">CP73*CP7/1000000</f>
        <v>8.2049787233563638</v>
      </c>
      <c r="CQ72" s="2538">
        <f t="shared" ref="CQ72" si="216">CQ73*CQ7/1000000</f>
        <v>6.8400458512795863</v>
      </c>
    </row>
    <row r="73" spans="2:95">
      <c r="B73" s="3378"/>
      <c r="C73" s="3379"/>
      <c r="D73" s="258" t="s">
        <v>286</v>
      </c>
      <c r="E73" s="448">
        <f t="shared" ref="E73:M73" si="217">E72*1000000/E7</f>
        <v>7228.1623662973061</v>
      </c>
      <c r="F73" s="351">
        <f t="shared" si="217"/>
        <v>10277.685877357833</v>
      </c>
      <c r="G73" s="351">
        <f t="shared" si="217"/>
        <v>10472.623028731907</v>
      </c>
      <c r="H73" s="351">
        <f t="shared" si="217"/>
        <v>3798.82986632354</v>
      </c>
      <c r="I73" s="351">
        <f t="shared" si="217"/>
        <v>14480.212248598747</v>
      </c>
      <c r="J73" s="351">
        <f t="shared" si="217"/>
        <v>9378.4771334276284</v>
      </c>
      <c r="K73" s="351">
        <f t="shared" si="217"/>
        <v>6441.502985598876</v>
      </c>
      <c r="L73" s="351">
        <f t="shared" si="217"/>
        <v>7588.0617520711876</v>
      </c>
      <c r="M73" s="351">
        <f t="shared" si="217"/>
        <v>5781.2722554262346</v>
      </c>
      <c r="N73" s="351">
        <v>5134.0207160725449</v>
      </c>
      <c r="O73" s="351">
        <v>5994.3029509341713</v>
      </c>
      <c r="P73" s="351">
        <f t="shared" ref="P73:AQ73" si="218">P72*1000000/P7</f>
        <v>2210.5151335311571</v>
      </c>
      <c r="Q73" s="351">
        <f t="shared" si="218"/>
        <v>2868.2179858721247</v>
      </c>
      <c r="R73" s="448">
        <f t="shared" si="218"/>
        <v>1355.7275086333216</v>
      </c>
      <c r="S73" s="351">
        <f t="shared" si="218"/>
        <v>4173.0529100529102</v>
      </c>
      <c r="T73" s="351">
        <f t="shared" si="218"/>
        <v>2161.4950347955273</v>
      </c>
      <c r="U73" s="351">
        <f t="shared" si="218"/>
        <v>1361.9114830934047</v>
      </c>
      <c r="V73" s="351">
        <f t="shared" si="218"/>
        <v>1595.4919623256144</v>
      </c>
      <c r="W73" s="351">
        <f t="shared" si="218"/>
        <v>1566.0059455442199</v>
      </c>
      <c r="X73" s="351">
        <f t="shared" si="218"/>
        <v>935.13569801496908</v>
      </c>
      <c r="Y73" s="351">
        <f t="shared" si="218"/>
        <v>1383.1754230124504</v>
      </c>
      <c r="Z73" s="351">
        <f t="shared" si="218"/>
        <v>665.86513202437368</v>
      </c>
      <c r="AA73" s="351">
        <f t="shared" si="218"/>
        <v>306.77109368935805</v>
      </c>
      <c r="AB73" s="351">
        <f t="shared" si="218"/>
        <v>715.1315807775228</v>
      </c>
      <c r="AC73" s="351">
        <f t="shared" si="218"/>
        <v>996.24895239403725</v>
      </c>
      <c r="AD73" s="351">
        <f t="shared" si="218"/>
        <v>614.79725363489501</v>
      </c>
      <c r="AE73" s="448">
        <f t="shared" ref="AE73" si="219">AE72*1000000/AE7</f>
        <v>1043.1203810247503</v>
      </c>
      <c r="AF73" s="351">
        <f t="shared" si="218"/>
        <v>1532.8743910188518</v>
      </c>
      <c r="AG73" s="351">
        <f t="shared" si="218"/>
        <v>0</v>
      </c>
      <c r="AH73" s="351">
        <f t="shared" si="218"/>
        <v>1272.258890086207</v>
      </c>
      <c r="AI73" s="351">
        <f t="shared" si="218"/>
        <v>1584.306960867975</v>
      </c>
      <c r="AJ73" s="351">
        <f t="shared" si="218"/>
        <v>1176.8028832180435</v>
      </c>
      <c r="AK73" s="351">
        <f t="shared" si="218"/>
        <v>781.78027451207504</v>
      </c>
      <c r="AL73" s="351">
        <f t="shared" si="218"/>
        <v>940.33519553072631</v>
      </c>
      <c r="AM73" s="351">
        <f t="shared" si="218"/>
        <v>658.7483794932233</v>
      </c>
      <c r="AN73" s="351">
        <f t="shared" si="218"/>
        <v>2638.3903681070856</v>
      </c>
      <c r="AO73" s="351">
        <f t="shared" si="218"/>
        <v>532.83652066625541</v>
      </c>
      <c r="AP73" s="351">
        <f t="shared" si="218"/>
        <v>1172.6011502029769</v>
      </c>
      <c r="AQ73" s="351">
        <f t="shared" si="218"/>
        <v>301.47764490821845</v>
      </c>
      <c r="AR73" s="448">
        <f t="shared" ref="AR73:BD73" si="220">AR72*1000000/AR7</f>
        <v>45.671250747404471</v>
      </c>
      <c r="AS73" s="1580">
        <f t="shared" si="220"/>
        <v>159.84509581358083</v>
      </c>
      <c r="AT73" s="351">
        <f t="shared" si="220"/>
        <v>9.8010471204188487</v>
      </c>
      <c r="AU73" s="351">
        <f t="shared" si="220"/>
        <v>65.278796771826848</v>
      </c>
      <c r="AV73" s="351">
        <f t="shared" si="220"/>
        <v>56.412573420254311</v>
      </c>
      <c r="AW73" s="351">
        <f t="shared" si="220"/>
        <v>75.108478878346531</v>
      </c>
      <c r="AX73" s="351">
        <f t="shared" si="220"/>
        <v>20.423610227706398</v>
      </c>
      <c r="AY73" s="351">
        <f t="shared" si="220"/>
        <v>4.1451530797760165</v>
      </c>
      <c r="AZ73" s="351">
        <f t="shared" si="220"/>
        <v>35.261212555855906</v>
      </c>
      <c r="BA73" s="351">
        <f t="shared" si="220"/>
        <v>72.480160258879735</v>
      </c>
      <c r="BB73" s="351">
        <f t="shared" si="220"/>
        <v>26.048421697824089</v>
      </c>
      <c r="BC73" s="351">
        <f t="shared" si="220"/>
        <v>4.1238238101731897</v>
      </c>
      <c r="BD73" s="351">
        <f t="shared" si="220"/>
        <v>17.867814636616863</v>
      </c>
      <c r="BE73" s="1140">
        <f t="shared" ref="BE73:BQ73" si="221">BE72*1000000/BE7</f>
        <v>270.55645931084553</v>
      </c>
      <c r="BF73" s="1950">
        <f t="shared" si="221"/>
        <v>-29.41650141217475</v>
      </c>
      <c r="BG73" s="351">
        <f t="shared" si="221"/>
        <v>0</v>
      </c>
      <c r="BH73" s="351">
        <f t="shared" si="221"/>
        <v>98.018691588785046</v>
      </c>
      <c r="BI73" s="351">
        <f t="shared" si="221"/>
        <v>407.78681120144535</v>
      </c>
      <c r="BJ73" s="351">
        <f t="shared" si="221"/>
        <v>192.80814652429106</v>
      </c>
      <c r="BK73" s="351">
        <f t="shared" si="221"/>
        <v>913.29945963384148</v>
      </c>
      <c r="BL73" s="351">
        <f t="shared" si="221"/>
        <v>186.11741809925397</v>
      </c>
      <c r="BM73" s="351">
        <f t="shared" si="221"/>
        <v>280.69522036002485</v>
      </c>
      <c r="BN73" s="351">
        <f t="shared" si="221"/>
        <v>215.90909090909091</v>
      </c>
      <c r="BO73" s="351">
        <f t="shared" si="221"/>
        <v>112.01509255983964</v>
      </c>
      <c r="BP73" s="351">
        <f t="shared" si="221"/>
        <v>511.4089499335401</v>
      </c>
      <c r="BQ73" s="1949">
        <f t="shared" si="221"/>
        <v>421.99935033295435</v>
      </c>
      <c r="BR73" s="1140">
        <f t="shared" ref="BR73:CD73" si="222">BR72*1000000/BR7</f>
        <v>207.33979059464377</v>
      </c>
      <c r="BS73" s="1950">
        <f t="shared" si="222"/>
        <v>0</v>
      </c>
      <c r="BT73" s="351">
        <f t="shared" si="222"/>
        <v>0</v>
      </c>
      <c r="BU73" s="351">
        <f t="shared" si="222"/>
        <v>0</v>
      </c>
      <c r="BV73" s="351">
        <f t="shared" si="222"/>
        <v>691.46022061995438</v>
      </c>
      <c r="BW73" s="351">
        <f t="shared" si="222"/>
        <v>901.28440366972472</v>
      </c>
      <c r="BX73" s="351">
        <f t="shared" si="222"/>
        <v>131.63668275559456</v>
      </c>
      <c r="BY73" s="351">
        <f t="shared" si="222"/>
        <v>182.57664955493806</v>
      </c>
      <c r="BZ73" s="351">
        <f t="shared" si="222"/>
        <v>0</v>
      </c>
      <c r="CA73" s="351">
        <f t="shared" si="222"/>
        <v>0</v>
      </c>
      <c r="CB73" s="351">
        <f t="shared" si="222"/>
        <v>0</v>
      </c>
      <c r="CC73" s="351">
        <f t="shared" si="222"/>
        <v>52.526448176370494</v>
      </c>
      <c r="CD73" s="1958">
        <f t="shared" si="222"/>
        <v>57.168784029038115</v>
      </c>
      <c r="CE73" s="1140">
        <f t="shared" ref="CE73" si="223">CE72*1000000/CE7</f>
        <v>574.79376901509113</v>
      </c>
      <c r="CF73" s="1967">
        <v>574.79376901509124</v>
      </c>
      <c r="CG73" s="1966">
        <v>574.79376901509124</v>
      </c>
      <c r="CH73" s="1966">
        <v>574.79376901509124</v>
      </c>
      <c r="CI73" s="1966">
        <v>574.79376901509124</v>
      </c>
      <c r="CJ73" s="1966">
        <v>574.79376901509124</v>
      </c>
      <c r="CK73" s="1966">
        <v>574.79376901509124</v>
      </c>
      <c r="CL73" s="1966">
        <v>574.79376901509124</v>
      </c>
      <c r="CM73" s="1966">
        <v>574.79376901509124</v>
      </c>
      <c r="CN73" s="1966">
        <v>574.79376901509124</v>
      </c>
      <c r="CO73" s="1966">
        <v>574.79376901509124</v>
      </c>
      <c r="CP73" s="1966">
        <v>574.79376901509124</v>
      </c>
      <c r="CQ73" s="2842">
        <v>574.79376901509124</v>
      </c>
    </row>
    <row r="74" spans="2:95" s="28" customFormat="1" ht="16.5" customHeight="1">
      <c r="B74" s="3345" t="s">
        <v>330</v>
      </c>
      <c r="C74" s="3346"/>
      <c r="D74" s="292" t="s">
        <v>14</v>
      </c>
      <c r="E74" s="449">
        <f>SUM(F74:Q74)</f>
        <v>31.761519999999997</v>
      </c>
      <c r="F74" s="577">
        <v>4.7661020000000001</v>
      </c>
      <c r="G74" s="577">
        <v>1.61812</v>
      </c>
      <c r="H74" s="577">
        <v>7.2895209999999997</v>
      </c>
      <c r="I74" s="476">
        <v>1.29023</v>
      </c>
      <c r="J74" s="476">
        <v>1.97092</v>
      </c>
      <c r="K74" s="476">
        <v>1.6957800000000001</v>
      </c>
      <c r="L74" s="476">
        <v>3.8247559999999998</v>
      </c>
      <c r="M74" s="476">
        <v>3.5693139999999999</v>
      </c>
      <c r="N74" s="476">
        <v>2.6089449999999998</v>
      </c>
      <c r="O74" s="351">
        <v>1.40998</v>
      </c>
      <c r="P74" s="476">
        <v>0.77308399999999999</v>
      </c>
      <c r="Q74" s="447">
        <v>0.94476800000000005</v>
      </c>
      <c r="R74" s="449">
        <f>SUM(S74:AD74)</f>
        <v>15.400587000000002</v>
      </c>
      <c r="S74" s="577">
        <v>3.2985989999999998</v>
      </c>
      <c r="T74" s="577">
        <v>0.52403</v>
      </c>
      <c r="U74" s="577">
        <v>1.397</v>
      </c>
      <c r="V74" s="577">
        <v>0.59250000000000003</v>
      </c>
      <c r="W74" s="577">
        <v>1.88096</v>
      </c>
      <c r="X74" s="577">
        <v>0.12372</v>
      </c>
      <c r="Y74" s="577">
        <v>2.597982</v>
      </c>
      <c r="Z74" s="577">
        <v>0.209925</v>
      </c>
      <c r="AA74" s="741">
        <v>0.35427999999999998</v>
      </c>
      <c r="AB74" s="741">
        <v>0.79469999999999996</v>
      </c>
      <c r="AC74" s="741">
        <v>2.099529</v>
      </c>
      <c r="AD74" s="741">
        <v>1.5273620000000001</v>
      </c>
      <c r="AE74" s="449">
        <f>SUM(AF74:AQ74)</f>
        <v>5.8750419999999997</v>
      </c>
      <c r="AF74" s="741">
        <v>0.2</v>
      </c>
      <c r="AG74" s="741">
        <v>0.827955</v>
      </c>
      <c r="AH74" s="741">
        <v>0.22137000000000001</v>
      </c>
      <c r="AI74" s="577">
        <v>1.843113</v>
      </c>
      <c r="AJ74" s="577">
        <v>0</v>
      </c>
      <c r="AK74" s="577">
        <v>3.4000000000000002E-2</v>
      </c>
      <c r="AL74" s="577">
        <v>0.52037999999999995</v>
      </c>
      <c r="AM74" s="577"/>
      <c r="AN74" s="577">
        <v>0</v>
      </c>
      <c r="AO74" s="577">
        <v>1.9674199999999999</v>
      </c>
      <c r="AP74" s="577">
        <v>0.13789399999999999</v>
      </c>
      <c r="AQ74" s="577">
        <v>0.12291000000000001</v>
      </c>
      <c r="AR74" s="449">
        <f>SUM(AS74:BD74)</f>
        <v>1.620017</v>
      </c>
      <c r="AS74" s="1581">
        <v>0.63049100000000002</v>
      </c>
      <c r="AT74" s="1582">
        <v>0</v>
      </c>
      <c r="AU74" s="1583">
        <v>0.67420000000000002</v>
      </c>
      <c r="AV74" s="1584">
        <v>0</v>
      </c>
      <c r="AW74" s="1584">
        <v>0</v>
      </c>
      <c r="AX74" s="1584">
        <v>0</v>
      </c>
      <c r="AY74" s="1584">
        <v>0.315326</v>
      </c>
      <c r="AZ74" s="1582">
        <v>0</v>
      </c>
      <c r="BA74" s="1582">
        <v>0</v>
      </c>
      <c r="BB74" s="1582">
        <v>0</v>
      </c>
      <c r="BC74" s="1582">
        <v>0</v>
      </c>
      <c r="BD74" s="1585">
        <v>0</v>
      </c>
      <c r="BE74" s="1139">
        <f>SUM(BF74:BQ74)</f>
        <v>0</v>
      </c>
      <c r="BF74" s="1946">
        <v>0</v>
      </c>
      <c r="BG74" s="1582">
        <v>0</v>
      </c>
      <c r="BH74" s="1582">
        <v>0</v>
      </c>
      <c r="BI74" s="1582">
        <v>0</v>
      </c>
      <c r="BJ74" s="1582">
        <v>0</v>
      </c>
      <c r="BK74" s="1582">
        <v>0</v>
      </c>
      <c r="BL74" s="1582">
        <v>0</v>
      </c>
      <c r="BM74" s="1582">
        <v>0</v>
      </c>
      <c r="BN74" s="1582">
        <v>0</v>
      </c>
      <c r="BO74" s="1582">
        <v>0</v>
      </c>
      <c r="BP74" s="1582">
        <v>0</v>
      </c>
      <c r="BQ74" s="1947">
        <v>0</v>
      </c>
      <c r="BR74" s="1139">
        <f>SUM(BS74:CD74)</f>
        <v>0</v>
      </c>
      <c r="BS74" s="1946">
        <v>0</v>
      </c>
      <c r="BT74" s="1582">
        <v>0</v>
      </c>
      <c r="BU74" s="1582">
        <v>0</v>
      </c>
      <c r="BV74" s="1582">
        <v>0</v>
      </c>
      <c r="BW74" s="1582">
        <v>0</v>
      </c>
      <c r="BX74" s="1582">
        <v>0</v>
      </c>
      <c r="BY74" s="1582">
        <v>0</v>
      </c>
      <c r="BZ74" s="1582">
        <v>0</v>
      </c>
      <c r="CA74" s="1582">
        <v>0</v>
      </c>
      <c r="CB74" s="1582">
        <v>0</v>
      </c>
      <c r="CC74" s="1582">
        <v>0</v>
      </c>
      <c r="CD74" s="2850">
        <v>0</v>
      </c>
      <c r="CE74" s="1139">
        <f>SUM(CF74:CQ74)</f>
        <v>0</v>
      </c>
      <c r="CF74" s="1946">
        <v>0</v>
      </c>
      <c r="CG74" s="1582">
        <v>0</v>
      </c>
      <c r="CH74" s="1582">
        <v>0</v>
      </c>
      <c r="CI74" s="1582">
        <v>0</v>
      </c>
      <c r="CJ74" s="1582">
        <v>0</v>
      </c>
      <c r="CK74" s="1582">
        <v>0</v>
      </c>
      <c r="CL74" s="1582">
        <v>0</v>
      </c>
      <c r="CM74" s="1582">
        <v>0</v>
      </c>
      <c r="CN74" s="1582">
        <v>0</v>
      </c>
      <c r="CO74" s="1582">
        <v>0</v>
      </c>
      <c r="CP74" s="1582">
        <v>0</v>
      </c>
      <c r="CQ74" s="2850">
        <v>0</v>
      </c>
    </row>
    <row r="75" spans="2:95">
      <c r="B75" s="423"/>
      <c r="C75" s="423"/>
      <c r="D75" s="423"/>
      <c r="E75" s="423"/>
      <c r="F75" s="423"/>
      <c r="G75" s="423"/>
      <c r="H75" s="423"/>
      <c r="I75" s="423"/>
      <c r="J75" s="423"/>
      <c r="K75" s="423"/>
      <c r="L75" s="423"/>
      <c r="M75" s="423"/>
      <c r="N75" s="423"/>
      <c r="O75" s="423"/>
      <c r="P75" s="423"/>
      <c r="Q75" s="423"/>
      <c r="R75" s="423"/>
      <c r="S75" s="423"/>
      <c r="T75" s="423"/>
      <c r="U75" s="423"/>
      <c r="V75" s="423"/>
      <c r="W75" s="423"/>
      <c r="X75" s="423"/>
      <c r="Y75" s="423"/>
      <c r="Z75" s="423"/>
      <c r="AA75" s="423"/>
      <c r="AB75" s="423"/>
      <c r="AC75" s="423"/>
      <c r="AD75" s="423"/>
      <c r="AE75" s="423"/>
      <c r="AF75" s="423"/>
      <c r="AG75" s="423"/>
      <c r="AH75" s="423"/>
      <c r="AI75" s="423"/>
      <c r="AJ75" s="423"/>
      <c r="AK75" s="423"/>
      <c r="AL75" s="423"/>
      <c r="AM75" s="423"/>
      <c r="AN75" s="423"/>
      <c r="AO75" s="423"/>
      <c r="AP75" s="423"/>
      <c r="AQ75" s="423"/>
      <c r="AR75" s="423"/>
      <c r="AS75" s="423"/>
      <c r="AT75" s="423"/>
      <c r="AU75" s="423"/>
      <c r="AV75" s="423"/>
      <c r="AW75" s="423"/>
      <c r="AX75" s="423"/>
      <c r="AY75" s="423"/>
      <c r="AZ75" s="423"/>
      <c r="BA75" s="423"/>
      <c r="BB75" s="423"/>
      <c r="BC75" s="423"/>
      <c r="BD75" s="423"/>
      <c r="BE75" s="423"/>
      <c r="BF75" s="423"/>
      <c r="BG75" s="423"/>
      <c r="BH75" s="423"/>
      <c r="BI75" s="423"/>
      <c r="BJ75" s="423"/>
      <c r="BK75" s="423"/>
      <c r="BL75" s="423"/>
      <c r="BM75" s="423"/>
      <c r="BN75" s="423"/>
      <c r="BO75" s="423"/>
      <c r="BP75" s="423"/>
      <c r="BQ75" s="865"/>
      <c r="BR75" s="423"/>
      <c r="BS75" s="423"/>
      <c r="BT75" s="423"/>
      <c r="BU75" s="423"/>
      <c r="BV75" s="423"/>
      <c r="BW75" s="423"/>
      <c r="BX75" s="423"/>
      <c r="BY75" s="423"/>
      <c r="BZ75" s="423"/>
      <c r="CA75" s="423"/>
      <c r="CB75" s="423"/>
      <c r="CC75" s="423"/>
      <c r="CD75" s="423"/>
      <c r="CE75" s="423"/>
      <c r="CF75" s="423"/>
      <c r="CG75" s="423"/>
      <c r="CH75" s="423"/>
      <c r="CI75" s="423"/>
      <c r="CJ75" s="423"/>
      <c r="CK75" s="423"/>
      <c r="CL75" s="423"/>
      <c r="CM75" s="423"/>
      <c r="CN75" s="423"/>
      <c r="CO75" s="423"/>
      <c r="CP75" s="423"/>
      <c r="CQ75" s="423"/>
    </row>
    <row r="76" spans="2:95">
      <c r="B76" s="423"/>
      <c r="C76" s="423"/>
      <c r="D76" s="423"/>
      <c r="E76" s="423"/>
      <c r="F76" s="423"/>
      <c r="G76" s="423"/>
      <c r="H76" s="423"/>
      <c r="I76" s="423"/>
      <c r="J76" s="423"/>
      <c r="K76" s="423"/>
      <c r="L76" s="423"/>
      <c r="M76" s="423"/>
      <c r="N76" s="423"/>
      <c r="O76" s="423"/>
      <c r="P76" s="423"/>
      <c r="Q76" s="423"/>
      <c r="R76" s="423"/>
      <c r="S76" s="423"/>
      <c r="T76" s="423"/>
      <c r="U76" s="423"/>
      <c r="V76" s="423"/>
      <c r="W76" s="423"/>
      <c r="X76" s="423"/>
      <c r="Y76" s="423"/>
      <c r="Z76" s="423"/>
      <c r="AA76" s="423"/>
      <c r="AB76" s="423"/>
      <c r="AC76" s="423"/>
      <c r="AD76" s="423"/>
      <c r="AE76" s="423"/>
      <c r="AF76" s="423"/>
      <c r="AG76" s="423"/>
      <c r="AH76" s="423"/>
      <c r="AI76" s="423"/>
      <c r="AJ76" s="423"/>
      <c r="AK76" s="423"/>
      <c r="AL76" s="423"/>
      <c r="AM76" s="423"/>
      <c r="AN76" s="423"/>
      <c r="AO76" s="423"/>
      <c r="AP76" s="423"/>
      <c r="AQ76" s="423"/>
      <c r="AR76" s="423"/>
      <c r="AS76" s="423"/>
      <c r="AT76" s="423"/>
      <c r="AU76" s="423"/>
      <c r="AV76" s="423"/>
      <c r="AW76" s="423"/>
      <c r="AX76" s="423"/>
      <c r="AY76" s="423"/>
      <c r="AZ76" s="423"/>
      <c r="BA76" s="423"/>
      <c r="BB76" s="423"/>
      <c r="BC76" s="423"/>
      <c r="BD76" s="423"/>
      <c r="BE76" s="423"/>
      <c r="BF76" s="423"/>
      <c r="BG76" s="423"/>
      <c r="BH76" s="423"/>
      <c r="BI76" s="423"/>
      <c r="BJ76" s="423"/>
      <c r="BK76" s="423"/>
      <c r="BL76" s="423"/>
      <c r="BM76" s="423"/>
      <c r="BN76" s="423"/>
      <c r="BO76" s="423"/>
      <c r="BP76" s="423"/>
      <c r="BQ76" s="865"/>
      <c r="BR76" s="423"/>
      <c r="BS76" s="423"/>
      <c r="BT76" s="423"/>
      <c r="BU76" s="423"/>
      <c r="BV76" s="423"/>
      <c r="BW76" s="423"/>
      <c r="BX76" s="423"/>
      <c r="BY76" s="423"/>
      <c r="BZ76" s="423"/>
      <c r="CA76" s="423"/>
      <c r="CB76" s="423"/>
      <c r="CC76" s="423"/>
      <c r="CD76" s="423"/>
      <c r="CE76" s="423"/>
      <c r="CF76" s="423"/>
      <c r="CG76" s="423"/>
      <c r="CH76" s="423"/>
      <c r="CI76" s="423"/>
      <c r="CJ76" s="423"/>
      <c r="CK76" s="423"/>
      <c r="CL76" s="423"/>
      <c r="CM76" s="423"/>
      <c r="CN76" s="423"/>
      <c r="CO76" s="423"/>
      <c r="CP76" s="423"/>
      <c r="CQ76" s="423"/>
    </row>
    <row r="77" spans="2:95" ht="21">
      <c r="B77" s="1969" t="s">
        <v>262</v>
      </c>
      <c r="C77" s="423"/>
      <c r="D77" s="423"/>
      <c r="E77" s="423"/>
      <c r="F77" s="423"/>
      <c r="G77" s="488"/>
      <c r="H77" s="488"/>
      <c r="I77" s="488"/>
      <c r="J77" s="488"/>
      <c r="K77" s="488"/>
      <c r="L77" s="488"/>
      <c r="M77" s="488"/>
      <c r="N77" s="488"/>
      <c r="O77" s="488"/>
      <c r="P77" s="488"/>
      <c r="Q77" s="488"/>
      <c r="R77" s="423"/>
      <c r="S77" s="423"/>
      <c r="T77" s="488"/>
      <c r="U77" s="488"/>
      <c r="V77" s="488"/>
      <c r="W77" s="488"/>
      <c r="X77" s="488"/>
      <c r="Y77" s="488"/>
      <c r="Z77" s="488"/>
      <c r="AA77" s="488"/>
      <c r="AB77" s="488"/>
      <c r="AC77" s="488"/>
      <c r="AD77" s="488"/>
      <c r="AE77" s="423"/>
      <c r="AF77" s="423"/>
      <c r="AG77" s="488"/>
      <c r="AH77" s="488"/>
      <c r="AI77" s="488"/>
      <c r="AJ77" s="488"/>
      <c r="AK77" s="488"/>
      <c r="AL77" s="488"/>
      <c r="AM77" s="488"/>
      <c r="AN77" s="488"/>
      <c r="AO77" s="488"/>
      <c r="AP77" s="488"/>
      <c r="AQ77" s="488"/>
      <c r="AR77" s="423"/>
      <c r="AS77" s="423"/>
      <c r="AT77" s="488"/>
      <c r="AU77" s="488"/>
      <c r="AV77" s="488"/>
      <c r="AW77" s="488"/>
      <c r="AX77" s="488"/>
      <c r="AY77" s="488"/>
      <c r="AZ77" s="488"/>
      <c r="BA77" s="488"/>
      <c r="BB77" s="488"/>
      <c r="BC77" s="488"/>
      <c r="BD77" s="488"/>
      <c r="BE77" s="423"/>
      <c r="BF77" s="423"/>
      <c r="BG77" s="488"/>
      <c r="BH77" s="488"/>
      <c r="BI77" s="488"/>
      <c r="BJ77" s="488"/>
      <c r="BK77" s="488"/>
      <c r="BL77" s="488"/>
      <c r="BM77" s="488"/>
      <c r="BN77" s="488"/>
      <c r="BO77" s="488"/>
      <c r="BP77" s="488"/>
      <c r="BQ77" s="1162"/>
      <c r="BR77" s="423"/>
      <c r="BS77" s="423"/>
      <c r="BT77" s="488"/>
      <c r="BU77" s="488"/>
      <c r="BV77" s="488"/>
      <c r="BW77" s="488"/>
      <c r="BX77" s="488"/>
      <c r="BY77" s="488"/>
      <c r="BZ77" s="488"/>
      <c r="CA77" s="488"/>
      <c r="CB77" s="488"/>
      <c r="CC77" s="488"/>
      <c r="CD77" s="488"/>
      <c r="CE77" s="423"/>
      <c r="CF77" s="423"/>
      <c r="CG77" s="488"/>
      <c r="CH77" s="488"/>
      <c r="CI77" s="488"/>
      <c r="CJ77" s="488"/>
      <c r="CK77" s="488"/>
      <c r="CL77" s="488"/>
      <c r="CM77" s="488"/>
      <c r="CN77" s="488"/>
      <c r="CO77" s="488"/>
      <c r="CP77" s="488"/>
      <c r="CQ77" s="488"/>
    </row>
    <row r="78" spans="2:95">
      <c r="B78" s="3340" t="s">
        <v>263</v>
      </c>
      <c r="C78" s="3341"/>
      <c r="D78" s="240" t="s">
        <v>14</v>
      </c>
      <c r="E78" s="243">
        <f>SUM(F78:Q78)</f>
        <v>3.8643540000000001</v>
      </c>
      <c r="F78" s="450">
        <v>1.512597</v>
      </c>
      <c r="G78" s="450">
        <v>0.86174600000000001</v>
      </c>
      <c r="H78" s="450">
        <v>0.87950899999999999</v>
      </c>
      <c r="I78" s="475">
        <v>0.61050199999999999</v>
      </c>
      <c r="J78" s="475">
        <v>0</v>
      </c>
      <c r="K78" s="475">
        <v>0</v>
      </c>
      <c r="L78" s="475">
        <v>0</v>
      </c>
      <c r="M78" s="475">
        <v>0</v>
      </c>
      <c r="N78" s="475">
        <v>0</v>
      </c>
      <c r="O78" s="475">
        <v>0</v>
      </c>
      <c r="P78" s="475">
        <v>0</v>
      </c>
      <c r="Q78" s="450">
        <v>0</v>
      </c>
      <c r="R78" s="243">
        <f>SUM(S78:AD78)</f>
        <v>0</v>
      </c>
      <c r="S78" s="1971">
        <v>0</v>
      </c>
      <c r="T78" s="446">
        <v>0</v>
      </c>
      <c r="U78" s="446">
        <v>0</v>
      </c>
      <c r="V78" s="446">
        <v>0</v>
      </c>
      <c r="W78" s="446">
        <v>0</v>
      </c>
      <c r="X78" s="446">
        <v>0</v>
      </c>
      <c r="Y78" s="446">
        <v>0</v>
      </c>
      <c r="Z78" s="446">
        <v>0</v>
      </c>
      <c r="AA78" s="446">
        <v>0</v>
      </c>
      <c r="AB78" s="446">
        <v>0</v>
      </c>
      <c r="AC78" s="446">
        <v>0</v>
      </c>
      <c r="AD78" s="446">
        <v>0</v>
      </c>
      <c r="AE78" s="243">
        <f>SUM(AF78:AQ78)</f>
        <v>0</v>
      </c>
      <c r="AF78" s="544">
        <v>0</v>
      </c>
      <c r="AG78" s="544">
        <v>0</v>
      </c>
      <c r="AH78" s="544">
        <v>0</v>
      </c>
      <c r="AI78" s="544">
        <v>0</v>
      </c>
      <c r="AJ78" s="544">
        <v>0</v>
      </c>
      <c r="AK78" s="544">
        <v>0</v>
      </c>
      <c r="AL78" s="544">
        <v>0</v>
      </c>
      <c r="AM78" s="544">
        <v>0</v>
      </c>
      <c r="AN78" s="544">
        <v>0</v>
      </c>
      <c r="AO78" s="544">
        <v>0</v>
      </c>
      <c r="AP78" s="544">
        <v>0</v>
      </c>
      <c r="AQ78" s="544">
        <v>0</v>
      </c>
      <c r="AR78" s="243">
        <f>SUM(AS78:BD78)</f>
        <v>0</v>
      </c>
      <c r="AS78" s="1578">
        <v>0</v>
      </c>
      <c r="AT78" s="1579">
        <v>0</v>
      </c>
      <c r="AU78" s="1579">
        <v>0</v>
      </c>
      <c r="AV78" s="1579">
        <v>0</v>
      </c>
      <c r="AW78" s="1579">
        <v>0</v>
      </c>
      <c r="AX78" s="1579">
        <v>0</v>
      </c>
      <c r="AY78" s="1579">
        <v>0</v>
      </c>
      <c r="AZ78" s="544">
        <v>0</v>
      </c>
      <c r="BA78" s="544">
        <v>0</v>
      </c>
      <c r="BB78" s="544">
        <v>0</v>
      </c>
      <c r="BC78" s="544">
        <v>0</v>
      </c>
      <c r="BD78" s="544">
        <v>0</v>
      </c>
      <c r="BE78" s="243">
        <f>SUM(BF78:BQ78)</f>
        <v>0</v>
      </c>
      <c r="BF78" s="1578">
        <v>0</v>
      </c>
      <c r="BG78" s="1579">
        <v>0</v>
      </c>
      <c r="BH78" s="1579">
        <v>0</v>
      </c>
      <c r="BI78" s="1579">
        <v>0</v>
      </c>
      <c r="BJ78" s="1579">
        <v>0</v>
      </c>
      <c r="BK78" s="1579">
        <v>0</v>
      </c>
      <c r="BL78" s="1579">
        <v>0</v>
      </c>
      <c r="BM78" s="1579">
        <v>0</v>
      </c>
      <c r="BN78" s="1579">
        <v>0</v>
      </c>
      <c r="BO78" s="1579">
        <v>0</v>
      </c>
      <c r="BP78" s="1579">
        <v>0</v>
      </c>
      <c r="BQ78" s="1948">
        <v>0</v>
      </c>
      <c r="BR78" s="243">
        <f>SUM(BS78:CD78)</f>
        <v>0</v>
      </c>
      <c r="BS78" s="1578">
        <v>0</v>
      </c>
      <c r="BT78" s="1579">
        <v>0</v>
      </c>
      <c r="BU78" s="1579">
        <v>0</v>
      </c>
      <c r="BV78" s="1579">
        <v>0</v>
      </c>
      <c r="BW78" s="1579">
        <v>0</v>
      </c>
      <c r="BX78" s="1579">
        <v>0</v>
      </c>
      <c r="BY78" s="1579">
        <v>0</v>
      </c>
      <c r="BZ78" s="1579">
        <v>0</v>
      </c>
      <c r="CA78" s="1579">
        <v>0</v>
      </c>
      <c r="CB78" s="1579">
        <v>0</v>
      </c>
      <c r="CC78" s="1579">
        <v>0</v>
      </c>
      <c r="CD78" s="2539">
        <v>0</v>
      </c>
      <c r="CE78" s="243">
        <f>SUM(CF78:CQ78)</f>
        <v>0</v>
      </c>
      <c r="CF78" s="1578">
        <f>CF79*CF7/1000000</f>
        <v>0</v>
      </c>
      <c r="CG78" s="1579">
        <f t="shared" ref="CG78:CQ78" si="224">CG79*CG7/1000000</f>
        <v>0</v>
      </c>
      <c r="CH78" s="1579">
        <f t="shared" si="224"/>
        <v>0</v>
      </c>
      <c r="CI78" s="1579">
        <f t="shared" si="224"/>
        <v>0</v>
      </c>
      <c r="CJ78" s="1579">
        <f t="shared" si="224"/>
        <v>0</v>
      </c>
      <c r="CK78" s="1579">
        <f t="shared" si="224"/>
        <v>0</v>
      </c>
      <c r="CL78" s="1579">
        <f t="shared" si="224"/>
        <v>0</v>
      </c>
      <c r="CM78" s="1579">
        <f t="shared" si="224"/>
        <v>0</v>
      </c>
      <c r="CN78" s="1579">
        <f t="shared" si="224"/>
        <v>0</v>
      </c>
      <c r="CO78" s="1579">
        <f t="shared" si="224"/>
        <v>0</v>
      </c>
      <c r="CP78" s="1579">
        <f t="shared" si="224"/>
        <v>0</v>
      </c>
      <c r="CQ78" s="2539">
        <f t="shared" si="224"/>
        <v>0</v>
      </c>
    </row>
    <row r="79" spans="2:95">
      <c r="B79" s="3378"/>
      <c r="C79" s="3379"/>
      <c r="D79" s="258" t="s">
        <v>264</v>
      </c>
      <c r="E79" s="259">
        <f t="shared" ref="E79:K79" si="225">E78*1000000/E7</f>
        <v>25.625519724670262</v>
      </c>
      <c r="F79" s="451">
        <f t="shared" si="225"/>
        <v>105.28273125913552</v>
      </c>
      <c r="G79" s="451">
        <f t="shared" si="225"/>
        <v>62.054151364585586</v>
      </c>
      <c r="H79" s="451">
        <f t="shared" si="225"/>
        <v>62.871470441060836</v>
      </c>
      <c r="I79" s="451">
        <f t="shared" si="225"/>
        <v>50.321628750412131</v>
      </c>
      <c r="J79" s="451">
        <f t="shared" si="225"/>
        <v>0</v>
      </c>
      <c r="K79" s="451">
        <f t="shared" si="225"/>
        <v>0</v>
      </c>
      <c r="L79" s="451">
        <v>0</v>
      </c>
      <c r="M79" s="451">
        <v>0</v>
      </c>
      <c r="N79" s="451">
        <v>0</v>
      </c>
      <c r="O79" s="451">
        <v>0</v>
      </c>
      <c r="P79" s="451">
        <v>0</v>
      </c>
      <c r="Q79" s="451">
        <v>0</v>
      </c>
      <c r="R79" s="259">
        <f t="shared" ref="R79:AC79" si="226">R78*1000000/R7</f>
        <v>0</v>
      </c>
      <c r="S79" s="351">
        <f t="shared" si="226"/>
        <v>0</v>
      </c>
      <c r="T79" s="351">
        <f t="shared" si="226"/>
        <v>0</v>
      </c>
      <c r="U79" s="351">
        <f t="shared" si="226"/>
        <v>0</v>
      </c>
      <c r="V79" s="351">
        <f t="shared" si="226"/>
        <v>0</v>
      </c>
      <c r="W79" s="351">
        <f t="shared" si="226"/>
        <v>0</v>
      </c>
      <c r="X79" s="351">
        <f t="shared" si="226"/>
        <v>0</v>
      </c>
      <c r="Y79" s="351">
        <f t="shared" si="226"/>
        <v>0</v>
      </c>
      <c r="Z79" s="351">
        <f t="shared" si="226"/>
        <v>0</v>
      </c>
      <c r="AA79" s="351">
        <f t="shared" si="226"/>
        <v>0</v>
      </c>
      <c r="AB79" s="351">
        <f t="shared" si="226"/>
        <v>0</v>
      </c>
      <c r="AC79" s="351">
        <f t="shared" si="226"/>
        <v>0</v>
      </c>
      <c r="AD79" s="351">
        <f t="shared" ref="AD79:AR79" si="227">AD78*1000000/AD7</f>
        <v>0</v>
      </c>
      <c r="AE79" s="259">
        <f t="shared" ref="AE79" si="228">AE78*1000000/AE7</f>
        <v>0</v>
      </c>
      <c r="AF79" s="351">
        <f t="shared" si="227"/>
        <v>0</v>
      </c>
      <c r="AG79" s="351">
        <f t="shared" si="227"/>
        <v>0</v>
      </c>
      <c r="AH79" s="351">
        <f t="shared" si="227"/>
        <v>0</v>
      </c>
      <c r="AI79" s="351">
        <f t="shared" si="227"/>
        <v>0</v>
      </c>
      <c r="AJ79" s="351">
        <f t="shared" si="227"/>
        <v>0</v>
      </c>
      <c r="AK79" s="351">
        <f t="shared" si="227"/>
        <v>0</v>
      </c>
      <c r="AL79" s="351">
        <f t="shared" si="227"/>
        <v>0</v>
      </c>
      <c r="AM79" s="351">
        <f t="shared" si="227"/>
        <v>0</v>
      </c>
      <c r="AN79" s="351">
        <f t="shared" si="227"/>
        <v>0</v>
      </c>
      <c r="AO79" s="351">
        <f t="shared" si="227"/>
        <v>0</v>
      </c>
      <c r="AP79" s="451">
        <f t="shared" si="227"/>
        <v>0</v>
      </c>
      <c r="AQ79" s="451">
        <f t="shared" si="227"/>
        <v>0</v>
      </c>
      <c r="AR79" s="259">
        <f t="shared" si="227"/>
        <v>0</v>
      </c>
      <c r="AS79" s="351">
        <f t="shared" ref="AS79:BQ79" si="229">AS78*1000000/AS7</f>
        <v>0</v>
      </c>
      <c r="AT79" s="351">
        <f t="shared" si="229"/>
        <v>0</v>
      </c>
      <c r="AU79" s="351">
        <f t="shared" si="229"/>
        <v>0</v>
      </c>
      <c r="AV79" s="351">
        <f t="shared" si="229"/>
        <v>0</v>
      </c>
      <c r="AW79" s="351">
        <f t="shared" si="229"/>
        <v>0</v>
      </c>
      <c r="AX79" s="351">
        <f t="shared" si="229"/>
        <v>0</v>
      </c>
      <c r="AY79" s="351">
        <f t="shared" si="229"/>
        <v>0</v>
      </c>
      <c r="AZ79" s="351">
        <f>AZ78*1000000/AZ7</f>
        <v>0</v>
      </c>
      <c r="BA79" s="451">
        <f t="shared" si="229"/>
        <v>0</v>
      </c>
      <c r="BB79" s="451">
        <f t="shared" si="229"/>
        <v>0</v>
      </c>
      <c r="BC79" s="451">
        <f t="shared" si="229"/>
        <v>0</v>
      </c>
      <c r="BD79" s="451">
        <f>BD78*1000000/BD7</f>
        <v>0</v>
      </c>
      <c r="BE79" s="259">
        <f t="shared" si="229"/>
        <v>0</v>
      </c>
      <c r="BF79" s="351">
        <f t="shared" si="229"/>
        <v>0</v>
      </c>
      <c r="BG79" s="351">
        <f t="shared" si="229"/>
        <v>0</v>
      </c>
      <c r="BH79" s="351">
        <f t="shared" si="229"/>
        <v>0</v>
      </c>
      <c r="BI79" s="351">
        <f t="shared" si="229"/>
        <v>0</v>
      </c>
      <c r="BJ79" s="351">
        <f t="shared" si="229"/>
        <v>0</v>
      </c>
      <c r="BK79" s="351">
        <f t="shared" si="229"/>
        <v>0</v>
      </c>
      <c r="BL79" s="351">
        <f t="shared" si="229"/>
        <v>0</v>
      </c>
      <c r="BM79" s="351">
        <f>BM78*1000000/BM7</f>
        <v>0</v>
      </c>
      <c r="BN79" s="351">
        <f t="shared" si="229"/>
        <v>0</v>
      </c>
      <c r="BO79" s="351">
        <f t="shared" si="229"/>
        <v>0</v>
      </c>
      <c r="BP79" s="351">
        <f t="shared" si="229"/>
        <v>0</v>
      </c>
      <c r="BQ79" s="351">
        <f t="shared" si="229"/>
        <v>0</v>
      </c>
      <c r="BR79" s="259">
        <f t="shared" ref="BR79:CD79" si="230">BR78*1000000/BR7</f>
        <v>0</v>
      </c>
      <c r="BS79" s="351">
        <f t="shared" si="230"/>
        <v>0</v>
      </c>
      <c r="BT79" s="351">
        <f t="shared" si="230"/>
        <v>0</v>
      </c>
      <c r="BU79" s="351">
        <f t="shared" si="230"/>
        <v>0</v>
      </c>
      <c r="BV79" s="351">
        <f t="shared" si="230"/>
        <v>0</v>
      </c>
      <c r="BW79" s="351">
        <f t="shared" si="230"/>
        <v>0</v>
      </c>
      <c r="BX79" s="351">
        <f t="shared" si="230"/>
        <v>0</v>
      </c>
      <c r="BY79" s="351">
        <f t="shared" si="230"/>
        <v>0</v>
      </c>
      <c r="BZ79" s="351">
        <f t="shared" si="230"/>
        <v>0</v>
      </c>
      <c r="CA79" s="351">
        <f t="shared" si="230"/>
        <v>0</v>
      </c>
      <c r="CB79" s="351">
        <f t="shared" si="230"/>
        <v>0</v>
      </c>
      <c r="CC79" s="351">
        <f t="shared" si="230"/>
        <v>0</v>
      </c>
      <c r="CD79" s="1958">
        <f t="shared" si="230"/>
        <v>0</v>
      </c>
      <c r="CE79" s="259">
        <f t="shared" ref="CE79" si="231">CE78*1000000/CE7</f>
        <v>0</v>
      </c>
      <c r="CF79" s="1966">
        <v>0</v>
      </c>
      <c r="CG79" s="1966">
        <v>0</v>
      </c>
      <c r="CH79" s="1966">
        <v>0</v>
      </c>
      <c r="CI79" s="1966">
        <v>0</v>
      </c>
      <c r="CJ79" s="1966">
        <v>0</v>
      </c>
      <c r="CK79" s="1966">
        <v>0</v>
      </c>
      <c r="CL79" s="1966">
        <v>0</v>
      </c>
      <c r="CM79" s="1966">
        <v>0</v>
      </c>
      <c r="CN79" s="1966">
        <v>0</v>
      </c>
      <c r="CO79" s="1966">
        <v>0</v>
      </c>
      <c r="CP79" s="1966">
        <v>0</v>
      </c>
      <c r="CQ79" s="2842">
        <v>0</v>
      </c>
    </row>
    <row r="80" spans="2:95">
      <c r="B80" s="423"/>
      <c r="C80" s="423"/>
      <c r="D80" s="423"/>
      <c r="E80" s="423"/>
      <c r="F80" s="423"/>
      <c r="G80" s="423"/>
      <c r="H80" s="423"/>
      <c r="I80" s="423"/>
      <c r="J80" s="423"/>
      <c r="K80" s="423"/>
      <c r="L80" s="423"/>
      <c r="M80" s="423"/>
      <c r="N80" s="423"/>
      <c r="O80" s="423"/>
      <c r="P80" s="423"/>
      <c r="Q80" s="423"/>
      <c r="R80" s="423"/>
      <c r="S80" s="423"/>
      <c r="T80" s="423"/>
      <c r="U80" s="423"/>
      <c r="V80" s="423"/>
      <c r="W80" s="423"/>
      <c r="X80" s="423"/>
      <c r="Y80" s="423"/>
      <c r="Z80" s="423"/>
      <c r="AA80" s="423"/>
      <c r="AB80" s="423"/>
      <c r="AC80" s="423"/>
      <c r="AD80" s="423"/>
      <c r="AE80" s="423"/>
      <c r="AF80" s="423"/>
      <c r="AG80" s="423"/>
      <c r="AH80" s="423"/>
      <c r="AI80" s="423"/>
      <c r="AJ80" s="423"/>
      <c r="AK80" s="423"/>
      <c r="AL80" s="423"/>
      <c r="AM80" s="423"/>
      <c r="AN80" s="423"/>
      <c r="AO80" s="423"/>
      <c r="AP80" s="423"/>
      <c r="AQ80" s="423"/>
      <c r="AR80" s="423"/>
      <c r="AS80" s="423"/>
      <c r="AT80" s="423"/>
      <c r="AU80" s="423"/>
      <c r="AV80" s="423"/>
      <c r="AW80" s="423"/>
      <c r="AX80" s="423"/>
      <c r="AY80" s="423"/>
      <c r="AZ80" s="423"/>
      <c r="BA80" s="423"/>
      <c r="BB80" s="423"/>
      <c r="BC80" s="423"/>
      <c r="BD80" s="423"/>
      <c r="BE80" s="423"/>
      <c r="BF80" s="423"/>
      <c r="BG80" s="423"/>
      <c r="BH80" s="423"/>
      <c r="BI80" s="423"/>
      <c r="BJ80" s="423"/>
      <c r="BK80" s="423"/>
      <c r="BL80" s="423"/>
      <c r="BM80" s="423"/>
      <c r="BN80" s="423"/>
      <c r="BO80" s="423"/>
      <c r="BP80" s="423"/>
      <c r="BQ80" s="865"/>
      <c r="BR80" s="423"/>
      <c r="BS80" s="423"/>
      <c r="BT80" s="423"/>
      <c r="BU80" s="423"/>
      <c r="BV80" s="423"/>
      <c r="BW80" s="423"/>
      <c r="BX80" s="423"/>
      <c r="BY80" s="423"/>
      <c r="BZ80" s="423"/>
      <c r="CA80" s="423"/>
      <c r="CB80" s="423"/>
      <c r="CC80" s="423"/>
      <c r="CD80" s="423"/>
      <c r="CE80" s="423"/>
      <c r="CF80" s="423"/>
      <c r="CG80" s="423"/>
      <c r="CH80" s="423"/>
      <c r="CI80" s="423"/>
      <c r="CJ80" s="423"/>
      <c r="CK80" s="423"/>
      <c r="CL80" s="423"/>
      <c r="CM80" s="423"/>
      <c r="CN80" s="423"/>
      <c r="CO80" s="423"/>
      <c r="CP80" s="423"/>
      <c r="CQ80" s="423"/>
    </row>
    <row r="81" spans="2:95">
      <c r="B81" s="423"/>
      <c r="C81" s="423"/>
      <c r="D81" s="423"/>
      <c r="E81" s="423"/>
      <c r="F81" s="423"/>
      <c r="G81" s="423"/>
      <c r="H81" s="423"/>
      <c r="I81" s="423"/>
      <c r="J81" s="423"/>
      <c r="K81" s="423"/>
      <c r="L81" s="423"/>
      <c r="M81" s="423"/>
      <c r="N81" s="423"/>
      <c r="O81" s="423"/>
      <c r="P81" s="423"/>
      <c r="Q81" s="423"/>
      <c r="R81" s="423"/>
      <c r="S81" s="423"/>
      <c r="T81" s="423"/>
      <c r="U81" s="423"/>
      <c r="V81" s="423"/>
      <c r="W81" s="423"/>
      <c r="X81" s="423"/>
      <c r="Y81" s="423"/>
      <c r="Z81" s="423"/>
      <c r="AA81" s="423"/>
      <c r="AB81" s="423"/>
      <c r="AC81" s="423"/>
      <c r="AD81" s="423"/>
      <c r="AE81" s="423"/>
      <c r="AF81" s="423"/>
      <c r="AG81" s="423"/>
      <c r="AH81" s="423"/>
      <c r="AI81" s="423"/>
      <c r="AJ81" s="423"/>
      <c r="AK81" s="423"/>
      <c r="AL81" s="423"/>
      <c r="AM81" s="423"/>
      <c r="AN81" s="423"/>
      <c r="AO81" s="423"/>
      <c r="AP81" s="423"/>
      <c r="AQ81" s="423"/>
      <c r="AR81" s="423"/>
      <c r="AS81" s="423"/>
      <c r="AT81" s="423"/>
      <c r="AU81" s="423"/>
      <c r="AV81" s="423"/>
      <c r="AW81" s="423"/>
      <c r="AX81" s="423"/>
      <c r="AY81" s="423"/>
      <c r="AZ81" s="423"/>
      <c r="BA81" s="423"/>
      <c r="BB81" s="423"/>
      <c r="BC81" s="423"/>
      <c r="BD81" s="423"/>
      <c r="BE81" s="423"/>
      <c r="BF81" s="423"/>
      <c r="BG81" s="423"/>
      <c r="BH81" s="423"/>
      <c r="BI81" s="423"/>
      <c r="BJ81" s="423"/>
      <c r="BK81" s="423"/>
      <c r="BL81" s="423"/>
      <c r="BM81" s="423"/>
      <c r="BN81" s="423"/>
      <c r="BO81" s="423"/>
      <c r="BP81" s="423"/>
      <c r="BQ81" s="865"/>
      <c r="BR81" s="423"/>
      <c r="BS81" s="423"/>
      <c r="BT81" s="423"/>
      <c r="BU81" s="423"/>
      <c r="BV81" s="423"/>
      <c r="BW81" s="423"/>
      <c r="BX81" s="423"/>
      <c r="BY81" s="423"/>
      <c r="BZ81" s="423"/>
      <c r="CA81" s="423"/>
      <c r="CB81" s="423"/>
      <c r="CC81" s="423"/>
      <c r="CD81" s="423"/>
      <c r="CE81" s="423"/>
      <c r="CF81" s="423"/>
      <c r="CG81" s="423"/>
      <c r="CH81" s="423"/>
      <c r="CI81" s="423"/>
      <c r="CJ81" s="423"/>
      <c r="CK81" s="423"/>
      <c r="CL81" s="423"/>
      <c r="CM81" s="423"/>
      <c r="CN81" s="423"/>
      <c r="CO81" s="423"/>
      <c r="CP81" s="423"/>
      <c r="CQ81" s="423"/>
    </row>
    <row r="82" spans="2:95" s="96" customFormat="1" ht="21.75" hidden="1" customHeight="1">
      <c r="B82" s="3380" t="s">
        <v>379</v>
      </c>
      <c r="C82" s="3380"/>
      <c r="D82" s="3381"/>
      <c r="E82" s="639">
        <f t="shared" ref="E82:AD82" si="232">E42-E66-E72-E74-E78-E47</f>
        <v>1615.0275679999984</v>
      </c>
      <c r="F82" s="639">
        <f t="shared" si="232"/>
        <v>28.547363999999703</v>
      </c>
      <c r="G82" s="639">
        <f t="shared" si="232"/>
        <v>-381.60017200000073</v>
      </c>
      <c r="H82" s="639">
        <f t="shared" si="232"/>
        <v>572.09636599999953</v>
      </c>
      <c r="I82" s="639">
        <f t="shared" si="232"/>
        <v>185.16671600000001</v>
      </c>
      <c r="J82" s="639">
        <f t="shared" si="232"/>
        <v>-259.75743399999999</v>
      </c>
      <c r="K82" s="639">
        <f t="shared" si="232"/>
        <v>166.20489999999987</v>
      </c>
      <c r="L82" s="639">
        <f t="shared" si="232"/>
        <v>176.857125</v>
      </c>
      <c r="M82" s="639">
        <f t="shared" si="232"/>
        <v>314.21346700000004</v>
      </c>
      <c r="N82" s="639">
        <f t="shared" si="232"/>
        <v>147.97413299999997</v>
      </c>
      <c r="O82" s="639">
        <f t="shared" si="232"/>
        <v>351.02301499999999</v>
      </c>
      <c r="P82" s="639">
        <f t="shared" si="232"/>
        <v>165.85209599999996</v>
      </c>
      <c r="Q82" s="639">
        <f t="shared" si="232"/>
        <v>148.44999199999987</v>
      </c>
      <c r="R82" s="639">
        <f t="shared" si="232"/>
        <v>2011.3338299999996</v>
      </c>
      <c r="S82" s="639">
        <f t="shared" si="232"/>
        <v>505.97382799999974</v>
      </c>
      <c r="T82" s="639">
        <f t="shared" si="232"/>
        <v>-80.241020999999847</v>
      </c>
      <c r="U82" s="639">
        <f t="shared" si="232"/>
        <v>-429.03064799999999</v>
      </c>
      <c r="V82" s="639">
        <f t="shared" si="232"/>
        <v>191.76276899999996</v>
      </c>
      <c r="W82" s="639">
        <f t="shared" si="232"/>
        <v>230.25315100000017</v>
      </c>
      <c r="X82" s="639">
        <f t="shared" si="232"/>
        <v>286.91707799999966</v>
      </c>
      <c r="Y82" s="639">
        <f t="shared" si="232"/>
        <v>61.879519999999992</v>
      </c>
      <c r="Z82" s="639">
        <f t="shared" si="232"/>
        <v>-10.719183999999949</v>
      </c>
      <c r="AA82" s="639">
        <f t="shared" si="232"/>
        <v>323.20895899999999</v>
      </c>
      <c r="AB82" s="639">
        <f t="shared" si="232"/>
        <v>433.07123599999994</v>
      </c>
      <c r="AC82" s="639">
        <f t="shared" si="232"/>
        <v>448.66418299999998</v>
      </c>
      <c r="AD82" s="639">
        <f t="shared" si="232"/>
        <v>49.593958999999941</v>
      </c>
      <c r="AE82" s="639">
        <f t="shared" ref="AE82:AQ82" si="233">AE42-AE66-AE72-AE74-AE78-AE47</f>
        <v>1004.7728919999996</v>
      </c>
      <c r="AF82" s="639">
        <f t="shared" si="233"/>
        <v>321.01487699999996</v>
      </c>
      <c r="AG82" s="639">
        <f t="shared" si="233"/>
        <v>258.90430299999986</v>
      </c>
      <c r="AH82" s="639">
        <f t="shared" si="233"/>
        <v>-290.20945100000006</v>
      </c>
      <c r="AI82" s="639">
        <f t="shared" si="233"/>
        <v>335.88402099999996</v>
      </c>
      <c r="AJ82" s="639">
        <f t="shared" si="233"/>
        <v>110.40926200000027</v>
      </c>
      <c r="AK82" s="639">
        <f t="shared" si="233"/>
        <v>-253.26313100000002</v>
      </c>
      <c r="AL82" s="639">
        <f t="shared" si="233"/>
        <v>-477.41747099999998</v>
      </c>
      <c r="AM82" s="639">
        <f t="shared" si="233"/>
        <v>153.16316199999997</v>
      </c>
      <c r="AN82" s="639">
        <f t="shared" si="233"/>
        <v>1631.667727</v>
      </c>
      <c r="AO82" s="639">
        <f t="shared" si="233"/>
        <v>59.400880000000065</v>
      </c>
      <c r="AP82" s="639">
        <f t="shared" si="233"/>
        <v>-300.53647800000005</v>
      </c>
      <c r="AQ82" s="1143">
        <f t="shared" si="233"/>
        <v>-544.24480900000003</v>
      </c>
      <c r="AR82" s="1147">
        <f t="shared" ref="AR82:BD82" si="234">AR42-AR66-AR72-AR74-AR78-AR47</f>
        <v>-3720.1711230000001</v>
      </c>
      <c r="AS82" s="1145">
        <f t="shared" si="234"/>
        <v>-352.48853400000002</v>
      </c>
      <c r="AT82" s="639">
        <f t="shared" si="234"/>
        <v>126.80070499999998</v>
      </c>
      <c r="AU82" s="639">
        <f t="shared" si="234"/>
        <v>-292.220258</v>
      </c>
      <c r="AV82" s="639">
        <f t="shared" si="234"/>
        <v>-189.02186499999996</v>
      </c>
      <c r="AW82" s="639">
        <f t="shared" si="234"/>
        <v>-140.85290300000003</v>
      </c>
      <c r="AX82" s="639">
        <f t="shared" si="234"/>
        <v>-450.68229099999996</v>
      </c>
      <c r="AY82" s="639">
        <f t="shared" si="234"/>
        <v>-670.84833399999991</v>
      </c>
      <c r="AZ82" s="639">
        <f t="shared" si="234"/>
        <v>238.39514699999995</v>
      </c>
      <c r="BA82" s="639">
        <f t="shared" si="234"/>
        <v>-808.64154700000006</v>
      </c>
      <c r="BB82" s="639">
        <f t="shared" si="234"/>
        <v>-512.55654800000002</v>
      </c>
      <c r="BC82" s="639">
        <f t="shared" si="234"/>
        <v>-418.429169</v>
      </c>
      <c r="BD82" s="1143">
        <f t="shared" si="234"/>
        <v>-249.62552600000001</v>
      </c>
      <c r="BE82" s="1147">
        <f t="shared" ref="BE82:BQ82" si="235">BE42-BE66-BE72-BE74-BE78-BE47</f>
        <v>4645.2888429999985</v>
      </c>
      <c r="BF82" s="1145">
        <f t="shared" si="235"/>
        <v>309.79029000000003</v>
      </c>
      <c r="BG82" s="639">
        <f t="shared" si="235"/>
        <v>-511.86387000000002</v>
      </c>
      <c r="BH82" s="639">
        <f t="shared" si="235"/>
        <v>640.82720800000004</v>
      </c>
      <c r="BI82" s="639">
        <f t="shared" si="235"/>
        <v>741.071596</v>
      </c>
      <c r="BJ82" s="639">
        <f t="shared" si="235"/>
        <v>866.098794</v>
      </c>
      <c r="BK82" s="639">
        <f t="shared" si="235"/>
        <v>824.07130399999994</v>
      </c>
      <c r="BL82" s="639">
        <f t="shared" si="235"/>
        <v>644.55953299999987</v>
      </c>
      <c r="BM82" s="639">
        <f t="shared" si="235"/>
        <v>-124.87249899999998</v>
      </c>
      <c r="BN82" s="639">
        <f t="shared" si="235"/>
        <v>588.95085400000005</v>
      </c>
      <c r="BO82" s="639">
        <f t="shared" si="235"/>
        <v>-15.794080999999959</v>
      </c>
      <c r="BP82" s="639">
        <f t="shared" si="235"/>
        <v>264.45489500000002</v>
      </c>
      <c r="BQ82" s="1167">
        <f t="shared" si="235"/>
        <v>417.99481899999995</v>
      </c>
      <c r="BR82" s="1147">
        <f t="shared" ref="BR82:CD82" si="236">BR42-BR66-BR72-BR74-BR78-BR47</f>
        <v>8759.975800000002</v>
      </c>
      <c r="BS82" s="1145">
        <f t="shared" si="236"/>
        <v>206.08589400000005</v>
      </c>
      <c r="BT82" s="639">
        <f t="shared" si="236"/>
        <v>1971.1484749999997</v>
      </c>
      <c r="BU82" s="639">
        <f t="shared" si="236"/>
        <v>741.47787700000003</v>
      </c>
      <c r="BV82" s="639">
        <f t="shared" si="236"/>
        <v>406.50796500000001</v>
      </c>
      <c r="BW82" s="639">
        <f t="shared" si="236"/>
        <v>1427.2080759999999</v>
      </c>
      <c r="BX82" s="639">
        <f t="shared" si="236"/>
        <v>-523.40230299999996</v>
      </c>
      <c r="BY82" s="639">
        <f t="shared" si="236"/>
        <v>1030.386804</v>
      </c>
      <c r="BZ82" s="639">
        <f t="shared" si="236"/>
        <v>-61.512265000000014</v>
      </c>
      <c r="CA82" s="639">
        <f t="shared" si="236"/>
        <v>915.98684600000013</v>
      </c>
      <c r="CB82" s="639">
        <f t="shared" si="236"/>
        <v>45.586599000000035</v>
      </c>
      <c r="CC82" s="639">
        <f t="shared" si="236"/>
        <v>703.09574799999996</v>
      </c>
      <c r="CD82" s="1143">
        <f t="shared" si="236"/>
        <v>1897.406084</v>
      </c>
      <c r="CE82" s="1147">
        <f t="shared" ref="CE82:CQ82" si="237">CE42-CE66-CE72-CE74-CE78-CE47</f>
        <v>6594.4507501368507</v>
      </c>
      <c r="CF82" s="1145">
        <f t="shared" si="237"/>
        <v>482.70849034170794</v>
      </c>
      <c r="CG82" s="639">
        <f t="shared" si="237"/>
        <v>743.44599261682174</v>
      </c>
      <c r="CH82" s="639">
        <f t="shared" si="237"/>
        <v>341.85282552942857</v>
      </c>
      <c r="CI82" s="639">
        <f t="shared" si="237"/>
        <v>617.46571419006841</v>
      </c>
      <c r="CJ82" s="639">
        <f t="shared" si="237"/>
        <v>676.15959885255563</v>
      </c>
      <c r="CK82" s="639">
        <f t="shared" si="237"/>
        <v>556.46775429471097</v>
      </c>
      <c r="CL82" s="639">
        <f t="shared" si="237"/>
        <v>652.60729557876004</v>
      </c>
      <c r="CM82" s="639">
        <f t="shared" si="237"/>
        <v>499.97959722902692</v>
      </c>
      <c r="CN82" s="639">
        <f t="shared" si="237"/>
        <v>507.09144061471886</v>
      </c>
      <c r="CO82" s="639">
        <f t="shared" si="237"/>
        <v>570.47126740565182</v>
      </c>
      <c r="CP82" s="639">
        <f t="shared" si="237"/>
        <v>551.82143836057321</v>
      </c>
      <c r="CQ82" s="1143">
        <f t="shared" si="237"/>
        <v>394.37933512282774</v>
      </c>
    </row>
    <row r="83" spans="2:95" s="96" customFormat="1" ht="21.75" hidden="1" customHeight="1">
      <c r="B83" s="3374" t="s">
        <v>380</v>
      </c>
      <c r="C83" s="3374"/>
      <c r="D83" s="3375"/>
      <c r="E83" s="640">
        <f>E52-E68-E73-E79</f>
        <v>13143.35464618934</v>
      </c>
      <c r="F83" s="641">
        <f>F52-F68-F73-F79</f>
        <v>3484.7664797294046</v>
      </c>
      <c r="G83" s="641">
        <f t="shared" ref="G83:Q83" si="238">G52-G68-G73-G79</f>
        <v>-23347.578320363882</v>
      </c>
      <c r="H83" s="641">
        <f t="shared" si="238"/>
        <v>44709.454745288611</v>
      </c>
      <c r="I83" s="641">
        <f t="shared" si="238"/>
        <v>19699.682106839777</v>
      </c>
      <c r="J83" s="641">
        <f t="shared" si="238"/>
        <v>-17943.73766829841</v>
      </c>
      <c r="K83" s="641">
        <f t="shared" si="238"/>
        <v>13123.432638954087</v>
      </c>
      <c r="L83" s="641">
        <f t="shared" si="238"/>
        <v>16217.72325311776</v>
      </c>
      <c r="M83" s="641">
        <f t="shared" si="238"/>
        <v>26391.256197950053</v>
      </c>
      <c r="N83" s="641">
        <f t="shared" si="238"/>
        <v>12705.48138953136</v>
      </c>
      <c r="O83" s="641">
        <f t="shared" si="238"/>
        <v>32393.444721335793</v>
      </c>
      <c r="P83" s="641">
        <f t="shared" si="238"/>
        <v>23175.343925784418</v>
      </c>
      <c r="Q83" s="641">
        <f t="shared" si="238"/>
        <v>11979.893759839006</v>
      </c>
      <c r="R83" s="640">
        <f>R52-R68-R73-R79</f>
        <v>12446.13968614821</v>
      </c>
      <c r="S83" s="641">
        <f>S52-S68-S73-S79</f>
        <v>36392.967155082915</v>
      </c>
      <c r="T83" s="641">
        <f t="shared" ref="T83:AD83" si="239">T52-T68-T73-T79</f>
        <v>-5648.0188649533757</v>
      </c>
      <c r="U83" s="641">
        <f t="shared" si="239"/>
        <v>-28936.268579111143</v>
      </c>
      <c r="V83" s="641">
        <f t="shared" si="239"/>
        <v>13932.304277618567</v>
      </c>
      <c r="W83" s="641">
        <f t="shared" si="239"/>
        <v>15557.974736680972</v>
      </c>
      <c r="X83" s="641">
        <f t="shared" si="239"/>
        <v>21123.823918529681</v>
      </c>
      <c r="Y83" s="641">
        <f t="shared" si="239"/>
        <v>6318.8408116502387</v>
      </c>
      <c r="Z83" s="641">
        <f t="shared" si="239"/>
        <v>-292.85858105635293</v>
      </c>
      <c r="AA83" s="641">
        <f t="shared" si="239"/>
        <v>26073.247759385013</v>
      </c>
      <c r="AB83" s="641">
        <f t="shared" si="239"/>
        <v>31469.270540137622</v>
      </c>
      <c r="AC83" s="641">
        <f t="shared" si="239"/>
        <v>30921.848279318863</v>
      </c>
      <c r="AD83" s="641">
        <f t="shared" si="239"/>
        <v>3323.4950870529192</v>
      </c>
      <c r="AE83" s="640">
        <f>AE52-AE68-AE73-AE79</f>
        <v>5485.4968193660407</v>
      </c>
      <c r="AF83" s="641">
        <f>AF52-AF68-AF73-AF79</f>
        <v>22969.345387028039</v>
      </c>
      <c r="AG83" s="641">
        <f t="shared" ref="AG83:AQ83" si="240">AG52-AG68-AG73-AG79</f>
        <v>18406.237835404158</v>
      </c>
      <c r="AH83" s="641">
        <f t="shared" si="240"/>
        <v>-19761.706779401236</v>
      </c>
      <c r="AI83" s="641">
        <f t="shared" si="240"/>
        <v>19753.439054235507</v>
      </c>
      <c r="AJ83" s="641">
        <f t="shared" si="240"/>
        <v>6198.5844406860579</v>
      </c>
      <c r="AK83" s="641">
        <f t="shared" si="240"/>
        <v>-14731.544645077922</v>
      </c>
      <c r="AL83" s="641">
        <f t="shared" si="240"/>
        <v>-28296.691488036795</v>
      </c>
      <c r="AM83" s="641">
        <f t="shared" si="240"/>
        <v>7085.0869057570817</v>
      </c>
      <c r="AN83" s="641">
        <f t="shared" si="240"/>
        <v>123118.62726174973</v>
      </c>
      <c r="AO83" s="641">
        <f t="shared" si="240"/>
        <v>-1021.3954550223887</v>
      </c>
      <c r="AP83" s="641">
        <f t="shared" si="240"/>
        <v>-19130.626180234223</v>
      </c>
      <c r="AQ83" s="1144">
        <f t="shared" si="240"/>
        <v>-40148.55730573921</v>
      </c>
      <c r="AR83" s="1148">
        <f>AR52-AR68-AR73-AR79</f>
        <v>-20212.812447681688</v>
      </c>
      <c r="AS83" s="1146">
        <f>AS52-AS68-AS73-AS79</f>
        <v>-27080.058553269635</v>
      </c>
      <c r="AT83" s="641">
        <f t="shared" ref="AT83:BD83" si="241">AT52-AT68-AT73-AT79</f>
        <v>4447.630668219098</v>
      </c>
      <c r="AU83" s="641">
        <f t="shared" si="241"/>
        <v>-16539.363424622399</v>
      </c>
      <c r="AV83" s="641">
        <f t="shared" si="241"/>
        <v>-10159.31160688194</v>
      </c>
      <c r="AW83" s="641">
        <f t="shared" si="241"/>
        <v>-10171.444646209824</v>
      </c>
      <c r="AX83" s="641">
        <f t="shared" si="241"/>
        <v>-27254.794305611427</v>
      </c>
      <c r="AY83" s="641">
        <f t="shared" si="241"/>
        <v>-45409.630459233347</v>
      </c>
      <c r="AZ83" s="641">
        <f t="shared" si="241"/>
        <v>6905.5744178519371</v>
      </c>
      <c r="BA83" s="641">
        <f t="shared" si="241"/>
        <v>-55551.372765052358</v>
      </c>
      <c r="BB83" s="641">
        <f t="shared" si="241"/>
        <v>-39711.008702149913</v>
      </c>
      <c r="BC83" s="641">
        <f t="shared" si="241"/>
        <v>-26000.822307484596</v>
      </c>
      <c r="BD83" s="1144">
        <f t="shared" si="241"/>
        <v>-17268.143701397097</v>
      </c>
      <c r="BE83" s="1148">
        <f>BE52-BE68-BE73-BE79</f>
        <v>31226.313460426707</v>
      </c>
      <c r="BF83" s="1146">
        <f>BF52-BF68-BF73-BF79</f>
        <v>10015.290403427916</v>
      </c>
      <c r="BG83" s="641">
        <f t="shared" ref="BG83:BQ83" si="242">BG52-BG68-BG73-BG79</f>
        <v>-34652.412611542008</v>
      </c>
      <c r="BH83" s="641">
        <f t="shared" si="242"/>
        <v>46704.998261934357</v>
      </c>
      <c r="BI83" s="641">
        <f t="shared" si="242"/>
        <v>55985.537918023794</v>
      </c>
      <c r="BJ83" s="641">
        <f t="shared" si="242"/>
        <v>59195.523071466894</v>
      </c>
      <c r="BK83" s="641">
        <f t="shared" si="242"/>
        <v>71157.772840571895</v>
      </c>
      <c r="BL83" s="641">
        <f t="shared" si="242"/>
        <v>34712.556388706704</v>
      </c>
      <c r="BM83" s="641">
        <f t="shared" si="242"/>
        <v>7227.4508981292038</v>
      </c>
      <c r="BN83" s="641">
        <f t="shared" si="242"/>
        <v>71440.745529734908</v>
      </c>
      <c r="BO83" s="641">
        <f t="shared" si="242"/>
        <v>-4250.5584747464136</v>
      </c>
      <c r="BP83" s="641">
        <f t="shared" si="242"/>
        <v>6016.7998365812073</v>
      </c>
      <c r="BQ83" s="1168">
        <f t="shared" si="242"/>
        <v>35557.44246294476</v>
      </c>
      <c r="BR83" s="1148">
        <f>BR52-BR68-BR73-BR79</f>
        <v>44762.953954327364</v>
      </c>
      <c r="BS83" s="1146">
        <f>BS52-BS68-BS73-BS79</f>
        <v>21286.270663459425</v>
      </c>
      <c r="BT83" s="641">
        <f t="shared" ref="BT83:CD83" si="243">BT52-BT68-BT73-BT79</f>
        <v>96567.525451115114</v>
      </c>
      <c r="BU83" s="641">
        <f t="shared" si="243"/>
        <v>89101.027889106539</v>
      </c>
      <c r="BV83" s="641">
        <f t="shared" si="243"/>
        <v>-1640.3125195705998</v>
      </c>
      <c r="BW83" s="641">
        <f t="shared" si="243"/>
        <v>52144.110950450013</v>
      </c>
      <c r="BX83" s="641">
        <f t="shared" si="243"/>
        <v>-22112.02941576661</v>
      </c>
      <c r="BY83" s="641">
        <f t="shared" si="243"/>
        <v>41528.824791048799</v>
      </c>
      <c r="BZ83" s="641">
        <f t="shared" si="243"/>
        <v>-389.92715533363662</v>
      </c>
      <c r="CA83" s="641">
        <f t="shared" si="243"/>
        <v>51677.252786524899</v>
      </c>
      <c r="CB83" s="641">
        <f t="shared" si="243"/>
        <v>8779.6837003280198</v>
      </c>
      <c r="CC83" s="641">
        <f t="shared" si="243"/>
        <v>53179.542862882518</v>
      </c>
      <c r="CD83" s="1144">
        <f t="shared" si="243"/>
        <v>144020.90738912788</v>
      </c>
      <c r="CE83" s="1148">
        <f>CE52-CE68-CE73-CE79</f>
        <v>38790.886765510877</v>
      </c>
      <c r="CF83" s="1146">
        <f>CF52-CF68-CF73-CF79</f>
        <v>39257.446298514507</v>
      </c>
      <c r="CG83" s="641">
        <f t="shared" ref="CG83:CQ83" si="244">CG52-CG68-CG73-CG79</f>
        <v>38657.446298514507</v>
      </c>
      <c r="CH83" s="641">
        <f t="shared" si="244"/>
        <v>38657.446298514507</v>
      </c>
      <c r="CI83" s="641">
        <f t="shared" si="244"/>
        <v>38657.446298514507</v>
      </c>
      <c r="CJ83" s="641">
        <f t="shared" si="244"/>
        <v>38657.446298514507</v>
      </c>
      <c r="CK83" s="641">
        <f t="shared" si="244"/>
        <v>38657.446298514507</v>
      </c>
      <c r="CL83" s="641">
        <f t="shared" si="244"/>
        <v>38657.446298514507</v>
      </c>
      <c r="CM83" s="641">
        <f t="shared" si="244"/>
        <v>38657.446298514507</v>
      </c>
      <c r="CN83" s="641">
        <f t="shared" si="244"/>
        <v>38657.446298514507</v>
      </c>
      <c r="CO83" s="641">
        <f t="shared" si="244"/>
        <v>38657.446298514507</v>
      </c>
      <c r="CP83" s="641">
        <f t="shared" si="244"/>
        <v>38657.446298514507</v>
      </c>
      <c r="CQ83" s="1144">
        <f t="shared" si="244"/>
        <v>38657.446298514507</v>
      </c>
    </row>
  </sheetData>
  <mergeCells count="25">
    <mergeCell ref="B26:C26"/>
    <mergeCell ref="B83:D83"/>
    <mergeCell ref="B27:C27"/>
    <mergeCell ref="B28:C28"/>
    <mergeCell ref="B78:C79"/>
    <mergeCell ref="B42:C51"/>
    <mergeCell ref="B52:C63"/>
    <mergeCell ref="B72:C73"/>
    <mergeCell ref="B66:C68"/>
    <mergeCell ref="B74:C74"/>
    <mergeCell ref="B82:D82"/>
    <mergeCell ref="B32:C41"/>
    <mergeCell ref="B25:C25"/>
    <mergeCell ref="R5:AD5"/>
    <mergeCell ref="E5:Q5"/>
    <mergeCell ref="B5:D6"/>
    <mergeCell ref="B7:C20"/>
    <mergeCell ref="B24:C24"/>
    <mergeCell ref="CE5:CQ5"/>
    <mergeCell ref="B21:D21"/>
    <mergeCell ref="B22:D22"/>
    <mergeCell ref="BR5:CD5"/>
    <mergeCell ref="BE5:BQ5"/>
    <mergeCell ref="AR5:BD5"/>
    <mergeCell ref="AE5:AQ5"/>
  </mergeCells>
  <phoneticPr fontId="2" type="noConversion"/>
  <pageMargins left="0.7" right="0.7" top="0.75" bottom="0.75" header="0.3" footer="0.3"/>
  <pageSetup paperSize="9" orientation="portrait" r:id="rId1"/>
  <ignoredErrors>
    <ignoredError sqref="BE7 BE72:BE73 BR7:CE7 R32:R34 R11:AR16 R7:AR9 BR73:BW73 AE33:BR34 AE32:BE32 BR32 BR11:CA15 BR8:BR9 BR17:CD21 BR16 BR75:CD77 BR79:BW79 BR78 CE72:CE73 CE32 CE42:CQ42 CE75:CE78" formula="1"/>
    <ignoredError sqref="BR22:CD22" evalError="1" formula="1"/>
    <ignoredError sqref="BT31" evalError="1"/>
    <ignoredError sqref="S46:AD52 BF32:BQ32 S36:AD44" formulaRange="1"/>
    <ignoredError sqref="S32:AD34" formula="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6">
    <tabColor theme="8" tint="0.39997558519241921"/>
    <pageSetUpPr fitToPage="1"/>
  </sheetPr>
  <dimension ref="A1:CO55"/>
  <sheetViews>
    <sheetView showGridLines="0" zoomScale="80" zoomScaleNormal="80" workbookViewId="0">
      <pane xSplit="2" ySplit="4" topLeftCell="C5" activePane="bottomRight" state="frozen"/>
      <selection activeCell="DA43" sqref="DA43"/>
      <selection pane="topRight" activeCell="DA43" sqref="DA43"/>
      <selection pane="bottomLeft" activeCell="DA43" sqref="DA43"/>
      <selection pane="bottomRight" activeCell="B3" sqref="B3:B4"/>
    </sheetView>
  </sheetViews>
  <sheetFormatPr defaultRowHeight="17" outlineLevelRow="1" outlineLevelCol="1"/>
  <cols>
    <col min="1" max="1" width="3" customWidth="1"/>
    <col min="2" max="2" width="31.08203125" style="26" customWidth="1"/>
    <col min="3" max="3" width="11.58203125" style="27" customWidth="1"/>
    <col min="4" max="14" width="11.58203125" style="27" hidden="1" customWidth="1" outlineLevel="1"/>
    <col min="15" max="15" width="11.58203125" style="546" hidden="1" customWidth="1" outlineLevel="1"/>
    <col min="16" max="16" width="11.58203125" style="27" customWidth="1" collapsed="1"/>
    <col min="17" max="27" width="11.58203125" style="27" hidden="1" customWidth="1" outlineLevel="1"/>
    <col min="28" max="28" width="11.58203125" style="546" hidden="1" customWidth="1" outlineLevel="1"/>
    <col min="29" max="29" width="11.58203125" style="27" customWidth="1" collapsed="1"/>
    <col min="30" max="40" width="11.58203125" style="27" hidden="1" customWidth="1" outlineLevel="1"/>
    <col min="41" max="41" width="11.58203125" style="546" hidden="1" customWidth="1" outlineLevel="1"/>
    <col min="42" max="42" width="11.58203125" style="27" customWidth="1" collapsed="1"/>
    <col min="43" max="53" width="11.58203125" style="27" hidden="1" customWidth="1" outlineLevel="1"/>
    <col min="54" max="54" width="11.58203125" style="546" hidden="1" customWidth="1" outlineLevel="1"/>
    <col min="55" max="55" width="11.58203125" style="27" customWidth="1" collapsed="1"/>
    <col min="56" max="66" width="11.58203125" style="27" hidden="1" customWidth="1" outlineLevel="1"/>
    <col min="67" max="67" width="11.58203125" style="546" hidden="1" customWidth="1" outlineLevel="1"/>
    <col min="68" max="68" width="11.58203125" style="27" customWidth="1" collapsed="1"/>
    <col min="69" max="79" width="11.58203125" style="27" customWidth="1" outlineLevel="1"/>
    <col min="80" max="80" width="11.58203125" style="546" customWidth="1" outlineLevel="1"/>
    <col min="81" max="81" width="11.58203125" style="27" customWidth="1"/>
    <col min="82" max="92" width="11.58203125" style="27" customWidth="1" outlineLevel="1"/>
    <col min="93" max="93" width="11.58203125" style="546" customWidth="1" outlineLevel="1"/>
  </cols>
  <sheetData>
    <row r="1" spans="1:93">
      <c r="AP1" s="1313"/>
      <c r="AQ1" s="1308"/>
      <c r="BC1" s="1633"/>
      <c r="BD1" s="1633"/>
      <c r="BE1" s="1633"/>
      <c r="BP1" s="1633"/>
      <c r="BQ1" s="1633"/>
      <c r="BR1" s="1633"/>
      <c r="CC1" s="1633"/>
      <c r="CD1" s="1633"/>
      <c r="CE1" s="1633"/>
    </row>
    <row r="2" spans="1:93" ht="15" customHeight="1">
      <c r="O2" s="27"/>
      <c r="AB2" s="27"/>
      <c r="AO2" s="27"/>
      <c r="BB2" s="27"/>
      <c r="BC2" s="1633"/>
      <c r="BD2" s="1308"/>
      <c r="BG2" s="1308"/>
      <c r="BO2" s="27"/>
      <c r="BP2" s="1633"/>
      <c r="BQ2" s="1308"/>
      <c r="CB2" s="27"/>
      <c r="CC2" s="1633"/>
      <c r="CD2" s="1308"/>
      <c r="CO2" s="27"/>
    </row>
    <row r="3" spans="1:93">
      <c r="A3" s="96"/>
      <c r="B3" s="3386" t="s">
        <v>0</v>
      </c>
      <c r="C3" s="3388" t="s">
        <v>363</v>
      </c>
      <c r="D3" s="3389"/>
      <c r="E3" s="3389"/>
      <c r="F3" s="3389"/>
      <c r="G3" s="3389"/>
      <c r="H3" s="3389"/>
      <c r="I3" s="3389"/>
      <c r="J3" s="3389"/>
      <c r="K3" s="3389"/>
      <c r="L3" s="3389"/>
      <c r="M3" s="3389"/>
      <c r="N3" s="3389"/>
      <c r="O3" s="3390"/>
      <c r="P3" s="3310" t="s">
        <v>377</v>
      </c>
      <c r="Q3" s="3310"/>
      <c r="R3" s="3310"/>
      <c r="S3" s="3310"/>
      <c r="T3" s="3310"/>
      <c r="U3" s="3310"/>
      <c r="V3" s="3310"/>
      <c r="W3" s="3310"/>
      <c r="X3" s="3310"/>
      <c r="Y3" s="3310"/>
      <c r="Z3" s="3310"/>
      <c r="AA3" s="3310"/>
      <c r="AB3" s="3310"/>
      <c r="AC3" s="3310" t="s">
        <v>397</v>
      </c>
      <c r="AD3" s="3310"/>
      <c r="AE3" s="3310"/>
      <c r="AF3" s="3310"/>
      <c r="AG3" s="3310"/>
      <c r="AH3" s="3310"/>
      <c r="AI3" s="3310"/>
      <c r="AJ3" s="3310"/>
      <c r="AK3" s="3310"/>
      <c r="AL3" s="3310"/>
      <c r="AM3" s="3310"/>
      <c r="AN3" s="3310"/>
      <c r="AO3" s="3310"/>
      <c r="AP3" s="3310" t="s">
        <v>434</v>
      </c>
      <c r="AQ3" s="3310"/>
      <c r="AR3" s="3310"/>
      <c r="AS3" s="3310"/>
      <c r="AT3" s="3310"/>
      <c r="AU3" s="3310"/>
      <c r="AV3" s="3310"/>
      <c r="AW3" s="3310"/>
      <c r="AX3" s="3310"/>
      <c r="AY3" s="3310"/>
      <c r="AZ3" s="3310"/>
      <c r="BA3" s="3310"/>
      <c r="BB3" s="3310"/>
      <c r="BC3" s="3384" t="s">
        <v>468</v>
      </c>
      <c r="BD3" s="3310"/>
      <c r="BE3" s="3310"/>
      <c r="BF3" s="3310"/>
      <c r="BG3" s="3310"/>
      <c r="BH3" s="3310"/>
      <c r="BI3" s="3310"/>
      <c r="BJ3" s="3310"/>
      <c r="BK3" s="3310"/>
      <c r="BL3" s="3310"/>
      <c r="BM3" s="3310"/>
      <c r="BN3" s="3310"/>
      <c r="BO3" s="3385"/>
      <c r="BP3" s="3384" t="s">
        <v>849</v>
      </c>
      <c r="BQ3" s="3310"/>
      <c r="BR3" s="3310"/>
      <c r="BS3" s="3310"/>
      <c r="BT3" s="3310"/>
      <c r="BU3" s="3310"/>
      <c r="BV3" s="3310"/>
      <c r="BW3" s="3310"/>
      <c r="BX3" s="3310"/>
      <c r="BY3" s="3310"/>
      <c r="BZ3" s="3310"/>
      <c r="CA3" s="3310"/>
      <c r="CB3" s="3385"/>
      <c r="CC3" s="3382" t="s">
        <v>699</v>
      </c>
      <c r="CD3" s="3259"/>
      <c r="CE3" s="3259"/>
      <c r="CF3" s="3259"/>
      <c r="CG3" s="3259"/>
      <c r="CH3" s="3259"/>
      <c r="CI3" s="3259"/>
      <c r="CJ3" s="3259"/>
      <c r="CK3" s="3259"/>
      <c r="CL3" s="3259"/>
      <c r="CM3" s="3259"/>
      <c r="CN3" s="3259"/>
      <c r="CO3" s="3383"/>
    </row>
    <row r="4" spans="1:93">
      <c r="B4" s="3387"/>
      <c r="C4" s="194" t="s">
        <v>1</v>
      </c>
      <c r="D4" s="119" t="s">
        <v>2</v>
      </c>
      <c r="E4" s="119" t="s">
        <v>3</v>
      </c>
      <c r="F4" s="119" t="s">
        <v>4</v>
      </c>
      <c r="G4" s="119" t="s">
        <v>5</v>
      </c>
      <c r="H4" s="119" t="s">
        <v>6</v>
      </c>
      <c r="I4" s="119" t="s">
        <v>7</v>
      </c>
      <c r="J4" s="119" t="s">
        <v>8</v>
      </c>
      <c r="K4" s="119" t="s">
        <v>9</v>
      </c>
      <c r="L4" s="119" t="s">
        <v>10</v>
      </c>
      <c r="M4" s="119" t="s">
        <v>11</v>
      </c>
      <c r="N4" s="119" t="s">
        <v>12</v>
      </c>
      <c r="O4" s="193" t="s">
        <v>13</v>
      </c>
      <c r="P4" s="194" t="s">
        <v>1</v>
      </c>
      <c r="Q4" s="119" t="s">
        <v>2</v>
      </c>
      <c r="R4" s="119" t="s">
        <v>3</v>
      </c>
      <c r="S4" s="119" t="s">
        <v>4</v>
      </c>
      <c r="T4" s="119" t="s">
        <v>5</v>
      </c>
      <c r="U4" s="119" t="s">
        <v>6</v>
      </c>
      <c r="V4" s="119" t="s">
        <v>7</v>
      </c>
      <c r="W4" s="119" t="s">
        <v>8</v>
      </c>
      <c r="X4" s="119" t="s">
        <v>9</v>
      </c>
      <c r="Y4" s="119" t="s">
        <v>10</v>
      </c>
      <c r="Z4" s="119" t="s">
        <v>11</v>
      </c>
      <c r="AA4" s="119" t="s">
        <v>12</v>
      </c>
      <c r="AB4" s="193" t="s">
        <v>13</v>
      </c>
      <c r="AC4" s="194" t="s">
        <v>1</v>
      </c>
      <c r="AD4" s="119" t="s">
        <v>2</v>
      </c>
      <c r="AE4" s="119" t="s">
        <v>3</v>
      </c>
      <c r="AF4" s="119" t="s">
        <v>4</v>
      </c>
      <c r="AG4" s="119" t="s">
        <v>5</v>
      </c>
      <c r="AH4" s="119" t="s">
        <v>6</v>
      </c>
      <c r="AI4" s="119" t="s">
        <v>7</v>
      </c>
      <c r="AJ4" s="119" t="s">
        <v>8</v>
      </c>
      <c r="AK4" s="119" t="s">
        <v>9</v>
      </c>
      <c r="AL4" s="119" t="s">
        <v>10</v>
      </c>
      <c r="AM4" s="119" t="s">
        <v>11</v>
      </c>
      <c r="AN4" s="119" t="s">
        <v>12</v>
      </c>
      <c r="AO4" s="193" t="s">
        <v>13</v>
      </c>
      <c r="AP4" s="194" t="s">
        <v>1</v>
      </c>
      <c r="AQ4" s="119" t="s">
        <v>2</v>
      </c>
      <c r="AR4" s="119" t="s">
        <v>3</v>
      </c>
      <c r="AS4" s="119" t="s">
        <v>4</v>
      </c>
      <c r="AT4" s="119" t="s">
        <v>5</v>
      </c>
      <c r="AU4" s="119" t="s">
        <v>6</v>
      </c>
      <c r="AV4" s="119" t="s">
        <v>7</v>
      </c>
      <c r="AW4" s="119" t="s">
        <v>8</v>
      </c>
      <c r="AX4" s="119" t="s">
        <v>9</v>
      </c>
      <c r="AY4" s="119" t="s">
        <v>10</v>
      </c>
      <c r="AZ4" s="119" t="s">
        <v>11</v>
      </c>
      <c r="BA4" s="119" t="s">
        <v>12</v>
      </c>
      <c r="BB4" s="193" t="s">
        <v>13</v>
      </c>
      <c r="BC4" s="983" t="s">
        <v>1</v>
      </c>
      <c r="BD4" s="119" t="s">
        <v>2</v>
      </c>
      <c r="BE4" s="119" t="s">
        <v>3</v>
      </c>
      <c r="BF4" s="119" t="s">
        <v>4</v>
      </c>
      <c r="BG4" s="119" t="s">
        <v>5</v>
      </c>
      <c r="BH4" s="119" t="s">
        <v>6</v>
      </c>
      <c r="BI4" s="119" t="s">
        <v>7</v>
      </c>
      <c r="BJ4" s="119" t="s">
        <v>8</v>
      </c>
      <c r="BK4" s="119" t="s">
        <v>9</v>
      </c>
      <c r="BL4" s="119" t="s">
        <v>10</v>
      </c>
      <c r="BM4" s="119" t="s">
        <v>11</v>
      </c>
      <c r="BN4" s="119" t="s">
        <v>12</v>
      </c>
      <c r="BO4" s="1433" t="s">
        <v>13</v>
      </c>
      <c r="BP4" s="983" t="s">
        <v>1</v>
      </c>
      <c r="BQ4" s="119" t="s">
        <v>2</v>
      </c>
      <c r="BR4" s="119" t="s">
        <v>3</v>
      </c>
      <c r="BS4" s="119" t="s">
        <v>4</v>
      </c>
      <c r="BT4" s="119" t="s">
        <v>5</v>
      </c>
      <c r="BU4" s="119" t="s">
        <v>6</v>
      </c>
      <c r="BV4" s="119" t="s">
        <v>7</v>
      </c>
      <c r="BW4" s="119" t="s">
        <v>847</v>
      </c>
      <c r="BX4" s="119" t="s">
        <v>848</v>
      </c>
      <c r="BY4" s="119" t="s">
        <v>506</v>
      </c>
      <c r="BZ4" s="119" t="s">
        <v>505</v>
      </c>
      <c r="CA4" s="119" t="s">
        <v>441</v>
      </c>
      <c r="CB4" s="1433" t="s">
        <v>442</v>
      </c>
      <c r="CC4" s="2492" t="s">
        <v>1</v>
      </c>
      <c r="CD4" s="2493" t="s">
        <v>710</v>
      </c>
      <c r="CE4" s="2493" t="s">
        <v>708</v>
      </c>
      <c r="CF4" s="2493" t="s">
        <v>706</v>
      </c>
      <c r="CG4" s="2493" t="s">
        <v>704</v>
      </c>
      <c r="CH4" s="2493" t="s">
        <v>702</v>
      </c>
      <c r="CI4" s="2493" t="s">
        <v>700</v>
      </c>
      <c r="CJ4" s="2493" t="s">
        <v>687</v>
      </c>
      <c r="CK4" s="2493" t="s">
        <v>689</v>
      </c>
      <c r="CL4" s="2493" t="s">
        <v>691</v>
      </c>
      <c r="CM4" s="2493" t="s">
        <v>693</v>
      </c>
      <c r="CN4" s="2493" t="s">
        <v>695</v>
      </c>
      <c r="CO4" s="2494" t="s">
        <v>697</v>
      </c>
    </row>
    <row r="5" spans="1:93" ht="21" customHeight="1">
      <c r="B5" s="29" t="s">
        <v>336</v>
      </c>
      <c r="BC5" s="984"/>
      <c r="BD5" s="546"/>
      <c r="BE5" s="546"/>
      <c r="BF5" s="546"/>
      <c r="BG5" s="546"/>
      <c r="BH5" s="546"/>
      <c r="BI5" s="546"/>
      <c r="BJ5" s="546"/>
      <c r="BK5" s="546"/>
      <c r="BL5" s="546"/>
      <c r="BM5" s="546"/>
      <c r="BN5" s="546"/>
      <c r="BO5" s="1434"/>
      <c r="BP5" s="984"/>
      <c r="BQ5" s="546"/>
      <c r="BR5" s="546"/>
      <c r="BS5" s="546"/>
      <c r="BT5" s="546"/>
      <c r="BU5" s="546"/>
      <c r="BV5" s="546"/>
      <c r="BW5" s="546"/>
      <c r="BX5" s="546"/>
      <c r="BY5" s="546"/>
      <c r="BZ5" s="546"/>
      <c r="CA5" s="546"/>
      <c r="CB5" s="1434"/>
      <c r="CC5" s="984"/>
      <c r="CD5" s="546"/>
      <c r="CE5" s="546"/>
      <c r="CF5" s="546"/>
      <c r="CG5" s="546"/>
      <c r="CH5" s="546"/>
      <c r="CI5" s="546"/>
      <c r="CJ5" s="546"/>
      <c r="CK5" s="546"/>
      <c r="CL5" s="546"/>
      <c r="CM5" s="546"/>
      <c r="CN5" s="546"/>
      <c r="CO5" s="1434"/>
    </row>
    <row r="6" spans="1:93">
      <c r="A6" s="129"/>
      <c r="B6" s="1991" t="s">
        <v>475</v>
      </c>
      <c r="C6" s="365">
        <f t="shared" ref="C6:C22" si="0">SUM(D6:O6)</f>
        <v>3592.3829999999998</v>
      </c>
      <c r="D6" s="578">
        <v>334.41500000000002</v>
      </c>
      <c r="E6" s="366">
        <v>394.91399999999999</v>
      </c>
      <c r="F6" s="366">
        <v>291.31700000000001</v>
      </c>
      <c r="G6" s="366">
        <v>284.48500000000001</v>
      </c>
      <c r="H6" s="366">
        <v>283.512</v>
      </c>
      <c r="I6" s="366">
        <v>283.27</v>
      </c>
      <c r="J6" s="366">
        <v>284.71100000000001</v>
      </c>
      <c r="K6" s="366">
        <v>285.10300000000001</v>
      </c>
      <c r="L6" s="366">
        <v>288.22199999999998</v>
      </c>
      <c r="M6" s="366">
        <v>284.69600000000003</v>
      </c>
      <c r="N6" s="366">
        <v>288.98899999999998</v>
      </c>
      <c r="O6" s="675">
        <v>288.74900000000002</v>
      </c>
      <c r="P6" s="365">
        <f t="shared" ref="P6:P21" si="1">SUM(Q6:AB6)</f>
        <v>3470.9189999999994</v>
      </c>
      <c r="Q6" s="578">
        <v>287.70600000000002</v>
      </c>
      <c r="R6" s="366">
        <v>282.72399999999999</v>
      </c>
      <c r="S6" s="366">
        <v>288.32</v>
      </c>
      <c r="T6" s="366">
        <v>284.983</v>
      </c>
      <c r="U6" s="366">
        <v>289.947</v>
      </c>
      <c r="V6" s="366">
        <v>292.85199999999998</v>
      </c>
      <c r="W6" s="366">
        <v>285.97000000000003</v>
      </c>
      <c r="X6" s="366">
        <v>291.01</v>
      </c>
      <c r="Y6" s="366">
        <v>278.69400000000002</v>
      </c>
      <c r="Z6" s="366">
        <v>330.28100000000001</v>
      </c>
      <c r="AA6" s="366">
        <v>280.02600000000001</v>
      </c>
      <c r="AB6" s="366">
        <v>278.40600000000001</v>
      </c>
      <c r="AC6" s="365">
        <f t="shared" ref="AC6:AC24" si="2">SUM(AD6:AO6)</f>
        <v>2858.9540000000002</v>
      </c>
      <c r="AD6" s="366">
        <v>279.49700000000001</v>
      </c>
      <c r="AE6" s="366">
        <v>271.363</v>
      </c>
      <c r="AF6" s="366">
        <v>247.78899999999999</v>
      </c>
      <c r="AG6" s="366">
        <v>247.822</v>
      </c>
      <c r="AH6" s="366">
        <v>227.958</v>
      </c>
      <c r="AI6" s="366">
        <v>227.27199999999999</v>
      </c>
      <c r="AJ6" s="366">
        <v>227.15299999999999</v>
      </c>
      <c r="AK6" s="366">
        <v>230.392</v>
      </c>
      <c r="AL6" s="366">
        <v>225.36199999999999</v>
      </c>
      <c r="AM6" s="366">
        <v>225.06100000000001</v>
      </c>
      <c r="AN6" s="366">
        <v>224.64</v>
      </c>
      <c r="AO6" s="366">
        <v>224.64500000000001</v>
      </c>
      <c r="AP6" s="365">
        <f t="shared" ref="AP6:AP34" si="3">SUM(AQ6:BB6)</f>
        <v>2535.2600000000007</v>
      </c>
      <c r="AQ6" s="1975">
        <v>226.33199999999999</v>
      </c>
      <c r="AR6" s="366">
        <v>222.60300000000001</v>
      </c>
      <c r="AS6" s="366">
        <v>224.25200000000001</v>
      </c>
      <c r="AT6" s="366">
        <v>227.03299999999999</v>
      </c>
      <c r="AU6" s="366">
        <v>217.922</v>
      </c>
      <c r="AV6" s="366">
        <v>210.995</v>
      </c>
      <c r="AW6" s="366">
        <v>207.94200000000001</v>
      </c>
      <c r="AX6" s="366">
        <v>207.32300000000001</v>
      </c>
      <c r="AY6" s="366">
        <v>198.32599999999999</v>
      </c>
      <c r="AZ6" s="366">
        <v>194.54</v>
      </c>
      <c r="BA6" s="366">
        <v>198.583</v>
      </c>
      <c r="BB6" s="675">
        <v>199.40899999999999</v>
      </c>
      <c r="BC6" s="1718">
        <f t="shared" ref="BC6:BC28" si="4">SUM(BD6:BO6)</f>
        <v>1849.9330000000002</v>
      </c>
      <c r="BD6" s="1975">
        <v>196.47800000000001</v>
      </c>
      <c r="BE6" s="1975">
        <v>195.82900000000001</v>
      </c>
      <c r="BF6" s="1975">
        <v>169.012</v>
      </c>
      <c r="BG6" s="1975">
        <v>143.97800000000001</v>
      </c>
      <c r="BH6" s="1975">
        <v>144.86000000000001</v>
      </c>
      <c r="BI6" s="1975">
        <v>143.41800000000001</v>
      </c>
      <c r="BJ6" s="1975">
        <v>143.185</v>
      </c>
      <c r="BK6" s="1975">
        <v>144.57900000000001</v>
      </c>
      <c r="BL6" s="1975">
        <v>142.87200000000001</v>
      </c>
      <c r="BM6" s="1975">
        <v>144.54599999999999</v>
      </c>
      <c r="BN6" s="1975">
        <v>144.51400000000001</v>
      </c>
      <c r="BO6" s="1976">
        <v>136.66200000000001</v>
      </c>
      <c r="BP6" s="1718">
        <f t="shared" ref="BP6:BP36" si="5">SUM(BQ6:CB6)</f>
        <v>1360.989</v>
      </c>
      <c r="BQ6" s="1975">
        <v>135.00200000000001</v>
      </c>
      <c r="BR6" s="1975">
        <v>132.66800000000001</v>
      </c>
      <c r="BS6" s="1975">
        <v>135.61500000000001</v>
      </c>
      <c r="BT6" s="1975">
        <v>126.417</v>
      </c>
      <c r="BU6" s="1975">
        <v>127.146</v>
      </c>
      <c r="BV6" s="1975">
        <v>111.97799999999999</v>
      </c>
      <c r="BW6" s="1975">
        <v>113.291</v>
      </c>
      <c r="BX6" s="1975">
        <v>103.452</v>
      </c>
      <c r="BY6" s="1975">
        <v>106.556</v>
      </c>
      <c r="BZ6" s="1975">
        <v>95.564999999999998</v>
      </c>
      <c r="CA6" s="1975">
        <v>95.984999999999999</v>
      </c>
      <c r="CB6" s="1976">
        <v>77.313999999999993</v>
      </c>
      <c r="CC6" s="1718">
        <f t="shared" ref="CC6:CC36" si="6">SUM(CD6:CO6)</f>
        <v>27</v>
      </c>
      <c r="CD6" s="2811">
        <v>27</v>
      </c>
      <c r="CE6" s="2811">
        <v>0</v>
      </c>
      <c r="CF6" s="2811">
        <v>0</v>
      </c>
      <c r="CG6" s="2811">
        <v>0</v>
      </c>
      <c r="CH6" s="2811">
        <v>0</v>
      </c>
      <c r="CI6" s="2811">
        <v>0</v>
      </c>
      <c r="CJ6" s="2811">
        <v>0</v>
      </c>
      <c r="CK6" s="2811">
        <v>0</v>
      </c>
      <c r="CL6" s="2811">
        <v>0</v>
      </c>
      <c r="CM6" s="2811">
        <v>0</v>
      </c>
      <c r="CN6" s="2811">
        <v>0</v>
      </c>
      <c r="CO6" s="2812">
        <v>0</v>
      </c>
    </row>
    <row r="7" spans="1:93">
      <c r="A7" s="129"/>
      <c r="B7" s="1443" t="s">
        <v>476</v>
      </c>
      <c r="C7" s="196">
        <f t="shared" si="0"/>
        <v>0</v>
      </c>
      <c r="D7" s="579"/>
      <c r="E7" s="364"/>
      <c r="F7" s="364"/>
      <c r="G7" s="364"/>
      <c r="H7" s="364"/>
      <c r="I7" s="364"/>
      <c r="J7" s="364"/>
      <c r="K7" s="364"/>
      <c r="L7" s="364"/>
      <c r="M7" s="364"/>
      <c r="N7" s="364"/>
      <c r="O7" s="676"/>
      <c r="P7" s="196">
        <f t="shared" si="1"/>
        <v>39.656999999999996</v>
      </c>
      <c r="Q7" s="579"/>
      <c r="R7" s="364"/>
      <c r="S7" s="364"/>
      <c r="T7" s="364"/>
      <c r="U7" s="364">
        <v>39.656999999999996</v>
      </c>
      <c r="V7" s="364"/>
      <c r="W7" s="364"/>
      <c r="X7" s="364"/>
      <c r="Y7" s="364"/>
      <c r="Z7" s="364"/>
      <c r="AA7" s="364"/>
      <c r="AB7" s="364"/>
      <c r="AC7" s="196">
        <f t="shared" si="2"/>
        <v>0</v>
      </c>
      <c r="AD7" s="364"/>
      <c r="AE7" s="364"/>
      <c r="AF7" s="364"/>
      <c r="AG7" s="364"/>
      <c r="AH7" s="364"/>
      <c r="AI7" s="364"/>
      <c r="AJ7" s="364"/>
      <c r="AK7" s="364"/>
      <c r="AL7" s="364"/>
      <c r="AM7" s="364"/>
      <c r="AN7" s="364"/>
      <c r="AO7" s="676"/>
      <c r="AP7" s="196">
        <f t="shared" si="3"/>
        <v>0</v>
      </c>
      <c r="AQ7" s="364"/>
      <c r="AR7" s="364"/>
      <c r="AS7" s="364"/>
      <c r="AT7" s="364"/>
      <c r="AU7" s="364"/>
      <c r="AV7" s="364"/>
      <c r="AW7" s="364"/>
      <c r="AX7" s="364"/>
      <c r="AY7" s="364"/>
      <c r="AZ7" s="364"/>
      <c r="BA7" s="364"/>
      <c r="BB7" s="676"/>
      <c r="BC7" s="985">
        <f t="shared" si="4"/>
        <v>0</v>
      </c>
      <c r="BD7" s="1977"/>
      <c r="BE7" s="1977"/>
      <c r="BF7" s="1977"/>
      <c r="BG7" s="1977"/>
      <c r="BH7" s="1977"/>
      <c r="BI7" s="1977"/>
      <c r="BJ7" s="1977"/>
      <c r="BK7" s="1977"/>
      <c r="BL7" s="1977"/>
      <c r="BM7" s="1977"/>
      <c r="BN7" s="1977"/>
      <c r="BO7" s="1978"/>
      <c r="BP7" s="985">
        <f t="shared" si="5"/>
        <v>0</v>
      </c>
      <c r="BQ7" s="1977"/>
      <c r="BR7" s="1977"/>
      <c r="BS7" s="1977"/>
      <c r="BT7" s="1977"/>
      <c r="BU7" s="1977"/>
      <c r="BV7" s="1977"/>
      <c r="BW7" s="1977"/>
      <c r="BX7" s="1977"/>
      <c r="BY7" s="1977"/>
      <c r="BZ7" s="1977"/>
      <c r="CA7" s="1977"/>
      <c r="CB7" s="1978"/>
      <c r="CC7" s="985">
        <f t="shared" si="6"/>
        <v>0</v>
      </c>
      <c r="CD7" s="2488"/>
      <c r="CE7" s="2488"/>
      <c r="CF7" s="2488"/>
      <c r="CG7" s="2488"/>
      <c r="CH7" s="2488"/>
      <c r="CI7" s="2488"/>
      <c r="CJ7" s="2488"/>
      <c r="CK7" s="2488"/>
      <c r="CL7" s="2488"/>
      <c r="CM7" s="2488"/>
      <c r="CN7" s="2488"/>
      <c r="CO7" s="2489"/>
    </row>
    <row r="8" spans="1:93">
      <c r="A8" s="129"/>
      <c r="B8" s="1443" t="s">
        <v>547</v>
      </c>
      <c r="C8" s="196"/>
      <c r="D8" s="579"/>
      <c r="E8" s="364"/>
      <c r="F8" s="364"/>
      <c r="G8" s="364"/>
      <c r="H8" s="364"/>
      <c r="I8" s="364"/>
      <c r="J8" s="364"/>
      <c r="K8" s="364"/>
      <c r="L8" s="364"/>
      <c r="M8" s="364"/>
      <c r="N8" s="364"/>
      <c r="O8" s="676"/>
      <c r="P8" s="196">
        <f t="shared" si="1"/>
        <v>19.994999999999997</v>
      </c>
      <c r="Q8" s="579"/>
      <c r="R8" s="364"/>
      <c r="S8" s="364"/>
      <c r="T8" s="364"/>
      <c r="U8" s="364"/>
      <c r="V8" s="364"/>
      <c r="W8" s="364"/>
      <c r="X8" s="364"/>
      <c r="Y8" s="364">
        <v>4.5380000000000003</v>
      </c>
      <c r="Z8" s="364">
        <v>4.883</v>
      </c>
      <c r="AA8" s="364">
        <v>5.2279999999999998</v>
      </c>
      <c r="AB8" s="364">
        <v>5.3460000000000001</v>
      </c>
      <c r="AC8" s="196">
        <f t="shared" si="2"/>
        <v>77.505999999999986</v>
      </c>
      <c r="AD8" s="364">
        <v>4.9610000000000003</v>
      </c>
      <c r="AE8" s="364">
        <v>4.7590000000000003</v>
      </c>
      <c r="AF8" s="364">
        <v>5.1289999999999996</v>
      </c>
      <c r="AG8" s="364">
        <v>5.157</v>
      </c>
      <c r="AH8" s="364">
        <v>14.912000000000001</v>
      </c>
      <c r="AI8" s="364">
        <v>8.9369999999999994</v>
      </c>
      <c r="AJ8" s="364">
        <v>9.2210000000000001</v>
      </c>
      <c r="AK8" s="364">
        <v>4.9489999999999998</v>
      </c>
      <c r="AL8" s="364">
        <v>4.8899999999999997</v>
      </c>
      <c r="AM8" s="364">
        <v>4.6369999999999996</v>
      </c>
      <c r="AN8" s="364">
        <v>5.202</v>
      </c>
      <c r="AO8" s="676">
        <v>4.7519999999999998</v>
      </c>
      <c r="AP8" s="196">
        <f t="shared" si="3"/>
        <v>24.748999999999999</v>
      </c>
      <c r="AQ8" s="364">
        <v>4.8499999999999996</v>
      </c>
      <c r="AR8" s="364">
        <v>4.681</v>
      </c>
      <c r="AS8" s="364">
        <v>5.766</v>
      </c>
      <c r="AT8" s="364">
        <v>4.6870000000000003</v>
      </c>
      <c r="AU8" s="364">
        <v>4.7649999999999997</v>
      </c>
      <c r="AV8" s="364"/>
      <c r="AW8" s="364"/>
      <c r="AX8" s="364"/>
      <c r="AY8" s="364"/>
      <c r="AZ8" s="364"/>
      <c r="BA8" s="364"/>
      <c r="BB8" s="676"/>
      <c r="BC8" s="985">
        <f t="shared" si="4"/>
        <v>0</v>
      </c>
      <c r="BD8" s="1977"/>
      <c r="BE8" s="1977"/>
      <c r="BF8" s="1977"/>
      <c r="BG8" s="1977"/>
      <c r="BH8" s="1977"/>
      <c r="BI8" s="1977"/>
      <c r="BJ8" s="1977"/>
      <c r="BK8" s="1977"/>
      <c r="BL8" s="1977"/>
      <c r="BM8" s="1977"/>
      <c r="BN8" s="1977"/>
      <c r="BO8" s="1978"/>
      <c r="BP8" s="985">
        <f t="shared" si="5"/>
        <v>0</v>
      </c>
      <c r="BQ8" s="1977"/>
      <c r="BR8" s="1977"/>
      <c r="BS8" s="1977"/>
      <c r="BT8" s="1977"/>
      <c r="BU8" s="1977"/>
      <c r="BV8" s="1977"/>
      <c r="BW8" s="1977"/>
      <c r="BX8" s="1977"/>
      <c r="BY8" s="1977"/>
      <c r="BZ8" s="1977"/>
      <c r="CA8" s="1977"/>
      <c r="CB8" s="1978"/>
      <c r="CC8" s="985">
        <f t="shared" si="6"/>
        <v>0</v>
      </c>
      <c r="CD8" s="2488"/>
      <c r="CE8" s="2488"/>
      <c r="CF8" s="2488"/>
      <c r="CG8" s="2488"/>
      <c r="CH8" s="2488"/>
      <c r="CI8" s="2488"/>
      <c r="CJ8" s="2488"/>
      <c r="CK8" s="2488"/>
      <c r="CL8" s="2488"/>
      <c r="CM8" s="2488"/>
      <c r="CN8" s="2488"/>
      <c r="CO8" s="2489"/>
    </row>
    <row r="9" spans="1:93">
      <c r="A9" s="129"/>
      <c r="B9" s="1443" t="s">
        <v>403</v>
      </c>
      <c r="C9" s="196"/>
      <c r="D9" s="579"/>
      <c r="E9" s="364"/>
      <c r="F9" s="364"/>
      <c r="G9" s="364"/>
      <c r="H9" s="364"/>
      <c r="I9" s="364"/>
      <c r="J9" s="364"/>
      <c r="K9" s="364"/>
      <c r="L9" s="364"/>
      <c r="M9" s="364"/>
      <c r="N9" s="364"/>
      <c r="O9" s="676"/>
      <c r="P9" s="196">
        <f t="shared" si="1"/>
        <v>20.818182</v>
      </c>
      <c r="Q9" s="579"/>
      <c r="R9" s="364"/>
      <c r="S9" s="364"/>
      <c r="T9" s="364"/>
      <c r="U9" s="364"/>
      <c r="V9" s="364"/>
      <c r="W9" s="364"/>
      <c r="X9" s="364"/>
      <c r="Y9" s="364">
        <v>20</v>
      </c>
      <c r="Z9" s="364"/>
      <c r="AA9" s="364"/>
      <c r="AB9" s="364">
        <v>0.81818199999999996</v>
      </c>
      <c r="AC9" s="196">
        <f t="shared" si="2"/>
        <v>0</v>
      </c>
      <c r="AD9" s="364"/>
      <c r="AE9" s="364"/>
      <c r="AF9" s="364"/>
      <c r="AG9" s="364"/>
      <c r="AH9" s="364"/>
      <c r="AI9" s="364"/>
      <c r="AJ9" s="364"/>
      <c r="AK9" s="364"/>
      <c r="AL9" s="364"/>
      <c r="AM9" s="364"/>
      <c r="AN9" s="364"/>
      <c r="AO9" s="676"/>
      <c r="AP9" s="196">
        <f t="shared" si="3"/>
        <v>0</v>
      </c>
      <c r="AQ9" s="364"/>
      <c r="AR9" s="364"/>
      <c r="AS9" s="364"/>
      <c r="AT9" s="364"/>
      <c r="AU9" s="364"/>
      <c r="AV9" s="364"/>
      <c r="AW9" s="364"/>
      <c r="AX9" s="364"/>
      <c r="AY9" s="364"/>
      <c r="AZ9" s="364"/>
      <c r="BA9" s="364"/>
      <c r="BB9" s="676"/>
      <c r="BC9" s="985">
        <f t="shared" si="4"/>
        <v>0</v>
      </c>
      <c r="BD9" s="1977"/>
      <c r="BE9" s="1977"/>
      <c r="BF9" s="1977"/>
      <c r="BG9" s="1977"/>
      <c r="BH9" s="1977"/>
      <c r="BI9" s="1977"/>
      <c r="BJ9" s="1977"/>
      <c r="BK9" s="1977"/>
      <c r="BL9" s="1977"/>
      <c r="BM9" s="1977"/>
      <c r="BN9" s="1977"/>
      <c r="BO9" s="1978"/>
      <c r="BP9" s="985">
        <f t="shared" si="5"/>
        <v>0</v>
      </c>
      <c r="BQ9" s="1977"/>
      <c r="BR9" s="1977"/>
      <c r="BS9" s="1977"/>
      <c r="BT9" s="1977"/>
      <c r="BU9" s="1977"/>
      <c r="BV9" s="1977"/>
      <c r="BW9" s="1977"/>
      <c r="BX9" s="1977"/>
      <c r="BY9" s="1977"/>
      <c r="BZ9" s="1977"/>
      <c r="CA9" s="1977"/>
      <c r="CB9" s="1978"/>
      <c r="CC9" s="985">
        <f t="shared" si="6"/>
        <v>0</v>
      </c>
      <c r="CD9" s="2488"/>
      <c r="CE9" s="2488"/>
      <c r="CF9" s="2488"/>
      <c r="CG9" s="2488"/>
      <c r="CH9" s="2488"/>
      <c r="CI9" s="2488"/>
      <c r="CJ9" s="2488"/>
      <c r="CK9" s="2488"/>
      <c r="CL9" s="2488"/>
      <c r="CM9" s="2488"/>
      <c r="CN9" s="2488"/>
      <c r="CO9" s="2489"/>
    </row>
    <row r="10" spans="1:93">
      <c r="A10" s="129"/>
      <c r="B10" s="1443" t="s">
        <v>338</v>
      </c>
      <c r="C10" s="196">
        <f t="shared" si="0"/>
        <v>61.768382000000003</v>
      </c>
      <c r="D10" s="579">
        <v>33.284033999999998</v>
      </c>
      <c r="E10" s="364">
        <v>28.484348000000001</v>
      </c>
      <c r="F10" s="364"/>
      <c r="G10" s="364"/>
      <c r="H10" s="364"/>
      <c r="I10" s="364"/>
      <c r="J10" s="364"/>
      <c r="K10" s="364"/>
      <c r="L10" s="364"/>
      <c r="M10" s="364"/>
      <c r="N10" s="364"/>
      <c r="O10" s="676"/>
      <c r="P10" s="196">
        <f t="shared" si="1"/>
        <v>0</v>
      </c>
      <c r="Q10" s="579"/>
      <c r="R10" s="364"/>
      <c r="S10" s="364"/>
      <c r="T10" s="364"/>
      <c r="U10" s="364"/>
      <c r="V10" s="364"/>
      <c r="W10" s="364"/>
      <c r="X10" s="364"/>
      <c r="Y10" s="364"/>
      <c r="Z10" s="364"/>
      <c r="AA10" s="364"/>
      <c r="AB10" s="364"/>
      <c r="AC10" s="196">
        <f t="shared" si="2"/>
        <v>0</v>
      </c>
      <c r="AD10" s="364"/>
      <c r="AE10" s="364"/>
      <c r="AF10" s="364"/>
      <c r="AG10" s="364"/>
      <c r="AH10" s="364"/>
      <c r="AI10" s="364"/>
      <c r="AJ10" s="364"/>
      <c r="AK10" s="364"/>
      <c r="AL10" s="364"/>
      <c r="AM10" s="364"/>
      <c r="AN10" s="364"/>
      <c r="AO10" s="676"/>
      <c r="AP10" s="196">
        <f t="shared" si="3"/>
        <v>1.35226</v>
      </c>
      <c r="AQ10" s="364"/>
      <c r="AR10" s="364"/>
      <c r="AS10" s="364"/>
      <c r="AT10" s="364"/>
      <c r="AU10" s="364"/>
      <c r="AV10" s="364"/>
      <c r="AW10" s="364"/>
      <c r="AX10" s="364"/>
      <c r="AY10" s="364"/>
      <c r="AZ10" s="364">
        <v>1.35226</v>
      </c>
      <c r="BA10" s="364"/>
      <c r="BB10" s="676"/>
      <c r="BC10" s="985">
        <f t="shared" si="4"/>
        <v>0</v>
      </c>
      <c r="BD10" s="1977"/>
      <c r="BE10" s="1977"/>
      <c r="BF10" s="1977"/>
      <c r="BG10" s="1977"/>
      <c r="BH10" s="1977"/>
      <c r="BI10" s="1977"/>
      <c r="BJ10" s="1977"/>
      <c r="BK10" s="1977"/>
      <c r="BL10" s="1977"/>
      <c r="BM10" s="1977"/>
      <c r="BN10" s="1977"/>
      <c r="BO10" s="1978"/>
      <c r="BP10" s="985">
        <f t="shared" si="5"/>
        <v>0</v>
      </c>
      <c r="BQ10" s="1977"/>
      <c r="BR10" s="1977"/>
      <c r="BS10" s="1977"/>
      <c r="BT10" s="1977"/>
      <c r="BU10" s="1977"/>
      <c r="BV10" s="1977"/>
      <c r="BW10" s="1977"/>
      <c r="BX10" s="1977"/>
      <c r="BY10" s="1977"/>
      <c r="BZ10" s="1977"/>
      <c r="CA10" s="1977"/>
      <c r="CB10" s="1978"/>
      <c r="CC10" s="985">
        <f t="shared" si="6"/>
        <v>0</v>
      </c>
      <c r="CD10" s="2488"/>
      <c r="CE10" s="2488"/>
      <c r="CF10" s="2488"/>
      <c r="CG10" s="2488"/>
      <c r="CH10" s="2488"/>
      <c r="CI10" s="2488"/>
      <c r="CJ10" s="2488"/>
      <c r="CK10" s="2488"/>
      <c r="CL10" s="2488"/>
      <c r="CM10" s="2488"/>
      <c r="CN10" s="2488"/>
      <c r="CO10" s="2489"/>
    </row>
    <row r="11" spans="1:93">
      <c r="A11" s="129"/>
      <c r="B11" s="1443" t="s">
        <v>337</v>
      </c>
      <c r="C11" s="196">
        <f t="shared" si="0"/>
        <v>0</v>
      </c>
      <c r="D11" s="579"/>
      <c r="E11" s="364"/>
      <c r="F11" s="364"/>
      <c r="G11" s="364"/>
      <c r="H11" s="364"/>
      <c r="I11" s="364"/>
      <c r="J11" s="364"/>
      <c r="K11" s="364"/>
      <c r="L11" s="364"/>
      <c r="M11" s="364"/>
      <c r="N11" s="364"/>
      <c r="O11" s="676"/>
      <c r="P11" s="196">
        <f t="shared" si="1"/>
        <v>27.742726999999999</v>
      </c>
      <c r="Q11" s="579"/>
      <c r="R11" s="364"/>
      <c r="S11" s="364"/>
      <c r="T11" s="364"/>
      <c r="U11" s="364"/>
      <c r="V11" s="364"/>
      <c r="W11" s="364"/>
      <c r="X11" s="364"/>
      <c r="Y11" s="364">
        <v>9.84</v>
      </c>
      <c r="Z11" s="364">
        <v>17.902726999999999</v>
      </c>
      <c r="AA11" s="364"/>
      <c r="AB11" s="364"/>
      <c r="AC11" s="196">
        <f t="shared" si="2"/>
        <v>672.98927800000001</v>
      </c>
      <c r="AD11" s="364"/>
      <c r="AE11" s="364"/>
      <c r="AF11" s="364"/>
      <c r="AG11" s="364"/>
      <c r="AH11" s="364">
        <v>672.98927800000001</v>
      </c>
      <c r="AI11" s="364"/>
      <c r="AJ11" s="364"/>
      <c r="AK11" s="364"/>
      <c r="AL11" s="364"/>
      <c r="AM11" s="364"/>
      <c r="AN11" s="364"/>
      <c r="AO11" s="676"/>
      <c r="AP11" s="196">
        <f t="shared" si="3"/>
        <v>6.1561199999999996</v>
      </c>
      <c r="AQ11" s="364"/>
      <c r="AR11" s="364"/>
      <c r="AS11" s="364"/>
      <c r="AT11" s="364"/>
      <c r="AU11" s="364"/>
      <c r="AV11" s="364"/>
      <c r="AW11" s="364"/>
      <c r="AX11" s="364"/>
      <c r="AY11" s="364"/>
      <c r="AZ11" s="364">
        <v>6.1561199999999996</v>
      </c>
      <c r="BA11" s="364"/>
      <c r="BB11" s="676"/>
      <c r="BC11" s="985">
        <f t="shared" si="4"/>
        <v>646.23</v>
      </c>
      <c r="BD11" s="1977"/>
      <c r="BE11" s="1977"/>
      <c r="BF11" s="1977"/>
      <c r="BG11" s="1977">
        <v>646.23</v>
      </c>
      <c r="BH11" s="1977"/>
      <c r="BI11" s="1977"/>
      <c r="BJ11" s="1977"/>
      <c r="BK11" s="1977"/>
      <c r="BL11" s="1977"/>
      <c r="BM11" s="1977"/>
      <c r="BN11" s="1977"/>
      <c r="BO11" s="1978"/>
      <c r="BP11" s="985">
        <f t="shared" si="5"/>
        <v>0</v>
      </c>
      <c r="BQ11" s="1977"/>
      <c r="BR11" s="1977"/>
      <c r="BS11" s="1977"/>
      <c r="BT11" s="1977"/>
      <c r="BU11" s="1977"/>
      <c r="BV11" s="1977"/>
      <c r="BW11" s="1977"/>
      <c r="BX11" s="1977"/>
      <c r="BY11" s="1977"/>
      <c r="BZ11" s="1977"/>
      <c r="CA11" s="1977"/>
      <c r="CB11" s="1978"/>
      <c r="CC11" s="985">
        <f t="shared" si="6"/>
        <v>0</v>
      </c>
      <c r="CD11" s="2488"/>
      <c r="CE11" s="2488"/>
      <c r="CF11" s="2488"/>
      <c r="CG11" s="2488"/>
      <c r="CH11" s="2488"/>
      <c r="CI11" s="2488"/>
      <c r="CJ11" s="2488"/>
      <c r="CK11" s="2488"/>
      <c r="CL11" s="2488"/>
      <c r="CM11" s="2488"/>
      <c r="CN11" s="2488"/>
      <c r="CO11" s="2489"/>
    </row>
    <row r="12" spans="1:93">
      <c r="A12" s="129"/>
      <c r="B12" s="1443" t="s">
        <v>548</v>
      </c>
      <c r="C12" s="196">
        <f t="shared" si="0"/>
        <v>0</v>
      </c>
      <c r="D12" s="579"/>
      <c r="E12" s="364"/>
      <c r="F12" s="364"/>
      <c r="G12" s="364"/>
      <c r="H12" s="364"/>
      <c r="I12" s="364"/>
      <c r="J12" s="364"/>
      <c r="K12" s="364"/>
      <c r="L12" s="364"/>
      <c r="M12" s="364"/>
      <c r="N12" s="364"/>
      <c r="O12" s="676"/>
      <c r="P12" s="196">
        <f t="shared" si="1"/>
        <v>315</v>
      </c>
      <c r="Q12" s="579">
        <v>14</v>
      </c>
      <c r="R12" s="364">
        <v>17.5</v>
      </c>
      <c r="S12" s="364">
        <v>17.5</v>
      </c>
      <c r="T12" s="364">
        <v>28</v>
      </c>
      <c r="U12" s="364">
        <v>42</v>
      </c>
      <c r="V12" s="364">
        <v>28</v>
      </c>
      <c r="W12" s="364">
        <v>28</v>
      </c>
      <c r="X12" s="364">
        <v>28</v>
      </c>
      <c r="Y12" s="364">
        <v>28</v>
      </c>
      <c r="Z12" s="364">
        <v>28</v>
      </c>
      <c r="AA12" s="364">
        <v>28</v>
      </c>
      <c r="AB12" s="364">
        <v>28</v>
      </c>
      <c r="AC12" s="196">
        <f t="shared" si="2"/>
        <v>343</v>
      </c>
      <c r="AD12" s="364">
        <v>28</v>
      </c>
      <c r="AE12" s="364">
        <v>28</v>
      </c>
      <c r="AF12" s="364">
        <v>28</v>
      </c>
      <c r="AG12" s="364">
        <v>28</v>
      </c>
      <c r="AH12" s="364">
        <v>28</v>
      </c>
      <c r="AI12" s="364">
        <v>28</v>
      </c>
      <c r="AJ12" s="364">
        <v>31.5</v>
      </c>
      <c r="AK12" s="364">
        <v>31.5</v>
      </c>
      <c r="AL12" s="364">
        <v>28</v>
      </c>
      <c r="AM12" s="364">
        <v>28</v>
      </c>
      <c r="AN12" s="364">
        <v>28</v>
      </c>
      <c r="AO12" s="364">
        <v>28</v>
      </c>
      <c r="AP12" s="196">
        <f t="shared" si="3"/>
        <v>108.08</v>
      </c>
      <c r="AQ12" s="364">
        <v>27.02</v>
      </c>
      <c r="AR12" s="364">
        <v>27.02</v>
      </c>
      <c r="AS12" s="364">
        <v>27.02</v>
      </c>
      <c r="AT12" s="364">
        <v>27.02</v>
      </c>
      <c r="AU12" s="364"/>
      <c r="AV12" s="364"/>
      <c r="AW12" s="364"/>
      <c r="AX12" s="364"/>
      <c r="AY12" s="364"/>
      <c r="AZ12" s="364"/>
      <c r="BA12" s="364"/>
      <c r="BB12" s="364"/>
      <c r="BC12" s="985">
        <f t="shared" si="4"/>
        <v>0</v>
      </c>
      <c r="BD12" s="1977"/>
      <c r="BE12" s="1977"/>
      <c r="BF12" s="1977"/>
      <c r="BG12" s="1977"/>
      <c r="BH12" s="1977"/>
      <c r="BI12" s="1977"/>
      <c r="BJ12" s="1977"/>
      <c r="BK12" s="1977"/>
      <c r="BL12" s="1977"/>
      <c r="BM12" s="1977"/>
      <c r="BN12" s="1977"/>
      <c r="BO12" s="1978"/>
      <c r="BP12" s="985">
        <f t="shared" si="5"/>
        <v>0</v>
      </c>
      <c r="BQ12" s="1977"/>
      <c r="BR12" s="1977"/>
      <c r="BS12" s="1977"/>
      <c r="BT12" s="1977"/>
      <c r="BU12" s="1977"/>
      <c r="BV12" s="1977"/>
      <c r="BW12" s="1977"/>
      <c r="BX12" s="1977"/>
      <c r="BY12" s="1977"/>
      <c r="BZ12" s="1977"/>
      <c r="CA12" s="1977"/>
      <c r="CB12" s="1978"/>
      <c r="CC12" s="985">
        <f t="shared" si="6"/>
        <v>0</v>
      </c>
      <c r="CD12" s="2488"/>
      <c r="CE12" s="2488"/>
      <c r="CF12" s="2488"/>
      <c r="CG12" s="2488"/>
      <c r="CH12" s="2488"/>
      <c r="CI12" s="2488"/>
      <c r="CJ12" s="2488"/>
      <c r="CK12" s="2488"/>
      <c r="CL12" s="2488"/>
      <c r="CM12" s="2488"/>
      <c r="CN12" s="2488"/>
      <c r="CO12" s="2489"/>
    </row>
    <row r="13" spans="1:93">
      <c r="A13" s="129"/>
      <c r="B13" s="1992" t="s">
        <v>549</v>
      </c>
      <c r="C13" s="196">
        <f t="shared" si="0"/>
        <v>237.714506</v>
      </c>
      <c r="D13" s="579"/>
      <c r="E13" s="364"/>
      <c r="F13" s="364">
        <v>57.677370000000003</v>
      </c>
      <c r="G13" s="364"/>
      <c r="H13" s="364"/>
      <c r="I13" s="364">
        <v>57.677370000000003</v>
      </c>
      <c r="J13" s="364"/>
      <c r="K13" s="364"/>
      <c r="L13" s="364">
        <v>61.179882999999997</v>
      </c>
      <c r="M13" s="364"/>
      <c r="N13" s="364">
        <v>61.179882999999997</v>
      </c>
      <c r="O13" s="676"/>
      <c r="P13" s="196">
        <f t="shared" si="1"/>
        <v>244.71953499999998</v>
      </c>
      <c r="Q13" s="579"/>
      <c r="R13" s="364">
        <v>61.179884000000001</v>
      </c>
      <c r="S13" s="364"/>
      <c r="T13" s="364">
        <v>61.179884000000001</v>
      </c>
      <c r="U13" s="364"/>
      <c r="V13" s="364"/>
      <c r="W13" s="364">
        <v>61.179884000000001</v>
      </c>
      <c r="X13" s="364"/>
      <c r="Y13" s="364"/>
      <c r="Z13" s="364">
        <v>61.179882999999997</v>
      </c>
      <c r="AA13" s="364"/>
      <c r="AB13" s="364"/>
      <c r="AC13" s="196">
        <f t="shared" si="2"/>
        <v>271.64647200000002</v>
      </c>
      <c r="AD13" s="364">
        <v>61.179882999999997</v>
      </c>
      <c r="AE13" s="364"/>
      <c r="AF13" s="364">
        <v>40.786588999999999</v>
      </c>
      <c r="AG13" s="364">
        <v>21.21</v>
      </c>
      <c r="AH13" s="364"/>
      <c r="AI13" s="364">
        <v>21.21</v>
      </c>
      <c r="AJ13" s="364">
        <v>21.21</v>
      </c>
      <c r="AK13" s="364">
        <v>21.21</v>
      </c>
      <c r="AL13" s="364">
        <v>21.21</v>
      </c>
      <c r="AM13" s="364">
        <v>21.21</v>
      </c>
      <c r="AN13" s="364">
        <v>21.21</v>
      </c>
      <c r="AO13" s="676">
        <v>21.21</v>
      </c>
      <c r="AP13" s="196">
        <f t="shared" si="3"/>
        <v>200.19000000000003</v>
      </c>
      <c r="AQ13" s="364">
        <v>21.21</v>
      </c>
      <c r="AR13" s="364">
        <v>21.3</v>
      </c>
      <c r="AS13" s="364">
        <v>17.52</v>
      </c>
      <c r="AT13" s="364">
        <v>17.52</v>
      </c>
      <c r="AU13" s="364">
        <v>17.52</v>
      </c>
      <c r="AV13" s="364">
        <v>17.52</v>
      </c>
      <c r="AW13" s="364">
        <v>17.52</v>
      </c>
      <c r="AX13" s="364">
        <v>17.52</v>
      </c>
      <c r="AY13" s="364">
        <v>17.52</v>
      </c>
      <c r="AZ13" s="364">
        <v>17.52</v>
      </c>
      <c r="BA13" s="364">
        <v>17.52</v>
      </c>
      <c r="BB13" s="676"/>
      <c r="BC13" s="985">
        <f t="shared" si="4"/>
        <v>157.71</v>
      </c>
      <c r="BD13" s="1977">
        <v>35.04</v>
      </c>
      <c r="BE13" s="1977">
        <v>17.55</v>
      </c>
      <c r="BF13" s="1977">
        <v>17.52</v>
      </c>
      <c r="BG13" s="1977">
        <v>17.52</v>
      </c>
      <c r="BH13" s="1977">
        <v>17.52</v>
      </c>
      <c r="BI13" s="1977">
        <v>17.52</v>
      </c>
      <c r="BJ13" s="1977"/>
      <c r="BK13" s="1977"/>
      <c r="BL13" s="1977"/>
      <c r="BM13" s="1977"/>
      <c r="BN13" s="1977">
        <v>17.52</v>
      </c>
      <c r="BO13" s="1978">
        <v>17.52</v>
      </c>
      <c r="BP13" s="985">
        <f t="shared" si="5"/>
        <v>322.17333000000002</v>
      </c>
      <c r="BQ13" s="1977">
        <v>17.52</v>
      </c>
      <c r="BR13" s="1977">
        <v>17.55</v>
      </c>
      <c r="BS13" s="1977">
        <v>26.125833</v>
      </c>
      <c r="BT13" s="1977">
        <v>26.125833</v>
      </c>
      <c r="BU13" s="1977">
        <v>26.125833</v>
      </c>
      <c r="BV13" s="1977">
        <v>26.125833</v>
      </c>
      <c r="BW13" s="1977">
        <v>30.433333000000001</v>
      </c>
      <c r="BX13" s="1977">
        <v>30.433333000000001</v>
      </c>
      <c r="BY13" s="1977">
        <v>30.433333000000001</v>
      </c>
      <c r="BZ13" s="1977">
        <v>30.433333000000001</v>
      </c>
      <c r="CA13" s="1977">
        <v>30.433333000000001</v>
      </c>
      <c r="CB13" s="1978">
        <v>30.433333000000001</v>
      </c>
      <c r="CC13" s="985">
        <f t="shared" si="6"/>
        <v>370</v>
      </c>
      <c r="CD13" s="2488">
        <v>30</v>
      </c>
      <c r="CE13" s="2488">
        <v>30</v>
      </c>
      <c r="CF13" s="2488">
        <v>31</v>
      </c>
      <c r="CG13" s="2488">
        <v>31</v>
      </c>
      <c r="CH13" s="2488">
        <v>31</v>
      </c>
      <c r="CI13" s="2488">
        <v>31</v>
      </c>
      <c r="CJ13" s="2488">
        <v>31</v>
      </c>
      <c r="CK13" s="2488">
        <v>31</v>
      </c>
      <c r="CL13" s="2488">
        <v>31</v>
      </c>
      <c r="CM13" s="2488">
        <v>31</v>
      </c>
      <c r="CN13" s="2488">
        <v>31</v>
      </c>
      <c r="CO13" s="2489">
        <v>31</v>
      </c>
    </row>
    <row r="14" spans="1:93">
      <c r="A14" s="129"/>
      <c r="B14" s="1992" t="s">
        <v>550</v>
      </c>
      <c r="C14" s="196">
        <f t="shared" si="0"/>
        <v>350.95826499999998</v>
      </c>
      <c r="D14" s="579"/>
      <c r="E14" s="364"/>
      <c r="F14" s="364">
        <v>6.7191510000000001</v>
      </c>
      <c r="G14" s="364"/>
      <c r="H14" s="364">
        <v>35.002727</v>
      </c>
      <c r="I14" s="364">
        <v>7</v>
      </c>
      <c r="J14" s="364">
        <v>55.872295999999999</v>
      </c>
      <c r="K14" s="364"/>
      <c r="L14" s="364">
        <v>15.487348000000001</v>
      </c>
      <c r="M14" s="364">
        <v>68.811378000000005</v>
      </c>
      <c r="N14" s="364">
        <v>7</v>
      </c>
      <c r="O14" s="676">
        <v>155.06536499999999</v>
      </c>
      <c r="P14" s="196">
        <f t="shared" si="1"/>
        <v>717.49905899999999</v>
      </c>
      <c r="Q14" s="579"/>
      <c r="R14" s="364"/>
      <c r="S14" s="364">
        <v>10.734545000000001</v>
      </c>
      <c r="T14" s="364">
        <v>74.34</v>
      </c>
      <c r="U14" s="364"/>
      <c r="V14" s="364">
        <v>1.61</v>
      </c>
      <c r="W14" s="364">
        <v>99.818066000000002</v>
      </c>
      <c r="X14" s="364"/>
      <c r="Y14" s="364"/>
      <c r="Z14" s="364">
        <v>265.49644799999999</v>
      </c>
      <c r="AA14" s="364"/>
      <c r="AB14" s="364">
        <v>265.5</v>
      </c>
      <c r="AC14" s="196">
        <f t="shared" si="2"/>
        <v>1563.7654539999999</v>
      </c>
      <c r="AD14" s="364"/>
      <c r="AE14" s="364"/>
      <c r="AF14" s="364">
        <v>504.39</v>
      </c>
      <c r="AG14" s="364">
        <v>1.395454</v>
      </c>
      <c r="AH14" s="364"/>
      <c r="AI14" s="364">
        <v>453.63</v>
      </c>
      <c r="AJ14" s="364"/>
      <c r="AK14" s="364"/>
      <c r="AL14" s="364">
        <v>604.35</v>
      </c>
      <c r="AM14" s="364"/>
      <c r="AN14" s="364"/>
      <c r="AO14" s="676"/>
      <c r="AP14" s="196">
        <f t="shared" si="3"/>
        <v>2292.4300000000003</v>
      </c>
      <c r="AQ14" s="364">
        <v>684.22</v>
      </c>
      <c r="AR14" s="364"/>
      <c r="AS14" s="364"/>
      <c r="AT14" s="364">
        <v>398.87</v>
      </c>
      <c r="AU14" s="364"/>
      <c r="AV14" s="364"/>
      <c r="AW14" s="364">
        <v>513.29</v>
      </c>
      <c r="AX14" s="364"/>
      <c r="AY14" s="364"/>
      <c r="AZ14" s="364">
        <v>696.05</v>
      </c>
      <c r="BA14" s="364"/>
      <c r="BB14" s="676"/>
      <c r="BC14" s="985">
        <f t="shared" si="4"/>
        <v>10690.5</v>
      </c>
      <c r="BD14" s="1977">
        <v>624.51</v>
      </c>
      <c r="BE14" s="1977">
        <v>338.07</v>
      </c>
      <c r="BF14" s="1977"/>
      <c r="BG14" s="1977">
        <v>700</v>
      </c>
      <c r="BH14" s="1977">
        <v>942.3</v>
      </c>
      <c r="BI14" s="1977"/>
      <c r="BJ14" s="1977">
        <v>720</v>
      </c>
      <c r="BK14" s="1977">
        <v>1039.07</v>
      </c>
      <c r="BL14" s="1977">
        <v>1250.27</v>
      </c>
      <c r="BM14" s="1977">
        <v>2500</v>
      </c>
      <c r="BN14" s="1977">
        <v>1376.2800000000002</v>
      </c>
      <c r="BO14" s="1978">
        <v>1200</v>
      </c>
      <c r="BP14" s="985">
        <f t="shared" si="5"/>
        <v>20070.265640000009</v>
      </c>
      <c r="BQ14" s="1977">
        <v>2578.13861</v>
      </c>
      <c r="BR14" s="1977">
        <v>3227.3266100000001</v>
      </c>
      <c r="BS14" s="1977">
        <v>1948.7819999999999</v>
      </c>
      <c r="BT14" s="1977">
        <v>2648.2004200000001</v>
      </c>
      <c r="BU14" s="1977">
        <v>1379.6</v>
      </c>
      <c r="BV14" s="1977">
        <v>2069.502</v>
      </c>
      <c r="BW14" s="1977">
        <v>2758.502</v>
      </c>
      <c r="BX14" s="1977">
        <v>689.83</v>
      </c>
      <c r="BY14" s="1977">
        <v>689.83</v>
      </c>
      <c r="BZ14" s="1977">
        <v>700.06</v>
      </c>
      <c r="CA14" s="1977">
        <v>690.66399999999999</v>
      </c>
      <c r="CB14" s="1978">
        <v>689.83</v>
      </c>
      <c r="CC14" s="985">
        <f t="shared" si="6"/>
        <v>9240</v>
      </c>
      <c r="CD14" s="2488">
        <v>750</v>
      </c>
      <c r="CE14" s="2488">
        <v>750</v>
      </c>
      <c r="CF14" s="2488">
        <v>750</v>
      </c>
      <c r="CG14" s="2488">
        <v>750</v>
      </c>
      <c r="CH14" s="2488">
        <v>750</v>
      </c>
      <c r="CI14" s="2488">
        <v>750</v>
      </c>
      <c r="CJ14" s="2488">
        <v>790</v>
      </c>
      <c r="CK14" s="2488">
        <v>790</v>
      </c>
      <c r="CL14" s="2488">
        <v>790</v>
      </c>
      <c r="CM14" s="2488">
        <v>790</v>
      </c>
      <c r="CN14" s="2488">
        <v>790</v>
      </c>
      <c r="CO14" s="2489">
        <v>790</v>
      </c>
    </row>
    <row r="15" spans="1:93">
      <c r="A15" s="129"/>
      <c r="B15" s="1992" t="s">
        <v>551</v>
      </c>
      <c r="C15" s="196">
        <f t="shared" si="0"/>
        <v>0</v>
      </c>
      <c r="D15" s="579"/>
      <c r="E15" s="364"/>
      <c r="F15" s="364"/>
      <c r="G15" s="364"/>
      <c r="H15" s="364"/>
      <c r="I15" s="364"/>
      <c r="J15" s="364"/>
      <c r="K15" s="364"/>
      <c r="L15" s="364"/>
      <c r="M15" s="364"/>
      <c r="N15" s="364"/>
      <c r="O15" s="676"/>
      <c r="P15" s="196">
        <f t="shared" si="1"/>
        <v>138.70000000000002</v>
      </c>
      <c r="Q15" s="579"/>
      <c r="R15" s="364"/>
      <c r="S15" s="364"/>
      <c r="T15" s="364">
        <v>13.87</v>
      </c>
      <c r="U15" s="364">
        <v>27.74</v>
      </c>
      <c r="V15" s="364">
        <v>13.87</v>
      </c>
      <c r="W15" s="364">
        <v>13.87</v>
      </c>
      <c r="X15" s="364">
        <v>13.87</v>
      </c>
      <c r="Y15" s="364">
        <v>13.87</v>
      </c>
      <c r="Z15" s="364"/>
      <c r="AA15" s="364">
        <v>13.87</v>
      </c>
      <c r="AB15" s="364">
        <v>27.74</v>
      </c>
      <c r="AC15" s="196">
        <f t="shared" si="2"/>
        <v>215.66000000000008</v>
      </c>
      <c r="AD15" s="364">
        <v>13.87</v>
      </c>
      <c r="AE15" s="364">
        <v>13.87</v>
      </c>
      <c r="AF15" s="364">
        <v>14.55</v>
      </c>
      <c r="AG15" s="364">
        <v>14.55</v>
      </c>
      <c r="AH15" s="364">
        <v>35.760000000000005</v>
      </c>
      <c r="AI15" s="364">
        <v>35.760000000000005</v>
      </c>
      <c r="AJ15" s="364">
        <v>14.55</v>
      </c>
      <c r="AK15" s="364">
        <v>14.55</v>
      </c>
      <c r="AL15" s="364">
        <v>14.55</v>
      </c>
      <c r="AM15" s="364">
        <v>14.55</v>
      </c>
      <c r="AN15" s="364">
        <v>14.55</v>
      </c>
      <c r="AO15" s="364">
        <v>14.55</v>
      </c>
      <c r="AP15" s="196">
        <f t="shared" si="3"/>
        <v>181.39999999999998</v>
      </c>
      <c r="AQ15" s="364">
        <v>14.55</v>
      </c>
      <c r="AR15" s="364">
        <v>14.55</v>
      </c>
      <c r="AS15" s="364">
        <v>15.23</v>
      </c>
      <c r="AT15" s="364">
        <v>15.23</v>
      </c>
      <c r="AU15" s="364">
        <v>15.23</v>
      </c>
      <c r="AV15" s="364">
        <v>15.23</v>
      </c>
      <c r="AW15" s="364"/>
      <c r="AX15" s="364">
        <v>30.46</v>
      </c>
      <c r="AY15" s="364">
        <v>15.23</v>
      </c>
      <c r="AZ15" s="364">
        <v>15.23</v>
      </c>
      <c r="BA15" s="364">
        <v>15.23</v>
      </c>
      <c r="BB15" s="364">
        <v>15.23</v>
      </c>
      <c r="BC15" s="985">
        <f t="shared" si="4"/>
        <v>256.44000000000005</v>
      </c>
      <c r="BD15" s="1977">
        <v>15.23</v>
      </c>
      <c r="BE15" s="1977">
        <v>15.23</v>
      </c>
      <c r="BF15" s="1977">
        <v>15.59</v>
      </c>
      <c r="BG15" s="1977">
        <v>15.59</v>
      </c>
      <c r="BH15" s="1977">
        <v>15.59</v>
      </c>
      <c r="BI15" s="1977">
        <v>15.59</v>
      </c>
      <c r="BJ15" s="1977">
        <v>33.11</v>
      </c>
      <c r="BK15" s="1977">
        <v>33.11</v>
      </c>
      <c r="BL15" s="1977">
        <v>33.11</v>
      </c>
      <c r="BM15" s="1977">
        <v>33.11</v>
      </c>
      <c r="BN15" s="1977">
        <v>15.59</v>
      </c>
      <c r="BO15" s="1978">
        <v>15.59</v>
      </c>
      <c r="BP15" s="985">
        <f t="shared" si="5"/>
        <v>194.67999999999998</v>
      </c>
      <c r="BQ15" s="1977">
        <v>15.59</v>
      </c>
      <c r="BR15" s="1977">
        <v>15.59</v>
      </c>
      <c r="BS15" s="1977">
        <v>16.350000000000001</v>
      </c>
      <c r="BT15" s="1977">
        <v>16.350000000000001</v>
      </c>
      <c r="BU15" s="1977">
        <v>16.350000000000001</v>
      </c>
      <c r="BV15" s="1977">
        <v>16.350000000000001</v>
      </c>
      <c r="BW15" s="1977">
        <v>16.350000000000001</v>
      </c>
      <c r="BX15" s="1977"/>
      <c r="BY15" s="1977">
        <v>32.700000000000003</v>
      </c>
      <c r="BZ15" s="1977">
        <v>16.350000000000001</v>
      </c>
      <c r="CA15" s="1977">
        <v>16.350000000000001</v>
      </c>
      <c r="CB15" s="1978">
        <v>16.350000000000001</v>
      </c>
      <c r="CC15" s="985">
        <f t="shared" si="6"/>
        <v>202</v>
      </c>
      <c r="CD15" s="2488">
        <v>16</v>
      </c>
      <c r="CE15" s="2488">
        <v>16</v>
      </c>
      <c r="CF15" s="2488">
        <v>17</v>
      </c>
      <c r="CG15" s="2488">
        <v>17</v>
      </c>
      <c r="CH15" s="2488">
        <v>17</v>
      </c>
      <c r="CI15" s="2488">
        <v>17</v>
      </c>
      <c r="CJ15" s="2488">
        <v>17</v>
      </c>
      <c r="CK15" s="2488">
        <v>17</v>
      </c>
      <c r="CL15" s="2488">
        <v>17</v>
      </c>
      <c r="CM15" s="2488">
        <v>17</v>
      </c>
      <c r="CN15" s="2488">
        <v>17</v>
      </c>
      <c r="CO15" s="2489">
        <v>17</v>
      </c>
    </row>
    <row r="16" spans="1:93" ht="16.5" customHeight="1">
      <c r="A16" s="129"/>
      <c r="B16" s="1443" t="s">
        <v>477</v>
      </c>
      <c r="C16" s="196">
        <f t="shared" si="0"/>
        <v>0</v>
      </c>
      <c r="D16" s="579"/>
      <c r="E16" s="364"/>
      <c r="F16" s="364"/>
      <c r="G16" s="364"/>
      <c r="H16" s="364"/>
      <c r="I16" s="364"/>
      <c r="J16" s="364"/>
      <c r="K16" s="364"/>
      <c r="L16" s="364"/>
      <c r="M16" s="364"/>
      <c r="N16" s="364"/>
      <c r="O16" s="676"/>
      <c r="P16" s="196">
        <f t="shared" si="1"/>
        <v>256.78750000000002</v>
      </c>
      <c r="Q16" s="579"/>
      <c r="R16" s="364"/>
      <c r="S16" s="364"/>
      <c r="T16" s="364">
        <v>32.18</v>
      </c>
      <c r="U16" s="364">
        <v>32.18</v>
      </c>
      <c r="V16" s="364">
        <v>32.18</v>
      </c>
      <c r="W16" s="364">
        <v>31.375499999999999</v>
      </c>
      <c r="X16" s="364">
        <v>31.375499999999999</v>
      </c>
      <c r="Y16" s="364">
        <v>25.09</v>
      </c>
      <c r="Z16" s="364">
        <v>25.09</v>
      </c>
      <c r="AA16" s="364">
        <v>23.481000000000002</v>
      </c>
      <c r="AB16" s="364">
        <v>23.8355</v>
      </c>
      <c r="AC16" s="196">
        <f t="shared" si="2"/>
        <v>23.8355</v>
      </c>
      <c r="AD16" s="364">
        <v>23.8355</v>
      </c>
      <c r="AE16" s="364"/>
      <c r="AF16" s="364"/>
      <c r="AG16" s="364"/>
      <c r="AH16" s="364"/>
      <c r="AI16" s="364"/>
      <c r="AJ16" s="364"/>
      <c r="AK16" s="364"/>
      <c r="AL16" s="364"/>
      <c r="AM16" s="364"/>
      <c r="AN16" s="364"/>
      <c r="AO16" s="676"/>
      <c r="AP16" s="196">
        <f t="shared" si="3"/>
        <v>0</v>
      </c>
      <c r="AQ16" s="364"/>
      <c r="AR16" s="364"/>
      <c r="AS16" s="364"/>
      <c r="AT16" s="364"/>
      <c r="AU16" s="364"/>
      <c r="AV16" s="364"/>
      <c r="AW16" s="364"/>
      <c r="AX16" s="364"/>
      <c r="AY16" s="364"/>
      <c r="AZ16" s="364"/>
      <c r="BA16" s="364"/>
      <c r="BB16" s="364"/>
      <c r="BC16" s="985">
        <f t="shared" si="4"/>
        <v>0</v>
      </c>
      <c r="BD16" s="1977"/>
      <c r="BE16" s="1977"/>
      <c r="BF16" s="1977"/>
      <c r="BG16" s="1977"/>
      <c r="BH16" s="1977"/>
      <c r="BI16" s="1977"/>
      <c r="BJ16" s="1977"/>
      <c r="BK16" s="1977"/>
      <c r="BL16" s="1977"/>
      <c r="BM16" s="1977"/>
      <c r="BN16" s="1977"/>
      <c r="BO16" s="1978"/>
      <c r="BP16" s="985">
        <f t="shared" si="5"/>
        <v>0</v>
      </c>
      <c r="BQ16" s="1977">
        <v>0</v>
      </c>
      <c r="BR16" s="1977"/>
      <c r="BS16" s="1977"/>
      <c r="BT16" s="1977"/>
      <c r="BU16" s="1977"/>
      <c r="BV16" s="1977"/>
      <c r="BW16" s="1977"/>
      <c r="BX16" s="1977"/>
      <c r="BY16" s="1977"/>
      <c r="BZ16" s="1977"/>
      <c r="CA16" s="1977"/>
      <c r="CB16" s="1978"/>
      <c r="CC16" s="985">
        <f t="shared" si="6"/>
        <v>0</v>
      </c>
      <c r="CD16" s="2488"/>
      <c r="CE16" s="2488"/>
      <c r="CF16" s="2488"/>
      <c r="CG16" s="2488"/>
      <c r="CH16" s="2488"/>
      <c r="CI16" s="2488"/>
      <c r="CJ16" s="2488"/>
      <c r="CK16" s="2488"/>
      <c r="CL16" s="2488"/>
      <c r="CM16" s="2488"/>
      <c r="CN16" s="2488"/>
      <c r="CO16" s="2489"/>
    </row>
    <row r="17" spans="1:93" ht="16.5" customHeight="1">
      <c r="A17" s="129"/>
      <c r="B17" s="1443" t="s">
        <v>501</v>
      </c>
      <c r="C17" s="196"/>
      <c r="D17" s="579"/>
      <c r="E17" s="364"/>
      <c r="F17" s="364"/>
      <c r="G17" s="364"/>
      <c r="H17" s="364"/>
      <c r="I17" s="364"/>
      <c r="J17" s="364"/>
      <c r="K17" s="364"/>
      <c r="L17" s="364"/>
      <c r="M17" s="364"/>
      <c r="N17" s="364"/>
      <c r="O17" s="676"/>
      <c r="P17" s="196">
        <f t="shared" si="1"/>
        <v>21.890999999999998</v>
      </c>
      <c r="Q17" s="579"/>
      <c r="R17" s="364"/>
      <c r="S17" s="364"/>
      <c r="T17" s="364"/>
      <c r="U17" s="364"/>
      <c r="V17" s="364">
        <v>0.87399999999999989</v>
      </c>
      <c r="W17" s="364">
        <v>2.2269999999999994</v>
      </c>
      <c r="X17" s="364">
        <v>3.9780000000000002</v>
      </c>
      <c r="Y17" s="364">
        <v>4.5940000000000003</v>
      </c>
      <c r="Z17" s="364">
        <v>4.46</v>
      </c>
      <c r="AA17" s="364">
        <v>2.7165000000000004</v>
      </c>
      <c r="AB17" s="364">
        <v>3.0414999999999996</v>
      </c>
      <c r="AC17" s="196">
        <f t="shared" si="2"/>
        <v>190.85617499999998</v>
      </c>
      <c r="AD17" s="364">
        <v>5.2914999999999992</v>
      </c>
      <c r="AE17" s="364">
        <v>5.9110000000000014</v>
      </c>
      <c r="AF17" s="364">
        <v>4.899</v>
      </c>
      <c r="AG17" s="364">
        <v>4.3839999999999995</v>
      </c>
      <c r="AH17" s="364">
        <v>5.7259999999999991</v>
      </c>
      <c r="AI17" s="364">
        <v>5.3194999999999997</v>
      </c>
      <c r="AJ17" s="364">
        <v>51.941175000000001</v>
      </c>
      <c r="AK17" s="364">
        <v>69.938000000000002</v>
      </c>
      <c r="AL17" s="364">
        <v>4.6710000000000003</v>
      </c>
      <c r="AM17" s="364">
        <v>5.3639999999999999</v>
      </c>
      <c r="AN17" s="364">
        <v>20</v>
      </c>
      <c r="AO17" s="791">
        <v>7.4109999999999996</v>
      </c>
      <c r="AP17" s="196">
        <f t="shared" si="3"/>
        <v>309.99930000000001</v>
      </c>
      <c r="AQ17" s="364">
        <v>12.045</v>
      </c>
      <c r="AR17" s="364">
        <v>13.835000000000001</v>
      </c>
      <c r="AS17" s="364">
        <v>13.675000000000001</v>
      </c>
      <c r="AT17" s="364">
        <v>9.8469999999999995</v>
      </c>
      <c r="AU17" s="364">
        <v>18.262</v>
      </c>
      <c r="AV17" s="364">
        <v>17.089500000000001</v>
      </c>
      <c r="AW17" s="364">
        <v>30.833500000000001</v>
      </c>
      <c r="AX17" s="364">
        <v>48.725999999999999</v>
      </c>
      <c r="AY17" s="364">
        <v>30.1205</v>
      </c>
      <c r="AZ17" s="364">
        <v>31.211500000000001</v>
      </c>
      <c r="BA17" s="364">
        <v>35.502450000000003</v>
      </c>
      <c r="BB17" s="676">
        <v>48.851849999999999</v>
      </c>
      <c r="BC17" s="985">
        <f t="shared" si="4"/>
        <v>1011.58325</v>
      </c>
      <c r="BD17" s="1977">
        <v>67.95335</v>
      </c>
      <c r="BE17" s="1977">
        <v>92.786500000000004</v>
      </c>
      <c r="BF17" s="1977">
        <v>70.472200000000001</v>
      </c>
      <c r="BG17" s="1977">
        <v>73.219350000000006</v>
      </c>
      <c r="BH17" s="1977">
        <v>56.3202</v>
      </c>
      <c r="BI17" s="1977">
        <v>61.966450000000002</v>
      </c>
      <c r="BJ17" s="1977">
        <v>50.904449999999997</v>
      </c>
      <c r="BK17" s="1977">
        <v>89.912000000000006</v>
      </c>
      <c r="BL17" s="1977">
        <v>101.45285</v>
      </c>
      <c r="BM17" s="1977">
        <v>113.79300000000001</v>
      </c>
      <c r="BN17" s="1977">
        <v>106.9919</v>
      </c>
      <c r="BO17" s="1978">
        <v>125.81100000000001</v>
      </c>
      <c r="BP17" s="985">
        <f t="shared" si="5"/>
        <v>1600.7258999999999</v>
      </c>
      <c r="BQ17" s="1977">
        <v>92.446449999999999</v>
      </c>
      <c r="BR17" s="1977"/>
      <c r="BS17" s="1977">
        <v>113.32899999999999</v>
      </c>
      <c r="BT17" s="1977">
        <v>128.60894999999999</v>
      </c>
      <c r="BU17" s="1977">
        <v>172.89085</v>
      </c>
      <c r="BV17" s="1977">
        <v>183.97329999999999</v>
      </c>
      <c r="BW17" s="1977">
        <v>101.65795</v>
      </c>
      <c r="BX17" s="1977">
        <v>237.3038</v>
      </c>
      <c r="BY17" s="1977">
        <v>134.84739999999999</v>
      </c>
      <c r="BZ17" s="1977">
        <v>159.20875000000001</v>
      </c>
      <c r="CA17" s="1977">
        <v>136.86750000000001</v>
      </c>
      <c r="CB17" s="1978">
        <v>139.59195</v>
      </c>
      <c r="CC17" s="985">
        <f t="shared" si="6"/>
        <v>1680</v>
      </c>
      <c r="CD17" s="2488">
        <v>140</v>
      </c>
      <c r="CE17" s="2488">
        <v>140</v>
      </c>
      <c r="CF17" s="2488">
        <v>140</v>
      </c>
      <c r="CG17" s="2488">
        <v>140</v>
      </c>
      <c r="CH17" s="2488">
        <v>140</v>
      </c>
      <c r="CI17" s="2488">
        <v>140</v>
      </c>
      <c r="CJ17" s="2488">
        <v>140</v>
      </c>
      <c r="CK17" s="2488">
        <v>140</v>
      </c>
      <c r="CL17" s="2488">
        <v>140</v>
      </c>
      <c r="CM17" s="2488">
        <v>140</v>
      </c>
      <c r="CN17" s="2488">
        <v>140</v>
      </c>
      <c r="CO17" s="2489">
        <v>140</v>
      </c>
    </row>
    <row r="18" spans="1:93" ht="16.5" customHeight="1">
      <c r="A18" s="129"/>
      <c r="B18" s="1443" t="s">
        <v>502</v>
      </c>
      <c r="C18" s="196"/>
      <c r="D18" s="579"/>
      <c r="E18" s="364"/>
      <c r="F18" s="364"/>
      <c r="G18" s="364"/>
      <c r="H18" s="364"/>
      <c r="I18" s="364"/>
      <c r="J18" s="364"/>
      <c r="K18" s="364"/>
      <c r="L18" s="364"/>
      <c r="M18" s="364"/>
      <c r="N18" s="364"/>
      <c r="O18" s="676"/>
      <c r="P18" s="196"/>
      <c r="Q18" s="579"/>
      <c r="R18" s="364"/>
      <c r="S18" s="364"/>
      <c r="T18" s="364"/>
      <c r="U18" s="364"/>
      <c r="V18" s="364"/>
      <c r="W18" s="364"/>
      <c r="X18" s="364"/>
      <c r="Y18" s="364"/>
      <c r="Z18" s="364"/>
      <c r="AA18" s="364"/>
      <c r="AB18" s="364"/>
      <c r="AC18" s="196">
        <f t="shared" si="2"/>
        <v>354.91687999999999</v>
      </c>
      <c r="AD18" s="364"/>
      <c r="AE18" s="364"/>
      <c r="AF18" s="364"/>
      <c r="AG18" s="364"/>
      <c r="AH18" s="364"/>
      <c r="AI18" s="364"/>
      <c r="AJ18" s="364"/>
      <c r="AK18" s="364">
        <v>112.97</v>
      </c>
      <c r="AL18" s="364">
        <v>64.463999999999999</v>
      </c>
      <c r="AM18" s="364">
        <v>55.613280000000003</v>
      </c>
      <c r="AN18" s="364">
        <v>62.9544</v>
      </c>
      <c r="AO18" s="676">
        <v>58.915199999999999</v>
      </c>
      <c r="AP18" s="196">
        <f t="shared" si="3"/>
        <v>867.2124</v>
      </c>
      <c r="AQ18" s="364">
        <v>43.998649999999998</v>
      </c>
      <c r="AR18" s="364">
        <v>71.649000000000001</v>
      </c>
      <c r="AS18" s="364">
        <v>80.103499999999997</v>
      </c>
      <c r="AT18" s="364">
        <v>64.507649999999998</v>
      </c>
      <c r="AU18" s="364">
        <v>74.931449999999998</v>
      </c>
      <c r="AV18" s="364">
        <v>85.745000000000005</v>
      </c>
      <c r="AW18" s="364">
        <v>87.765050000000002</v>
      </c>
      <c r="AX18" s="364">
        <v>77.639499999999998</v>
      </c>
      <c r="AY18" s="364">
        <v>73.768569999999997</v>
      </c>
      <c r="AZ18" s="364">
        <v>63.177759999999999</v>
      </c>
      <c r="BA18" s="364">
        <v>68.039619999999999</v>
      </c>
      <c r="BB18" s="676">
        <v>75.886650000000003</v>
      </c>
      <c r="BC18" s="985">
        <f t="shared" si="4"/>
        <v>922.93987000000004</v>
      </c>
      <c r="BD18" s="1977">
        <v>70.704359999999994</v>
      </c>
      <c r="BE18" s="1977">
        <v>92.454250000000002</v>
      </c>
      <c r="BF18" s="1977">
        <v>76.844269999999995</v>
      </c>
      <c r="BG18" s="1977">
        <v>91.773939999999996</v>
      </c>
      <c r="BH18" s="1977">
        <v>92.843919999999997</v>
      </c>
      <c r="BI18" s="1977">
        <v>89.079170000000005</v>
      </c>
      <c r="BJ18" s="1977">
        <v>69.453469999999996</v>
      </c>
      <c r="BK18" s="1977">
        <v>75.713930000000005</v>
      </c>
      <c r="BL18" s="1977">
        <v>70.600819999999999</v>
      </c>
      <c r="BM18" s="1977">
        <v>67.549469999999999</v>
      </c>
      <c r="BN18" s="1977">
        <v>63.573309999999999</v>
      </c>
      <c r="BO18" s="1978">
        <v>62.348959999999998</v>
      </c>
      <c r="BP18" s="985">
        <f t="shared" si="5"/>
        <v>1046.4233500000003</v>
      </c>
      <c r="BQ18" s="1977">
        <v>84.555030000000002</v>
      </c>
      <c r="BR18" s="1977">
        <v>178.53179</v>
      </c>
      <c r="BS18" s="1977">
        <v>71.607550000000003</v>
      </c>
      <c r="BT18" s="1977">
        <v>70.728560000000002</v>
      </c>
      <c r="BU18" s="1977">
        <v>143.44801000000001</v>
      </c>
      <c r="BV18" s="1977">
        <v>107.99178000000001</v>
      </c>
      <c r="BW18" s="1977">
        <v>72.809629999999999</v>
      </c>
      <c r="BX18" s="1977">
        <v>64.983149999999995</v>
      </c>
      <c r="BY18" s="1977">
        <v>69.080399999999997</v>
      </c>
      <c r="BZ18" s="1977">
        <v>61.187759999999997</v>
      </c>
      <c r="CA18" s="1977">
        <v>61.42371</v>
      </c>
      <c r="CB18" s="1978">
        <v>60.075980000000001</v>
      </c>
      <c r="CC18" s="985">
        <f t="shared" si="6"/>
        <v>1200</v>
      </c>
      <c r="CD18" s="2488">
        <v>100</v>
      </c>
      <c r="CE18" s="2488">
        <v>100</v>
      </c>
      <c r="CF18" s="2488">
        <v>100</v>
      </c>
      <c r="CG18" s="2488">
        <v>100</v>
      </c>
      <c r="CH18" s="2488">
        <v>100</v>
      </c>
      <c r="CI18" s="2488">
        <v>100</v>
      </c>
      <c r="CJ18" s="2488">
        <v>100</v>
      </c>
      <c r="CK18" s="2488">
        <v>100</v>
      </c>
      <c r="CL18" s="2488">
        <v>100</v>
      </c>
      <c r="CM18" s="2488">
        <v>100</v>
      </c>
      <c r="CN18" s="2488">
        <v>100</v>
      </c>
      <c r="CO18" s="2489">
        <v>100</v>
      </c>
    </row>
    <row r="19" spans="1:93" ht="16.5" customHeight="1">
      <c r="A19" s="129"/>
      <c r="B19" s="1443" t="s">
        <v>407</v>
      </c>
      <c r="C19" s="196"/>
      <c r="D19" s="579"/>
      <c r="E19" s="364"/>
      <c r="F19" s="364"/>
      <c r="G19" s="364"/>
      <c r="H19" s="364"/>
      <c r="I19" s="364"/>
      <c r="J19" s="364"/>
      <c r="K19" s="364"/>
      <c r="L19" s="364"/>
      <c r="M19" s="364"/>
      <c r="N19" s="364"/>
      <c r="O19" s="676"/>
      <c r="P19" s="196"/>
      <c r="Q19" s="579"/>
      <c r="R19" s="364"/>
      <c r="S19" s="364"/>
      <c r="T19" s="364"/>
      <c r="U19" s="364"/>
      <c r="V19" s="364"/>
      <c r="W19" s="364"/>
      <c r="X19" s="364"/>
      <c r="Y19" s="364"/>
      <c r="Z19" s="364"/>
      <c r="AA19" s="364"/>
      <c r="AB19" s="364"/>
      <c r="AC19" s="196">
        <f t="shared" si="2"/>
        <v>23.599999</v>
      </c>
      <c r="AD19" s="364"/>
      <c r="AE19" s="364"/>
      <c r="AF19" s="364">
        <v>8.7454540000000005</v>
      </c>
      <c r="AG19" s="364"/>
      <c r="AH19" s="364"/>
      <c r="AI19" s="364"/>
      <c r="AJ19" s="364"/>
      <c r="AK19" s="364"/>
      <c r="AL19" s="364">
        <v>5.5818180000000002</v>
      </c>
      <c r="AM19" s="364">
        <v>9.2727269999999997</v>
      </c>
      <c r="AN19" s="364"/>
      <c r="AO19" s="676"/>
      <c r="AP19" s="196">
        <f t="shared" si="3"/>
        <v>0</v>
      </c>
      <c r="AQ19" s="364"/>
      <c r="AR19" s="364"/>
      <c r="AS19" s="364"/>
      <c r="AT19" s="364"/>
      <c r="AU19" s="364"/>
      <c r="AV19" s="364"/>
      <c r="AW19" s="364"/>
      <c r="AX19" s="364"/>
      <c r="AY19" s="364"/>
      <c r="AZ19" s="364"/>
      <c r="BA19" s="364"/>
      <c r="BB19" s="364"/>
      <c r="BC19" s="985">
        <f t="shared" si="4"/>
        <v>0</v>
      </c>
      <c r="BD19" s="1977"/>
      <c r="BE19" s="1977"/>
      <c r="BF19" s="1977"/>
      <c r="BG19" s="1977"/>
      <c r="BH19" s="1977"/>
      <c r="BI19" s="1977"/>
      <c r="BJ19" s="1977"/>
      <c r="BK19" s="1977"/>
      <c r="BL19" s="1977"/>
      <c r="BM19" s="1977"/>
      <c r="BN19" s="1977"/>
      <c r="BO19" s="1978"/>
      <c r="BP19" s="985">
        <f t="shared" si="5"/>
        <v>0</v>
      </c>
      <c r="BQ19" s="1977"/>
      <c r="BR19" s="1977"/>
      <c r="BS19" s="1977"/>
      <c r="BT19" s="1977"/>
      <c r="BU19" s="1977"/>
      <c r="BV19" s="1977"/>
      <c r="BW19" s="1977"/>
      <c r="BX19" s="1977"/>
      <c r="BY19" s="1977"/>
      <c r="BZ19" s="1977"/>
      <c r="CA19" s="1977"/>
      <c r="CB19" s="1978"/>
      <c r="CC19" s="985">
        <f t="shared" si="6"/>
        <v>0</v>
      </c>
      <c r="CD19" s="2488"/>
      <c r="CE19" s="2488"/>
      <c r="CF19" s="2488"/>
      <c r="CG19" s="2488"/>
      <c r="CH19" s="2488"/>
      <c r="CI19" s="2488"/>
      <c r="CJ19" s="2488"/>
      <c r="CK19" s="2488"/>
      <c r="CL19" s="2488"/>
      <c r="CM19" s="2488"/>
      <c r="CN19" s="2488"/>
      <c r="CO19" s="2489"/>
    </row>
    <row r="20" spans="1:93" ht="16.5" customHeight="1">
      <c r="A20" s="129"/>
      <c r="B20" s="1443" t="s">
        <v>387</v>
      </c>
      <c r="C20" s="196">
        <f t="shared" si="0"/>
        <v>34.289000000000001</v>
      </c>
      <c r="D20" s="579">
        <v>2.431</v>
      </c>
      <c r="E20" s="364">
        <v>1.397</v>
      </c>
      <c r="F20" s="364">
        <v>1.304</v>
      </c>
      <c r="G20" s="364">
        <v>1.228</v>
      </c>
      <c r="H20" s="364">
        <v>0.999</v>
      </c>
      <c r="I20" s="364">
        <v>2.1059999999999999</v>
      </c>
      <c r="J20" s="364">
        <v>1.272</v>
      </c>
      <c r="K20" s="364">
        <v>1.5409999999999999</v>
      </c>
      <c r="L20" s="364">
        <v>1.244</v>
      </c>
      <c r="M20" s="364">
        <v>1.3360000000000001</v>
      </c>
      <c r="N20" s="364">
        <v>1.216</v>
      </c>
      <c r="O20" s="676">
        <v>18.215</v>
      </c>
      <c r="P20" s="196">
        <f t="shared" si="1"/>
        <v>7.5679999999999996</v>
      </c>
      <c r="Q20" s="579">
        <v>1.4370000000000001</v>
      </c>
      <c r="R20" s="364">
        <v>0.25700000000000001</v>
      </c>
      <c r="S20" s="364"/>
      <c r="T20" s="364">
        <v>1.4810000000000001</v>
      </c>
      <c r="U20" s="364">
        <v>0.80700000000000005</v>
      </c>
      <c r="V20" s="364"/>
      <c r="W20" s="364">
        <v>2.0510000000000002</v>
      </c>
      <c r="X20" s="364"/>
      <c r="Y20" s="364"/>
      <c r="Z20" s="364"/>
      <c r="AA20" s="364">
        <v>1.5350000000000001</v>
      </c>
      <c r="AB20" s="364"/>
      <c r="AC20" s="196">
        <f t="shared" si="2"/>
        <v>2.109</v>
      </c>
      <c r="AD20" s="364">
        <v>0.14699999999999999</v>
      </c>
      <c r="AE20" s="364"/>
      <c r="AF20" s="364">
        <v>0.86799999999999999</v>
      </c>
      <c r="AG20" s="364">
        <v>0.70399999999999996</v>
      </c>
      <c r="AH20" s="364"/>
      <c r="AI20" s="364">
        <v>0.17899999999999999</v>
      </c>
      <c r="AJ20" s="364">
        <v>0.21099999999999999</v>
      </c>
      <c r="AK20" s="364"/>
      <c r="AL20" s="364"/>
      <c r="AM20" s="364"/>
      <c r="AN20" s="364"/>
      <c r="AO20" s="676"/>
      <c r="AP20" s="196">
        <f t="shared" si="3"/>
        <v>0</v>
      </c>
      <c r="AQ20" s="364"/>
      <c r="AR20" s="364"/>
      <c r="AS20" s="364"/>
      <c r="AT20" s="364"/>
      <c r="AU20" s="364"/>
      <c r="AV20" s="1586"/>
      <c r="AW20" s="364"/>
      <c r="AX20" s="364"/>
      <c r="AY20" s="364"/>
      <c r="AZ20" s="364"/>
      <c r="BA20" s="364"/>
      <c r="BB20" s="364"/>
      <c r="BC20" s="985">
        <f t="shared" si="4"/>
        <v>0</v>
      </c>
      <c r="BD20" s="1977"/>
      <c r="BE20" s="1977"/>
      <c r="BF20" s="1977"/>
      <c r="BG20" s="1977"/>
      <c r="BH20" s="1977"/>
      <c r="BI20" s="1977"/>
      <c r="BJ20" s="1977"/>
      <c r="BK20" s="1977"/>
      <c r="BL20" s="1977"/>
      <c r="BM20" s="1977"/>
      <c r="BN20" s="1977"/>
      <c r="BO20" s="1978"/>
      <c r="BP20" s="985">
        <f t="shared" si="5"/>
        <v>0</v>
      </c>
      <c r="BQ20" s="1977"/>
      <c r="BR20" s="1977"/>
      <c r="BS20" s="1977"/>
      <c r="BT20" s="1977"/>
      <c r="BU20" s="1977"/>
      <c r="BV20" s="1977"/>
      <c r="BW20" s="1977"/>
      <c r="BX20" s="1977"/>
      <c r="BY20" s="1977"/>
      <c r="BZ20" s="1977"/>
      <c r="CA20" s="1977"/>
      <c r="CB20" s="1978"/>
      <c r="CC20" s="985">
        <f t="shared" si="6"/>
        <v>0</v>
      </c>
      <c r="CD20" s="2488"/>
      <c r="CE20" s="2488"/>
      <c r="CF20" s="2488"/>
      <c r="CG20" s="2488"/>
      <c r="CH20" s="2488"/>
      <c r="CI20" s="2488"/>
      <c r="CJ20" s="2488"/>
      <c r="CK20" s="2488"/>
      <c r="CL20" s="2488"/>
      <c r="CM20" s="2488"/>
      <c r="CN20" s="2488"/>
      <c r="CO20" s="2489"/>
    </row>
    <row r="21" spans="1:93" ht="16.5" customHeight="1">
      <c r="A21" s="129"/>
      <c r="B21" s="1443" t="s">
        <v>552</v>
      </c>
      <c r="C21" s="196"/>
      <c r="D21" s="579"/>
      <c r="E21" s="364"/>
      <c r="F21" s="364">
        <v>32.741999999999997</v>
      </c>
      <c r="G21" s="364"/>
      <c r="H21" s="364"/>
      <c r="I21" s="364">
        <v>32.465000000000003</v>
      </c>
      <c r="J21" s="364"/>
      <c r="K21" s="364"/>
      <c r="L21" s="364">
        <v>51.189</v>
      </c>
      <c r="M21" s="364"/>
      <c r="N21" s="364"/>
      <c r="O21" s="676">
        <v>45.847999999999999</v>
      </c>
      <c r="P21" s="196">
        <f t="shared" si="1"/>
        <v>217.35599999999999</v>
      </c>
      <c r="Q21" s="579"/>
      <c r="R21" s="364"/>
      <c r="S21" s="364"/>
      <c r="T21" s="364">
        <v>69.715000000000003</v>
      </c>
      <c r="U21" s="364"/>
      <c r="V21" s="364"/>
      <c r="W21" s="364">
        <v>62.375999999999998</v>
      </c>
      <c r="X21" s="364"/>
      <c r="Y21" s="364"/>
      <c r="Z21" s="364"/>
      <c r="AA21" s="364">
        <v>85.265000000000001</v>
      </c>
      <c r="AB21" s="364"/>
      <c r="AC21" s="196">
        <f t="shared" si="2"/>
        <v>316.11</v>
      </c>
      <c r="AD21" s="364">
        <v>53.16</v>
      </c>
      <c r="AE21" s="364"/>
      <c r="AF21" s="364"/>
      <c r="AG21" s="364">
        <v>65.168000000000006</v>
      </c>
      <c r="AH21" s="364"/>
      <c r="AI21" s="364">
        <v>17.815000000000001</v>
      </c>
      <c r="AJ21" s="364">
        <v>45.624000000000002</v>
      </c>
      <c r="AK21" s="364"/>
      <c r="AL21" s="364">
        <v>66.256</v>
      </c>
      <c r="AM21" s="364"/>
      <c r="AN21" s="364"/>
      <c r="AO21" s="676">
        <v>68.087000000000003</v>
      </c>
      <c r="AP21" s="196">
        <f t="shared" si="3"/>
        <v>277.54399999999998</v>
      </c>
      <c r="AQ21" s="364"/>
      <c r="AR21" s="364"/>
      <c r="AS21" s="364">
        <v>78.736000000000004</v>
      </c>
      <c r="AT21" s="364"/>
      <c r="AU21" s="364"/>
      <c r="AV21" s="364">
        <v>67.728999999999999</v>
      </c>
      <c r="AW21" s="364"/>
      <c r="AX21" s="364"/>
      <c r="AY21" s="364">
        <v>70.881</v>
      </c>
      <c r="AZ21" s="1586"/>
      <c r="BA21" s="364"/>
      <c r="BB21" s="676">
        <v>60.198</v>
      </c>
      <c r="BC21" s="985">
        <f t="shared" si="4"/>
        <v>53.235999999999997</v>
      </c>
      <c r="BD21" s="1977"/>
      <c r="BE21" s="1977"/>
      <c r="BF21" s="1977">
        <v>53.235999999999997</v>
      </c>
      <c r="BG21" s="1977"/>
      <c r="BH21" s="1977"/>
      <c r="BI21" s="1977"/>
      <c r="BJ21" s="1977"/>
      <c r="BK21" s="1977"/>
      <c r="BL21" s="1977"/>
      <c r="BM21" s="1977"/>
      <c r="BN21" s="1977"/>
      <c r="BO21" s="1978"/>
      <c r="BP21" s="985">
        <f t="shared" si="5"/>
        <v>0</v>
      </c>
      <c r="BQ21" s="1977"/>
      <c r="BR21" s="1977"/>
      <c r="BS21" s="1977"/>
      <c r="BT21" s="1977"/>
      <c r="BU21" s="1977"/>
      <c r="BV21" s="1977"/>
      <c r="BW21" s="1977"/>
      <c r="BX21" s="1977"/>
      <c r="BY21" s="1977"/>
      <c r="BZ21" s="1977"/>
      <c r="CA21" s="1977"/>
      <c r="CB21" s="1978"/>
      <c r="CC21" s="985">
        <f t="shared" si="6"/>
        <v>0</v>
      </c>
      <c r="CD21" s="2488"/>
      <c r="CE21" s="2488"/>
      <c r="CF21" s="2488"/>
      <c r="CG21" s="2488"/>
      <c r="CH21" s="2488"/>
      <c r="CI21" s="2488"/>
      <c r="CJ21" s="2488"/>
      <c r="CK21" s="2488"/>
      <c r="CL21" s="2488"/>
      <c r="CM21" s="2488"/>
      <c r="CN21" s="2488"/>
      <c r="CO21" s="2489"/>
    </row>
    <row r="22" spans="1:93" ht="16.5" customHeight="1">
      <c r="A22" s="129"/>
      <c r="B22" s="1443" t="s">
        <v>339</v>
      </c>
      <c r="C22" s="196">
        <f t="shared" si="0"/>
        <v>30204</v>
      </c>
      <c r="D22" s="579">
        <v>2467</v>
      </c>
      <c r="E22" s="364">
        <v>2467</v>
      </c>
      <c r="F22" s="364">
        <v>2467</v>
      </c>
      <c r="G22" s="364">
        <f t="shared" ref="G22" si="7">F22</f>
        <v>2467</v>
      </c>
      <c r="H22" s="364">
        <v>2717</v>
      </c>
      <c r="I22" s="364">
        <v>2517</v>
      </c>
      <c r="J22" s="364">
        <v>2517</v>
      </c>
      <c r="K22" s="364">
        <v>2517</v>
      </c>
      <c r="L22" s="364">
        <v>2517</v>
      </c>
      <c r="M22" s="364">
        <v>2517</v>
      </c>
      <c r="N22" s="364">
        <v>2517</v>
      </c>
      <c r="O22" s="364">
        <f t="shared" ref="O22" si="8">N22</f>
        <v>2517</v>
      </c>
      <c r="P22" s="196">
        <f t="shared" ref="P22" si="9">SUM(Q22:AB22)</f>
        <v>30204</v>
      </c>
      <c r="Q22" s="579">
        <v>2517</v>
      </c>
      <c r="R22" s="364">
        <v>2517</v>
      </c>
      <c r="S22" s="364">
        <v>2517</v>
      </c>
      <c r="T22" s="364">
        <v>2517</v>
      </c>
      <c r="U22" s="364">
        <v>2517</v>
      </c>
      <c r="V22" s="364">
        <v>2517</v>
      </c>
      <c r="W22" s="364">
        <v>2517</v>
      </c>
      <c r="X22" s="364">
        <v>2517</v>
      </c>
      <c r="Y22" s="364">
        <v>2517</v>
      </c>
      <c r="Z22" s="364">
        <v>2517</v>
      </c>
      <c r="AA22" s="364">
        <v>2517</v>
      </c>
      <c r="AB22" s="364">
        <v>2517</v>
      </c>
      <c r="AC22" s="196">
        <f t="shared" si="2"/>
        <v>33480</v>
      </c>
      <c r="AD22" s="364">
        <v>2517</v>
      </c>
      <c r="AE22" s="364">
        <v>2517</v>
      </c>
      <c r="AF22" s="364">
        <v>2517</v>
      </c>
      <c r="AG22" s="364">
        <v>2517</v>
      </c>
      <c r="AH22" s="364">
        <v>2790</v>
      </c>
      <c r="AI22" s="364">
        <v>3882</v>
      </c>
      <c r="AJ22" s="364">
        <v>2790</v>
      </c>
      <c r="AK22" s="364">
        <v>2790</v>
      </c>
      <c r="AL22" s="364">
        <v>2790</v>
      </c>
      <c r="AM22" s="364">
        <v>2790</v>
      </c>
      <c r="AN22" s="364">
        <v>2790</v>
      </c>
      <c r="AO22" s="364">
        <v>2790</v>
      </c>
      <c r="AP22" s="196">
        <f t="shared" si="3"/>
        <v>31680</v>
      </c>
      <c r="AQ22" s="364">
        <v>2640</v>
      </c>
      <c r="AR22" s="364">
        <v>2640</v>
      </c>
      <c r="AS22" s="364">
        <v>2640</v>
      </c>
      <c r="AT22" s="364">
        <v>2640</v>
      </c>
      <c r="AU22" s="364">
        <v>2640</v>
      </c>
      <c r="AV22" s="364">
        <v>2640</v>
      </c>
      <c r="AW22" s="364">
        <v>2640</v>
      </c>
      <c r="AX22" s="364">
        <v>2640</v>
      </c>
      <c r="AY22" s="364">
        <v>2640</v>
      </c>
      <c r="AZ22" s="364">
        <v>2640</v>
      </c>
      <c r="BA22" s="364">
        <v>2640</v>
      </c>
      <c r="BB22" s="676">
        <v>2640</v>
      </c>
      <c r="BC22" s="985">
        <f t="shared" si="4"/>
        <v>28875.688226000006</v>
      </c>
      <c r="BD22" s="1977">
        <v>2640</v>
      </c>
      <c r="BE22" s="1977">
        <v>2640</v>
      </c>
      <c r="BF22" s="1977">
        <v>2640</v>
      </c>
      <c r="BG22" s="1977">
        <v>2640</v>
      </c>
      <c r="BH22" s="1977">
        <v>2640</v>
      </c>
      <c r="BI22" s="1977">
        <v>2723.103642</v>
      </c>
      <c r="BJ22" s="1977">
        <v>2400</v>
      </c>
      <c r="BK22" s="1977">
        <v>2326.366215</v>
      </c>
      <c r="BL22" s="1977">
        <v>2223.681333</v>
      </c>
      <c r="BM22" s="1977">
        <v>2300</v>
      </c>
      <c r="BN22" s="1977">
        <v>2300</v>
      </c>
      <c r="BO22" s="1978">
        <v>1402.5370359999999</v>
      </c>
      <c r="BP22" s="985">
        <f t="shared" si="5"/>
        <v>17300.571354</v>
      </c>
      <c r="BQ22" s="1977">
        <v>2107.572271</v>
      </c>
      <c r="BR22" s="1977">
        <v>1425.4005440000001</v>
      </c>
      <c r="BS22" s="1977">
        <v>834.18509100000006</v>
      </c>
      <c r="BT22" s="1977">
        <v>12.235454000000001</v>
      </c>
      <c r="BU22" s="1977">
        <v>714.1</v>
      </c>
      <c r="BV22" s="1977">
        <v>1462.6</v>
      </c>
      <c r="BW22" s="1977">
        <v>2117.995453</v>
      </c>
      <c r="BX22" s="1977">
        <v>1743.760726</v>
      </c>
      <c r="BY22" s="1977">
        <v>1702.58727</v>
      </c>
      <c r="BZ22" s="1977">
        <v>1705.05</v>
      </c>
      <c r="CA22" s="1977">
        <v>1743.736363</v>
      </c>
      <c r="CB22" s="1978">
        <v>1731.348182</v>
      </c>
      <c r="CC22" s="985">
        <f t="shared" si="6"/>
        <v>22182</v>
      </c>
      <c r="CD22" s="2488">
        <v>1848.5</v>
      </c>
      <c r="CE22" s="2488">
        <v>1848.5</v>
      </c>
      <c r="CF22" s="2488">
        <v>1848.5</v>
      </c>
      <c r="CG22" s="2488">
        <v>1848.5</v>
      </c>
      <c r="CH22" s="2488">
        <v>1848.5</v>
      </c>
      <c r="CI22" s="2488">
        <v>1848.5</v>
      </c>
      <c r="CJ22" s="2488">
        <v>1848.5</v>
      </c>
      <c r="CK22" s="2488">
        <v>1848.5</v>
      </c>
      <c r="CL22" s="2488">
        <v>1848.5</v>
      </c>
      <c r="CM22" s="2488">
        <v>1848.5</v>
      </c>
      <c r="CN22" s="2488">
        <v>1848.5</v>
      </c>
      <c r="CO22" s="2489">
        <v>1848.5</v>
      </c>
    </row>
    <row r="23" spans="1:93" ht="16.5" customHeight="1">
      <c r="A23" s="129"/>
      <c r="B23" s="1443" t="s">
        <v>503</v>
      </c>
      <c r="C23" s="196">
        <f t="shared" ref="C23" si="10">SUM(D23:O23)</f>
        <v>0</v>
      </c>
      <c r="D23" s="579"/>
      <c r="E23" s="364"/>
      <c r="F23" s="364"/>
      <c r="G23" s="364"/>
      <c r="H23" s="364"/>
      <c r="I23" s="364"/>
      <c r="J23" s="364"/>
      <c r="K23" s="364"/>
      <c r="L23" s="364"/>
      <c r="M23" s="364"/>
      <c r="N23" s="364"/>
      <c r="O23" s="676"/>
      <c r="P23" s="196">
        <f t="shared" ref="P23" si="11">SUM(Q23:AB23)</f>
        <v>0</v>
      </c>
      <c r="Q23" s="579"/>
      <c r="R23" s="364"/>
      <c r="S23" s="364"/>
      <c r="T23" s="364"/>
      <c r="U23" s="364"/>
      <c r="V23" s="364"/>
      <c r="W23" s="364"/>
      <c r="X23" s="364"/>
      <c r="Y23" s="364"/>
      <c r="Z23" s="364"/>
      <c r="AA23" s="364"/>
      <c r="AB23" s="364"/>
      <c r="AC23" s="196">
        <f t="shared" si="2"/>
        <v>83.25</v>
      </c>
      <c r="AD23" s="364"/>
      <c r="AE23" s="364"/>
      <c r="AF23" s="364"/>
      <c r="AG23" s="364"/>
      <c r="AH23" s="364">
        <v>27.75</v>
      </c>
      <c r="AI23" s="364"/>
      <c r="AJ23" s="364"/>
      <c r="AK23" s="364"/>
      <c r="AL23" s="364"/>
      <c r="AM23" s="364"/>
      <c r="AN23" s="364">
        <v>55.5</v>
      </c>
      <c r="AO23" s="676"/>
      <c r="AP23" s="196">
        <f t="shared" si="3"/>
        <v>111</v>
      </c>
      <c r="AQ23" s="364">
        <v>27.75</v>
      </c>
      <c r="AR23" s="364"/>
      <c r="AS23" s="364"/>
      <c r="AT23" s="364"/>
      <c r="AU23" s="364"/>
      <c r="AV23" s="364">
        <v>27.75</v>
      </c>
      <c r="AW23" s="364"/>
      <c r="AX23" s="364"/>
      <c r="AY23" s="364"/>
      <c r="AZ23" s="364">
        <v>27.75</v>
      </c>
      <c r="BA23" s="364">
        <v>27.75</v>
      </c>
      <c r="BB23" s="676"/>
      <c r="BC23" s="985">
        <f t="shared" si="4"/>
        <v>27.75</v>
      </c>
      <c r="BD23" s="1977"/>
      <c r="BE23" s="1977"/>
      <c r="BF23" s="1977"/>
      <c r="BG23" s="1977">
        <v>27.75</v>
      </c>
      <c r="BH23" s="1977"/>
      <c r="BI23" s="1977"/>
      <c r="BJ23" s="1977"/>
      <c r="BK23" s="1977"/>
      <c r="BL23" s="1977"/>
      <c r="BM23" s="1977"/>
      <c r="BN23" s="1977"/>
      <c r="BO23" s="1978"/>
      <c r="BP23" s="985">
        <f t="shared" si="5"/>
        <v>0</v>
      </c>
      <c r="BQ23" s="1977"/>
      <c r="BR23" s="1977"/>
      <c r="BS23" s="1977"/>
      <c r="BT23" s="1977"/>
      <c r="BU23" s="1977"/>
      <c r="BV23" s="1977"/>
      <c r="BW23" s="1977"/>
      <c r="BX23" s="1977"/>
      <c r="BY23" s="1977"/>
      <c r="BZ23" s="1977"/>
      <c r="CA23" s="1977"/>
      <c r="CB23" s="1978"/>
      <c r="CC23" s="985">
        <f t="shared" si="6"/>
        <v>0</v>
      </c>
      <c r="CD23" s="2488"/>
      <c r="CE23" s="2488"/>
      <c r="CF23" s="2488"/>
      <c r="CG23" s="2488"/>
      <c r="CH23" s="2488"/>
      <c r="CI23" s="2488"/>
      <c r="CJ23" s="2488"/>
      <c r="CK23" s="2488"/>
      <c r="CL23" s="2488"/>
      <c r="CM23" s="2488"/>
      <c r="CN23" s="2488"/>
      <c r="CO23" s="2489"/>
    </row>
    <row r="24" spans="1:93" ht="16.5" customHeight="1">
      <c r="A24" s="129"/>
      <c r="B24" s="1443" t="s">
        <v>408</v>
      </c>
      <c r="C24" s="196"/>
      <c r="D24" s="579"/>
      <c r="E24" s="364"/>
      <c r="F24" s="364"/>
      <c r="G24" s="364"/>
      <c r="H24" s="364"/>
      <c r="I24" s="364"/>
      <c r="J24" s="364"/>
      <c r="K24" s="364"/>
      <c r="L24" s="364"/>
      <c r="M24" s="364"/>
      <c r="N24" s="364"/>
      <c r="O24" s="676"/>
      <c r="P24" s="196"/>
      <c r="Q24" s="579"/>
      <c r="R24" s="364"/>
      <c r="S24" s="364"/>
      <c r="T24" s="364"/>
      <c r="U24" s="364"/>
      <c r="V24" s="364"/>
      <c r="W24" s="364"/>
      <c r="X24" s="364"/>
      <c r="Y24" s="364"/>
      <c r="Z24" s="364"/>
      <c r="AA24" s="364"/>
      <c r="AB24" s="364"/>
      <c r="AC24" s="196">
        <f t="shared" si="2"/>
        <v>70.791820000000001</v>
      </c>
      <c r="AD24" s="364"/>
      <c r="AE24" s="364"/>
      <c r="AF24" s="364"/>
      <c r="AG24" s="364"/>
      <c r="AH24" s="364"/>
      <c r="AI24" s="364">
        <v>41.154000000000003</v>
      </c>
      <c r="AJ24" s="364"/>
      <c r="AK24" s="364">
        <v>7.4160000000000004</v>
      </c>
      <c r="AL24" s="364">
        <v>4.806</v>
      </c>
      <c r="AM24" s="364"/>
      <c r="AN24" s="364">
        <v>17.41582</v>
      </c>
      <c r="AO24" s="676"/>
      <c r="AP24" s="196">
        <f t="shared" si="3"/>
        <v>0</v>
      </c>
      <c r="AQ24" s="364"/>
      <c r="AR24" s="364"/>
      <c r="AS24" s="364"/>
      <c r="AT24" s="364"/>
      <c r="AU24" s="364"/>
      <c r="AV24" s="364"/>
      <c r="AW24" s="364"/>
      <c r="AX24" s="364"/>
      <c r="AY24" s="364"/>
      <c r="AZ24" s="364"/>
      <c r="BA24" s="364"/>
      <c r="BB24" s="676"/>
      <c r="BC24" s="985">
        <f t="shared" si="4"/>
        <v>0</v>
      </c>
      <c r="BD24" s="1977"/>
      <c r="BE24" s="1977"/>
      <c r="BF24" s="1977"/>
      <c r="BG24" s="1977"/>
      <c r="BH24" s="1977"/>
      <c r="BI24" s="1977"/>
      <c r="BJ24" s="1977"/>
      <c r="BK24" s="1977"/>
      <c r="BL24" s="1977"/>
      <c r="BM24" s="1977"/>
      <c r="BN24" s="1977"/>
      <c r="BO24" s="1978"/>
      <c r="BP24" s="985">
        <f t="shared" si="5"/>
        <v>0</v>
      </c>
      <c r="BQ24" s="1977"/>
      <c r="BR24" s="1977"/>
      <c r="BS24" s="1977"/>
      <c r="BT24" s="1977"/>
      <c r="BU24" s="1977"/>
      <c r="BV24" s="1977"/>
      <c r="BW24" s="1977"/>
      <c r="BX24" s="1977"/>
      <c r="BY24" s="1977"/>
      <c r="BZ24" s="1977"/>
      <c r="CA24" s="1977"/>
      <c r="CB24" s="1978"/>
      <c r="CC24" s="985">
        <f t="shared" si="6"/>
        <v>0</v>
      </c>
      <c r="CD24" s="2488"/>
      <c r="CE24" s="2488"/>
      <c r="CF24" s="2488"/>
      <c r="CG24" s="2488"/>
      <c r="CH24" s="2488"/>
      <c r="CI24" s="2488"/>
      <c r="CJ24" s="2488"/>
      <c r="CK24" s="2488"/>
      <c r="CL24" s="2488"/>
      <c r="CM24" s="2488"/>
      <c r="CN24" s="2488"/>
      <c r="CO24" s="2489"/>
    </row>
    <row r="25" spans="1:93" ht="16.5" customHeight="1">
      <c r="A25" s="129"/>
      <c r="B25" s="1443" t="s">
        <v>340</v>
      </c>
      <c r="C25" s="196">
        <f>SUM(D25:O25)</f>
        <v>3425.3724709999997</v>
      </c>
      <c r="D25" s="579">
        <v>836.98524999999995</v>
      </c>
      <c r="E25" s="364">
        <v>902.70273799999995</v>
      </c>
      <c r="F25" s="364">
        <v>868.38370099999997</v>
      </c>
      <c r="G25" s="364">
        <v>863.15598</v>
      </c>
      <c r="H25" s="364">
        <v>-45.855197999999973</v>
      </c>
      <c r="I25" s="364"/>
      <c r="J25" s="364"/>
      <c r="K25" s="364"/>
      <c r="L25" s="364"/>
      <c r="M25" s="364"/>
      <c r="N25" s="364"/>
      <c r="O25" s="676"/>
      <c r="P25" s="196">
        <f>SUM(Q25:AB25)</f>
        <v>0</v>
      </c>
      <c r="Q25" s="579"/>
      <c r="R25" s="364"/>
      <c r="S25" s="364"/>
      <c r="T25" s="364"/>
      <c r="U25" s="364"/>
      <c r="V25" s="364"/>
      <c r="W25" s="364"/>
      <c r="X25" s="364"/>
      <c r="Y25" s="364"/>
      <c r="Z25" s="364"/>
      <c r="AA25" s="364"/>
      <c r="AB25" s="364"/>
      <c r="AC25" s="196">
        <f>SUM(AD25:AO25)</f>
        <v>0</v>
      </c>
      <c r="AD25" s="364"/>
      <c r="AE25" s="364"/>
      <c r="AF25" s="364"/>
      <c r="AG25" s="364"/>
      <c r="AH25" s="364"/>
      <c r="AI25" s="364"/>
      <c r="AJ25" s="364"/>
      <c r="AK25" s="364"/>
      <c r="AL25" s="364"/>
      <c r="AM25" s="364"/>
      <c r="AN25" s="364"/>
      <c r="AO25" s="676"/>
      <c r="AP25" s="196">
        <f t="shared" si="3"/>
        <v>0</v>
      </c>
      <c r="AQ25" s="364"/>
      <c r="AR25" s="364"/>
      <c r="AS25" s="364"/>
      <c r="AT25" s="364"/>
      <c r="AU25" s="364"/>
      <c r="AV25" s="364"/>
      <c r="AW25" s="364"/>
      <c r="AX25" s="364"/>
      <c r="AY25" s="364"/>
      <c r="AZ25" s="364"/>
      <c r="BA25" s="364"/>
      <c r="BB25" s="676"/>
      <c r="BC25" s="985">
        <f t="shared" si="4"/>
        <v>0</v>
      </c>
      <c r="BD25" s="1977"/>
      <c r="BE25" s="1977"/>
      <c r="BF25" s="1977"/>
      <c r="BG25" s="1977"/>
      <c r="BH25" s="1977"/>
      <c r="BI25" s="1977"/>
      <c r="BJ25" s="1977"/>
      <c r="BK25" s="1977"/>
      <c r="BL25" s="1977"/>
      <c r="BM25" s="1977"/>
      <c r="BN25" s="1977"/>
      <c r="BO25" s="1978"/>
      <c r="BP25" s="985">
        <f t="shared" si="5"/>
        <v>0</v>
      </c>
      <c r="BQ25" s="1977"/>
      <c r="BR25" s="1977"/>
      <c r="BS25" s="1977"/>
      <c r="BT25" s="1977"/>
      <c r="BU25" s="1977"/>
      <c r="BV25" s="1977"/>
      <c r="BW25" s="1977"/>
      <c r="BX25" s="1977"/>
      <c r="BY25" s="1977"/>
      <c r="BZ25" s="1977"/>
      <c r="CA25" s="1977"/>
      <c r="CB25" s="1978"/>
      <c r="CC25" s="985">
        <f t="shared" si="6"/>
        <v>0</v>
      </c>
      <c r="CD25" s="2488"/>
      <c r="CE25" s="2488"/>
      <c r="CF25" s="2488"/>
      <c r="CG25" s="2488"/>
      <c r="CH25" s="2488"/>
      <c r="CI25" s="2488"/>
      <c r="CJ25" s="2488"/>
      <c r="CK25" s="2488"/>
      <c r="CL25" s="2488"/>
      <c r="CM25" s="2488"/>
      <c r="CN25" s="2488"/>
      <c r="CO25" s="2489"/>
    </row>
    <row r="26" spans="1:93" ht="16.5" customHeight="1">
      <c r="A26" s="129"/>
      <c r="B26" s="1443" t="s">
        <v>527</v>
      </c>
      <c r="C26" s="196">
        <f>SUM(D26:O26)</f>
        <v>0</v>
      </c>
      <c r="D26" s="579"/>
      <c r="E26" s="364"/>
      <c r="F26" s="364"/>
      <c r="G26" s="364"/>
      <c r="H26" s="364"/>
      <c r="I26" s="364"/>
      <c r="J26" s="364"/>
      <c r="K26" s="364"/>
      <c r="L26" s="364"/>
      <c r="M26" s="364"/>
      <c r="N26" s="364"/>
      <c r="O26" s="676"/>
      <c r="P26" s="196">
        <f>SUM(Q26:AB26)</f>
        <v>0</v>
      </c>
      <c r="Q26" s="579"/>
      <c r="R26" s="364"/>
      <c r="S26" s="364"/>
      <c r="T26" s="364"/>
      <c r="U26" s="364"/>
      <c r="V26" s="364"/>
      <c r="W26" s="364"/>
      <c r="X26" s="364"/>
      <c r="Y26" s="364"/>
      <c r="Z26" s="364"/>
      <c r="AA26" s="364"/>
      <c r="AB26" s="364"/>
      <c r="AC26" s="196">
        <f>SUM(AD26:AO26)</f>
        <v>0</v>
      </c>
      <c r="AD26" s="364"/>
      <c r="AE26" s="364"/>
      <c r="AF26" s="364"/>
      <c r="AG26" s="364"/>
      <c r="AH26" s="364"/>
      <c r="AI26" s="364"/>
      <c r="AJ26" s="364"/>
      <c r="AK26" s="364"/>
      <c r="AL26" s="364"/>
      <c r="AM26" s="364"/>
      <c r="AN26" s="364"/>
      <c r="AO26" s="676"/>
      <c r="AP26" s="196">
        <f t="shared" si="3"/>
        <v>33.309039999997381</v>
      </c>
      <c r="AQ26" s="364"/>
      <c r="AR26" s="364"/>
      <c r="AS26" s="364"/>
      <c r="AT26" s="364"/>
      <c r="AU26" s="364"/>
      <c r="AV26" s="364"/>
      <c r="AW26" s="364"/>
      <c r="AX26" s="364">
        <v>2.2322599999973809</v>
      </c>
      <c r="AY26" s="364">
        <v>1.35226</v>
      </c>
      <c r="AZ26" s="364"/>
      <c r="BA26" s="364">
        <v>1.35226</v>
      </c>
      <c r="BB26" s="676">
        <v>28.372260000000001</v>
      </c>
      <c r="BC26" s="985">
        <f t="shared" si="4"/>
        <v>481.98281999999995</v>
      </c>
      <c r="BD26" s="1977">
        <v>1.35226</v>
      </c>
      <c r="BE26" s="1977">
        <v>16.820260000000001</v>
      </c>
      <c r="BF26" s="1977">
        <v>12.79726</v>
      </c>
      <c r="BG26" s="1977">
        <v>1.35226</v>
      </c>
      <c r="BH26" s="1977">
        <v>1.35226</v>
      </c>
      <c r="BI26" s="1977">
        <v>56.900260000000003</v>
      </c>
      <c r="BJ26" s="1977">
        <v>38.534260000000003</v>
      </c>
      <c r="BK26" s="1977">
        <v>1.3859999999999999</v>
      </c>
      <c r="BL26" s="1977">
        <v>84.98599999999999</v>
      </c>
      <c r="BM26" s="1977">
        <v>30.846</v>
      </c>
      <c r="BN26" s="1977">
        <v>30.57</v>
      </c>
      <c r="BO26" s="1978">
        <v>205.08599999999998</v>
      </c>
      <c r="BP26" s="985">
        <f t="shared" si="5"/>
        <v>2241.0375440000012</v>
      </c>
      <c r="BQ26" s="1977">
        <v>1.3859999999999999</v>
      </c>
      <c r="BR26" s="1977">
        <v>21.459</v>
      </c>
      <c r="BS26" s="1977">
        <v>116.84399999999999</v>
      </c>
      <c r="BT26" s="1977">
        <v>316.29599999999999</v>
      </c>
      <c r="BU26" s="1977">
        <v>5.3532730000011508</v>
      </c>
      <c r="BV26" s="1977">
        <v>128.00154499999999</v>
      </c>
      <c r="BW26" s="1977">
        <v>172.67599999999999</v>
      </c>
      <c r="BX26" s="1977">
        <v>49.567</v>
      </c>
      <c r="BY26" s="1977">
        <v>105.73699999999999</v>
      </c>
      <c r="BZ26" s="1977">
        <v>142.039726</v>
      </c>
      <c r="CA26" s="1977">
        <v>49.587000000000003</v>
      </c>
      <c r="CB26" s="1978">
        <v>1132.0909999999999</v>
      </c>
      <c r="CC26" s="985">
        <f t="shared" si="6"/>
        <v>2501.3150932826638</v>
      </c>
      <c r="CD26" s="2488">
        <v>208.44292444022199</v>
      </c>
      <c r="CE26" s="2488">
        <v>208.44292444022199</v>
      </c>
      <c r="CF26" s="2488">
        <v>208.44292444022199</v>
      </c>
      <c r="CG26" s="2488">
        <v>208.44292444022199</v>
      </c>
      <c r="CH26" s="2488">
        <v>208.44292444022199</v>
      </c>
      <c r="CI26" s="2488">
        <v>208.44292444022199</v>
      </c>
      <c r="CJ26" s="2488">
        <v>208.44292444022199</v>
      </c>
      <c r="CK26" s="2488">
        <v>208.44292444022199</v>
      </c>
      <c r="CL26" s="2488">
        <v>208.44292444022199</v>
      </c>
      <c r="CM26" s="2488">
        <v>208.44292444022199</v>
      </c>
      <c r="CN26" s="2488">
        <v>208.44292444022199</v>
      </c>
      <c r="CO26" s="2489">
        <v>208.44292444022199</v>
      </c>
    </row>
    <row r="27" spans="1:93" ht="16.5" customHeight="1">
      <c r="A27" s="129"/>
      <c r="B27" s="1443" t="s">
        <v>528</v>
      </c>
      <c r="C27" s="196"/>
      <c r="D27" s="579"/>
      <c r="E27" s="364"/>
      <c r="F27" s="364"/>
      <c r="G27" s="364"/>
      <c r="H27" s="364"/>
      <c r="I27" s="364"/>
      <c r="J27" s="364"/>
      <c r="K27" s="364"/>
      <c r="L27" s="364"/>
      <c r="M27" s="364"/>
      <c r="N27" s="364"/>
      <c r="O27" s="676"/>
      <c r="P27" s="196"/>
      <c r="Q27" s="579"/>
      <c r="R27" s="364"/>
      <c r="S27" s="364"/>
      <c r="T27" s="364"/>
      <c r="U27" s="364"/>
      <c r="V27" s="364"/>
      <c r="W27" s="364"/>
      <c r="X27" s="364"/>
      <c r="Y27" s="364"/>
      <c r="Z27" s="364"/>
      <c r="AA27" s="364"/>
      <c r="AB27" s="364"/>
      <c r="AC27" s="196"/>
      <c r="AD27" s="364"/>
      <c r="AE27" s="364"/>
      <c r="AF27" s="364"/>
      <c r="AG27" s="364"/>
      <c r="AH27" s="364"/>
      <c r="AI27" s="364"/>
      <c r="AJ27" s="364"/>
      <c r="AK27" s="364"/>
      <c r="AL27" s="364"/>
      <c r="AM27" s="364"/>
      <c r="AN27" s="364"/>
      <c r="AO27" s="676"/>
      <c r="AP27" s="196"/>
      <c r="AQ27" s="364"/>
      <c r="AR27" s="364"/>
      <c r="AS27" s="364"/>
      <c r="AT27" s="364"/>
      <c r="AU27" s="364"/>
      <c r="AV27" s="364"/>
      <c r="AW27" s="364"/>
      <c r="AX27" s="364"/>
      <c r="AY27" s="364"/>
      <c r="AZ27" s="364"/>
      <c r="BA27" s="364"/>
      <c r="BB27" s="676"/>
      <c r="BC27" s="985">
        <f t="shared" si="4"/>
        <v>3251.8944330000004</v>
      </c>
      <c r="BD27" s="1977">
        <v>27.147729000000002</v>
      </c>
      <c r="BE27" s="1977">
        <v>114.629091</v>
      </c>
      <c r="BF27" s="1977">
        <v>230.76091</v>
      </c>
      <c r="BG27" s="1977">
        <v>217.5</v>
      </c>
      <c r="BH27" s="1977"/>
      <c r="BI27" s="1977">
        <v>332.88</v>
      </c>
      <c r="BJ27" s="1977">
        <v>313.699839</v>
      </c>
      <c r="BK27" s="1977"/>
      <c r="BL27" s="1977">
        <v>474.9066590000001</v>
      </c>
      <c r="BM27" s="1977">
        <v>526.78020600000002</v>
      </c>
      <c r="BN27" s="1977">
        <v>512.37787900000012</v>
      </c>
      <c r="BO27" s="1978">
        <v>501.21211999999997</v>
      </c>
      <c r="BP27" s="985">
        <f t="shared" si="5"/>
        <v>8459.4515519999986</v>
      </c>
      <c r="BQ27" s="1977">
        <v>584.01636499999995</v>
      </c>
      <c r="BR27" s="1977">
        <v>689.51263700000004</v>
      </c>
      <c r="BS27" s="1977">
        <v>591.21545300000002</v>
      </c>
      <c r="BT27" s="1977">
        <v>626.94963700000005</v>
      </c>
      <c r="BU27" s="1977">
        <v>698.13545399999998</v>
      </c>
      <c r="BV27" s="1977">
        <v>651.5</v>
      </c>
      <c r="BW27" s="1977">
        <v>744.60454700000003</v>
      </c>
      <c r="BX27" s="1977">
        <v>756.23927400000002</v>
      </c>
      <c r="BY27" s="1977">
        <v>797.41273000000001</v>
      </c>
      <c r="BZ27" s="1977">
        <v>794.95</v>
      </c>
      <c r="CA27" s="1977">
        <v>756.26363700000002</v>
      </c>
      <c r="CB27" s="1978">
        <v>768.65181800000005</v>
      </c>
      <c r="CC27" s="985">
        <f t="shared" si="6"/>
        <v>7818</v>
      </c>
      <c r="CD27" s="2488">
        <v>651.5</v>
      </c>
      <c r="CE27" s="2488">
        <v>651.5</v>
      </c>
      <c r="CF27" s="2488">
        <v>651.5</v>
      </c>
      <c r="CG27" s="2488">
        <v>651.5</v>
      </c>
      <c r="CH27" s="2488">
        <v>651.5</v>
      </c>
      <c r="CI27" s="2488">
        <v>651.5</v>
      </c>
      <c r="CJ27" s="2488">
        <v>651.5</v>
      </c>
      <c r="CK27" s="2488">
        <v>651.5</v>
      </c>
      <c r="CL27" s="2488">
        <v>651.5</v>
      </c>
      <c r="CM27" s="2488">
        <v>651.5</v>
      </c>
      <c r="CN27" s="2488">
        <v>651.5</v>
      </c>
      <c r="CO27" s="2489">
        <v>651.5</v>
      </c>
    </row>
    <row r="28" spans="1:93" ht="16.5" customHeight="1">
      <c r="A28" s="129"/>
      <c r="B28" s="1443" t="s">
        <v>540</v>
      </c>
      <c r="C28" s="196"/>
      <c r="D28" s="579"/>
      <c r="E28" s="364"/>
      <c r="F28" s="364"/>
      <c r="G28" s="364"/>
      <c r="H28" s="364"/>
      <c r="I28" s="364"/>
      <c r="J28" s="364"/>
      <c r="K28" s="364"/>
      <c r="L28" s="364"/>
      <c r="M28" s="364"/>
      <c r="N28" s="364"/>
      <c r="O28" s="676"/>
      <c r="P28" s="196"/>
      <c r="Q28" s="579"/>
      <c r="R28" s="364"/>
      <c r="S28" s="364"/>
      <c r="T28" s="364"/>
      <c r="U28" s="364"/>
      <c r="V28" s="364"/>
      <c r="W28" s="364"/>
      <c r="X28" s="364"/>
      <c r="Y28" s="364"/>
      <c r="Z28" s="364"/>
      <c r="AA28" s="364"/>
      <c r="AB28" s="364"/>
      <c r="AC28" s="196"/>
      <c r="AD28" s="364"/>
      <c r="AE28" s="364"/>
      <c r="AF28" s="364"/>
      <c r="AG28" s="364"/>
      <c r="AH28" s="364"/>
      <c r="AI28" s="364"/>
      <c r="AJ28" s="364"/>
      <c r="AK28" s="364"/>
      <c r="AL28" s="364"/>
      <c r="AM28" s="364"/>
      <c r="AN28" s="364"/>
      <c r="AO28" s="676"/>
      <c r="AP28" s="196"/>
      <c r="AQ28" s="364"/>
      <c r="AR28" s="364"/>
      <c r="AS28" s="364"/>
      <c r="AT28" s="364"/>
      <c r="AU28" s="364"/>
      <c r="AV28" s="364"/>
      <c r="AW28" s="364"/>
      <c r="AX28" s="364"/>
      <c r="AY28" s="364"/>
      <c r="AZ28" s="364"/>
      <c r="BA28" s="364"/>
      <c r="BB28" s="676"/>
      <c r="BC28" s="985">
        <f t="shared" si="4"/>
        <v>310.85000000000002</v>
      </c>
      <c r="BD28" s="1977"/>
      <c r="BE28" s="1977"/>
      <c r="BF28" s="1977">
        <v>22.42</v>
      </c>
      <c r="BG28" s="1977">
        <v>54.69</v>
      </c>
      <c r="BH28" s="1977">
        <v>36.19</v>
      </c>
      <c r="BI28" s="1977">
        <v>36.299999999999997</v>
      </c>
      <c r="BJ28" s="1977">
        <v>36.5</v>
      </c>
      <c r="BK28" s="1977">
        <v>33.99</v>
      </c>
      <c r="BL28" s="1977">
        <v>30.68</v>
      </c>
      <c r="BM28" s="1977"/>
      <c r="BN28" s="1977">
        <v>30.26</v>
      </c>
      <c r="BO28" s="1978">
        <v>29.82</v>
      </c>
      <c r="BP28" s="985">
        <f t="shared" si="5"/>
        <v>327.42999999999995</v>
      </c>
      <c r="BQ28" s="1977">
        <v>29.46</v>
      </c>
      <c r="BR28" s="1977">
        <v>29.04</v>
      </c>
      <c r="BS28" s="1977"/>
      <c r="BT28" s="1977">
        <v>29.34</v>
      </c>
      <c r="BU28" s="1977">
        <v>28.99</v>
      </c>
      <c r="BV28" s="1977">
        <v>30</v>
      </c>
      <c r="BW28" s="1977">
        <v>30.2</v>
      </c>
      <c r="BX28" s="1977">
        <v>30</v>
      </c>
      <c r="BY28" s="1977">
        <v>30.7</v>
      </c>
      <c r="BZ28" s="1977">
        <v>30</v>
      </c>
      <c r="CA28" s="1977">
        <v>29.8</v>
      </c>
      <c r="CB28" s="1978">
        <v>29.9</v>
      </c>
      <c r="CC28" s="985">
        <f t="shared" si="6"/>
        <v>360</v>
      </c>
      <c r="CD28" s="2488">
        <v>30</v>
      </c>
      <c r="CE28" s="2488">
        <v>30</v>
      </c>
      <c r="CF28" s="2488">
        <v>30</v>
      </c>
      <c r="CG28" s="2488">
        <v>30</v>
      </c>
      <c r="CH28" s="2488">
        <v>30</v>
      </c>
      <c r="CI28" s="2488">
        <v>30</v>
      </c>
      <c r="CJ28" s="2488">
        <v>30</v>
      </c>
      <c r="CK28" s="2488">
        <v>30</v>
      </c>
      <c r="CL28" s="2488">
        <v>30</v>
      </c>
      <c r="CM28" s="2488">
        <v>30</v>
      </c>
      <c r="CN28" s="2488">
        <v>30</v>
      </c>
      <c r="CO28" s="2489">
        <v>30</v>
      </c>
    </row>
    <row r="29" spans="1:93" ht="16.5" customHeight="1">
      <c r="A29" s="129"/>
      <c r="B29" s="1443" t="s">
        <v>553</v>
      </c>
      <c r="C29" s="196"/>
      <c r="D29" s="579"/>
      <c r="E29" s="364"/>
      <c r="F29" s="364"/>
      <c r="G29" s="364"/>
      <c r="H29" s="364"/>
      <c r="I29" s="364"/>
      <c r="J29" s="364"/>
      <c r="K29" s="364"/>
      <c r="L29" s="364"/>
      <c r="M29" s="364"/>
      <c r="N29" s="364"/>
      <c r="O29" s="676"/>
      <c r="P29" s="196"/>
      <c r="Q29" s="579"/>
      <c r="R29" s="364"/>
      <c r="S29" s="364"/>
      <c r="T29" s="364"/>
      <c r="U29" s="364"/>
      <c r="V29" s="364"/>
      <c r="W29" s="364"/>
      <c r="X29" s="364"/>
      <c r="Y29" s="364"/>
      <c r="Z29" s="364"/>
      <c r="AA29" s="364"/>
      <c r="AB29" s="364"/>
      <c r="AC29" s="196"/>
      <c r="AD29" s="364"/>
      <c r="AE29" s="364"/>
      <c r="AF29" s="364"/>
      <c r="AG29" s="364"/>
      <c r="AH29" s="364"/>
      <c r="AI29" s="364"/>
      <c r="AJ29" s="364"/>
      <c r="AK29" s="364"/>
      <c r="AL29" s="364"/>
      <c r="AM29" s="364"/>
      <c r="AN29" s="364"/>
      <c r="AO29" s="676"/>
      <c r="AP29" s="196">
        <f t="shared" si="3"/>
        <v>115</v>
      </c>
      <c r="AQ29" s="364"/>
      <c r="AR29" s="364"/>
      <c r="AS29" s="364">
        <v>115</v>
      </c>
      <c r="AT29" s="364"/>
      <c r="AU29" s="364"/>
      <c r="AV29" s="364"/>
      <c r="AW29" s="364"/>
      <c r="AX29" s="364"/>
      <c r="AY29" s="364"/>
      <c r="AZ29" s="364"/>
      <c r="BA29" s="364"/>
      <c r="BB29" s="676"/>
      <c r="BC29" s="985">
        <f t="shared" ref="BC29:BC35" si="12">SUM(BD29:BO29)</f>
        <v>0</v>
      </c>
      <c r="BD29" s="1977"/>
      <c r="BE29" s="1977"/>
      <c r="BF29" s="1977"/>
      <c r="BG29" s="1977"/>
      <c r="BH29" s="1977"/>
      <c r="BI29" s="1977"/>
      <c r="BJ29" s="1977"/>
      <c r="BK29" s="1977"/>
      <c r="BL29" s="1977"/>
      <c r="BM29" s="1977"/>
      <c r="BN29" s="1977"/>
      <c r="BO29" s="1978"/>
      <c r="BP29" s="985">
        <f t="shared" si="5"/>
        <v>0</v>
      </c>
      <c r="BQ29" s="1977"/>
      <c r="BR29" s="1977"/>
      <c r="BS29" s="1977"/>
      <c r="BT29" s="1977"/>
      <c r="BU29" s="1977"/>
      <c r="BV29" s="1977"/>
      <c r="BW29" s="1977"/>
      <c r="BX29" s="1977"/>
      <c r="BY29" s="1977"/>
      <c r="BZ29" s="1977"/>
      <c r="CA29" s="1977"/>
      <c r="CB29" s="1978"/>
      <c r="CC29" s="985">
        <f t="shared" si="6"/>
        <v>0</v>
      </c>
      <c r="CD29" s="2488"/>
      <c r="CE29" s="2488"/>
      <c r="CF29" s="2488"/>
      <c r="CG29" s="2488"/>
      <c r="CH29" s="2488"/>
      <c r="CI29" s="2488"/>
      <c r="CJ29" s="2488"/>
      <c r="CK29" s="2488"/>
      <c r="CL29" s="2488"/>
      <c r="CM29" s="2488"/>
      <c r="CN29" s="2488"/>
      <c r="CO29" s="2489"/>
    </row>
    <row r="30" spans="1:93" ht="16.5" customHeight="1">
      <c r="A30" s="129"/>
      <c r="B30" s="1443" t="s">
        <v>478</v>
      </c>
      <c r="C30" s="196"/>
      <c r="D30" s="579"/>
      <c r="E30" s="364"/>
      <c r="F30" s="364"/>
      <c r="G30" s="364"/>
      <c r="H30" s="364"/>
      <c r="I30" s="364"/>
      <c r="J30" s="364"/>
      <c r="K30" s="364"/>
      <c r="L30" s="364"/>
      <c r="M30" s="364"/>
      <c r="N30" s="364"/>
      <c r="O30" s="676"/>
      <c r="P30" s="196"/>
      <c r="Q30" s="579"/>
      <c r="R30" s="364"/>
      <c r="S30" s="364"/>
      <c r="T30" s="364"/>
      <c r="U30" s="364"/>
      <c r="V30" s="364"/>
      <c r="W30" s="364"/>
      <c r="X30" s="364"/>
      <c r="Y30" s="364"/>
      <c r="Z30" s="364"/>
      <c r="AA30" s="364"/>
      <c r="AB30" s="364"/>
      <c r="AC30" s="196"/>
      <c r="AD30" s="364"/>
      <c r="AE30" s="364"/>
      <c r="AF30" s="364"/>
      <c r="AG30" s="364"/>
      <c r="AH30" s="364"/>
      <c r="AI30" s="364"/>
      <c r="AJ30" s="364"/>
      <c r="AK30" s="364"/>
      <c r="AL30" s="364"/>
      <c r="AM30" s="364"/>
      <c r="AN30" s="364"/>
      <c r="AO30" s="676"/>
      <c r="AP30" s="196">
        <f t="shared" si="3"/>
        <v>102.544</v>
      </c>
      <c r="AQ30" s="364"/>
      <c r="AR30" s="364"/>
      <c r="AS30" s="364"/>
      <c r="AT30" s="364"/>
      <c r="AU30" s="364"/>
      <c r="AV30" s="364"/>
      <c r="AW30" s="364">
        <v>130</v>
      </c>
      <c r="AX30" s="364"/>
      <c r="AY30" s="364"/>
      <c r="AZ30" s="364">
        <v>-27.456</v>
      </c>
      <c r="BA30" s="364"/>
      <c r="BB30" s="676"/>
      <c r="BC30" s="985">
        <f t="shared" si="12"/>
        <v>0</v>
      </c>
      <c r="BD30" s="1977"/>
      <c r="BE30" s="1977"/>
      <c r="BF30" s="1977"/>
      <c r="BG30" s="1977"/>
      <c r="BH30" s="1977"/>
      <c r="BI30" s="1977"/>
      <c r="BJ30" s="1977"/>
      <c r="BK30" s="1977"/>
      <c r="BL30" s="1977"/>
      <c r="BM30" s="1977"/>
      <c r="BN30" s="1977"/>
      <c r="BO30" s="1978"/>
      <c r="BP30" s="985">
        <f t="shared" si="5"/>
        <v>0</v>
      </c>
      <c r="BQ30" s="1977"/>
      <c r="BR30" s="1977"/>
      <c r="BS30" s="1977"/>
      <c r="BT30" s="1977"/>
      <c r="BU30" s="1977"/>
      <c r="BV30" s="1977"/>
      <c r="BW30" s="1977"/>
      <c r="BX30" s="1977"/>
      <c r="BY30" s="1977"/>
      <c r="BZ30" s="1977"/>
      <c r="CA30" s="1977"/>
      <c r="CB30" s="1978"/>
      <c r="CC30" s="985">
        <f t="shared" si="6"/>
        <v>0</v>
      </c>
      <c r="CD30" s="2488"/>
      <c r="CE30" s="2488"/>
      <c r="CF30" s="2488"/>
      <c r="CG30" s="2488"/>
      <c r="CH30" s="2488"/>
      <c r="CI30" s="2488"/>
      <c r="CJ30" s="2488"/>
      <c r="CK30" s="2488"/>
      <c r="CL30" s="2488"/>
      <c r="CM30" s="2488"/>
      <c r="CN30" s="2488"/>
      <c r="CO30" s="2489"/>
    </row>
    <row r="31" spans="1:93" ht="16.5" customHeight="1">
      <c r="A31" s="129"/>
      <c r="B31" s="1443" t="s">
        <v>525</v>
      </c>
      <c r="C31" s="196"/>
      <c r="D31" s="579"/>
      <c r="E31" s="364"/>
      <c r="F31" s="364"/>
      <c r="G31" s="364"/>
      <c r="H31" s="364"/>
      <c r="I31" s="364"/>
      <c r="J31" s="364"/>
      <c r="K31" s="364"/>
      <c r="L31" s="364"/>
      <c r="M31" s="364"/>
      <c r="N31" s="364"/>
      <c r="O31" s="676"/>
      <c r="P31" s="196"/>
      <c r="Q31" s="579"/>
      <c r="R31" s="364"/>
      <c r="S31" s="364"/>
      <c r="T31" s="364"/>
      <c r="U31" s="364"/>
      <c r="V31" s="364"/>
      <c r="W31" s="364"/>
      <c r="X31" s="364"/>
      <c r="Y31" s="364"/>
      <c r="Z31" s="364"/>
      <c r="AA31" s="364"/>
      <c r="AB31" s="364"/>
      <c r="AC31" s="196"/>
      <c r="AD31" s="364"/>
      <c r="AE31" s="364"/>
      <c r="AF31" s="364"/>
      <c r="AG31" s="364"/>
      <c r="AH31" s="364"/>
      <c r="AI31" s="364"/>
      <c r="AJ31" s="364"/>
      <c r="AK31" s="364"/>
      <c r="AL31" s="364"/>
      <c r="AM31" s="364"/>
      <c r="AN31" s="364"/>
      <c r="AO31" s="676"/>
      <c r="AP31" s="196">
        <f t="shared" si="3"/>
        <v>20</v>
      </c>
      <c r="AQ31" s="364"/>
      <c r="AR31" s="364"/>
      <c r="AS31" s="364">
        <v>20</v>
      </c>
      <c r="AT31" s="364"/>
      <c r="AU31" s="364"/>
      <c r="AV31" s="364"/>
      <c r="AW31" s="364"/>
      <c r="AX31" s="364"/>
      <c r="AY31" s="364"/>
      <c r="AZ31" s="364"/>
      <c r="BA31" s="364"/>
      <c r="BB31" s="676"/>
      <c r="BC31" s="985">
        <f t="shared" si="12"/>
        <v>0</v>
      </c>
      <c r="BD31" s="1977"/>
      <c r="BE31" s="1977"/>
      <c r="BF31" s="1977"/>
      <c r="BG31" s="1977"/>
      <c r="BH31" s="1977"/>
      <c r="BI31" s="1977"/>
      <c r="BJ31" s="1977"/>
      <c r="BK31" s="1977"/>
      <c r="BL31" s="1977"/>
      <c r="BM31" s="1977"/>
      <c r="BN31" s="1977"/>
      <c r="BO31" s="1978"/>
      <c r="BP31" s="985">
        <f t="shared" si="5"/>
        <v>0</v>
      </c>
      <c r="BQ31" s="1977"/>
      <c r="BR31" s="1977"/>
      <c r="BS31" s="1977"/>
      <c r="BT31" s="1977"/>
      <c r="BU31" s="1977"/>
      <c r="BV31" s="1977"/>
      <c r="BW31" s="1977"/>
      <c r="BX31" s="1977"/>
      <c r="BY31" s="1977"/>
      <c r="BZ31" s="1977"/>
      <c r="CA31" s="1977"/>
      <c r="CB31" s="1978"/>
      <c r="CC31" s="985">
        <f t="shared" si="6"/>
        <v>0</v>
      </c>
      <c r="CD31" s="2488"/>
      <c r="CE31" s="2488"/>
      <c r="CF31" s="2488"/>
      <c r="CG31" s="2488"/>
      <c r="CH31" s="2488"/>
      <c r="CI31" s="2488"/>
      <c r="CJ31" s="2488"/>
      <c r="CK31" s="2488"/>
      <c r="CL31" s="2488"/>
      <c r="CM31" s="2488"/>
      <c r="CN31" s="2488"/>
      <c r="CO31" s="2489"/>
    </row>
    <row r="32" spans="1:93" ht="16.5" customHeight="1">
      <c r="A32" s="129"/>
      <c r="B32" s="1992" t="s">
        <v>554</v>
      </c>
      <c r="C32" s="196"/>
      <c r="D32" s="579"/>
      <c r="E32" s="364"/>
      <c r="F32" s="364"/>
      <c r="G32" s="364"/>
      <c r="H32" s="364"/>
      <c r="I32" s="364"/>
      <c r="J32" s="364"/>
      <c r="K32" s="364"/>
      <c r="L32" s="364"/>
      <c r="M32" s="364"/>
      <c r="N32" s="364"/>
      <c r="O32" s="676"/>
      <c r="P32" s="196"/>
      <c r="Q32" s="579"/>
      <c r="R32" s="364"/>
      <c r="S32" s="364"/>
      <c r="T32" s="364"/>
      <c r="U32" s="364"/>
      <c r="V32" s="364"/>
      <c r="W32" s="364"/>
      <c r="X32" s="364"/>
      <c r="Y32" s="364"/>
      <c r="Z32" s="364"/>
      <c r="AA32" s="364"/>
      <c r="AB32" s="364"/>
      <c r="AC32" s="196"/>
      <c r="AD32" s="364"/>
      <c r="AE32" s="364"/>
      <c r="AF32" s="364"/>
      <c r="AG32" s="364"/>
      <c r="AH32" s="364"/>
      <c r="AI32" s="364"/>
      <c r="AJ32" s="364"/>
      <c r="AK32" s="364"/>
      <c r="AL32" s="364"/>
      <c r="AM32" s="364"/>
      <c r="AN32" s="364"/>
      <c r="AO32" s="676"/>
      <c r="AP32" s="196">
        <f t="shared" si="3"/>
        <v>8.7090899999999998</v>
      </c>
      <c r="AQ32" s="364"/>
      <c r="AR32" s="364"/>
      <c r="AS32" s="364">
        <v>8.7090899999999998</v>
      </c>
      <c r="AT32" s="364"/>
      <c r="AU32" s="364"/>
      <c r="AV32" s="364"/>
      <c r="AW32" s="364"/>
      <c r="AX32" s="364"/>
      <c r="AY32" s="364"/>
      <c r="AZ32" s="364"/>
      <c r="BA32" s="364"/>
      <c r="BB32" s="676"/>
      <c r="BC32" s="985">
        <f t="shared" si="12"/>
        <v>0</v>
      </c>
      <c r="BD32" s="1977"/>
      <c r="BE32" s="1977"/>
      <c r="BF32" s="1977"/>
      <c r="BG32" s="1977"/>
      <c r="BH32" s="1977"/>
      <c r="BI32" s="1977"/>
      <c r="BJ32" s="1977"/>
      <c r="BK32" s="1977"/>
      <c r="BL32" s="1977"/>
      <c r="BM32" s="1977"/>
      <c r="BN32" s="1977"/>
      <c r="BO32" s="1978"/>
      <c r="BP32" s="985">
        <f t="shared" si="5"/>
        <v>0</v>
      </c>
      <c r="BQ32" s="1977"/>
      <c r="BR32" s="1977"/>
      <c r="BS32" s="1977"/>
      <c r="BT32" s="1977"/>
      <c r="BU32" s="1977"/>
      <c r="BV32" s="1977"/>
      <c r="BW32" s="1977"/>
      <c r="BX32" s="1977"/>
      <c r="BY32" s="1977"/>
      <c r="BZ32" s="1977"/>
      <c r="CA32" s="1977"/>
      <c r="CB32" s="1978"/>
      <c r="CC32" s="985">
        <f t="shared" si="6"/>
        <v>0</v>
      </c>
      <c r="CD32" s="2488"/>
      <c r="CE32" s="2488"/>
      <c r="CF32" s="2488"/>
      <c r="CG32" s="2488"/>
      <c r="CH32" s="2488"/>
      <c r="CI32" s="2488"/>
      <c r="CJ32" s="2488"/>
      <c r="CK32" s="2488"/>
      <c r="CL32" s="2488"/>
      <c r="CM32" s="2488"/>
      <c r="CN32" s="2488"/>
      <c r="CO32" s="2489"/>
    </row>
    <row r="33" spans="1:93" ht="16.5" customHeight="1">
      <c r="A33" s="129"/>
      <c r="B33" s="1992" t="s">
        <v>526</v>
      </c>
      <c r="C33" s="196"/>
      <c r="D33" s="579"/>
      <c r="E33" s="364"/>
      <c r="F33" s="364"/>
      <c r="G33" s="364"/>
      <c r="H33" s="364"/>
      <c r="I33" s="364"/>
      <c r="J33" s="364"/>
      <c r="K33" s="364"/>
      <c r="L33" s="364"/>
      <c r="M33" s="364"/>
      <c r="N33" s="364"/>
      <c r="O33" s="676"/>
      <c r="P33" s="196"/>
      <c r="Q33" s="579"/>
      <c r="R33" s="364"/>
      <c r="S33" s="364"/>
      <c r="T33" s="364"/>
      <c r="U33" s="364"/>
      <c r="V33" s="364"/>
      <c r="W33" s="364"/>
      <c r="X33" s="364"/>
      <c r="Y33" s="364"/>
      <c r="Z33" s="364"/>
      <c r="AA33" s="364"/>
      <c r="AB33" s="364"/>
      <c r="AC33" s="196"/>
      <c r="AD33" s="364"/>
      <c r="AE33" s="364"/>
      <c r="AF33" s="364"/>
      <c r="AG33" s="364"/>
      <c r="AH33" s="364"/>
      <c r="AI33" s="364"/>
      <c r="AJ33" s="364"/>
      <c r="AK33" s="364"/>
      <c r="AL33" s="364"/>
      <c r="AM33" s="364"/>
      <c r="AN33" s="364"/>
      <c r="AO33" s="676"/>
      <c r="AP33" s="196">
        <f t="shared" si="3"/>
        <v>5</v>
      </c>
      <c r="AQ33" s="364"/>
      <c r="AR33" s="364"/>
      <c r="AS33" s="364"/>
      <c r="AT33" s="364"/>
      <c r="AU33" s="364">
        <v>5</v>
      </c>
      <c r="AV33" s="364"/>
      <c r="AW33" s="364"/>
      <c r="AX33" s="364"/>
      <c r="AY33" s="364"/>
      <c r="AZ33" s="364"/>
      <c r="BA33" s="364"/>
      <c r="BB33" s="676"/>
      <c r="BC33" s="985">
        <f t="shared" si="12"/>
        <v>0</v>
      </c>
      <c r="BD33" s="1977"/>
      <c r="BE33" s="1977"/>
      <c r="BF33" s="1977"/>
      <c r="BG33" s="1977"/>
      <c r="BH33" s="1977"/>
      <c r="BI33" s="1977"/>
      <c r="BJ33" s="1977"/>
      <c r="BK33" s="1977"/>
      <c r="BL33" s="1977"/>
      <c r="BM33" s="1977"/>
      <c r="BN33" s="1977"/>
      <c r="BO33" s="1978"/>
      <c r="BP33" s="985">
        <f t="shared" si="5"/>
        <v>0</v>
      </c>
      <c r="BQ33" s="1977"/>
      <c r="BR33" s="1977"/>
      <c r="BS33" s="1977"/>
      <c r="BT33" s="1977"/>
      <c r="BU33" s="1977"/>
      <c r="BV33" s="1977"/>
      <c r="BW33" s="1977"/>
      <c r="BX33" s="1977"/>
      <c r="BY33" s="1977"/>
      <c r="BZ33" s="1977"/>
      <c r="CA33" s="1977"/>
      <c r="CB33" s="1978"/>
      <c r="CC33" s="985">
        <f t="shared" si="6"/>
        <v>0</v>
      </c>
      <c r="CD33" s="2488"/>
      <c r="CE33" s="2488"/>
      <c r="CF33" s="2488"/>
      <c r="CG33" s="2488"/>
      <c r="CH33" s="2488"/>
      <c r="CI33" s="2488"/>
      <c r="CJ33" s="2488"/>
      <c r="CK33" s="2488"/>
      <c r="CL33" s="2488"/>
      <c r="CM33" s="2488"/>
      <c r="CN33" s="2488"/>
      <c r="CO33" s="2489"/>
    </row>
    <row r="34" spans="1:93" ht="16.5" hidden="1" customHeight="1" outlineLevel="1">
      <c r="A34" s="129"/>
      <c r="B34" s="1992" t="s">
        <v>563</v>
      </c>
      <c r="C34" s="196"/>
      <c r="D34" s="579"/>
      <c r="E34" s="364"/>
      <c r="F34" s="364"/>
      <c r="G34" s="364"/>
      <c r="H34" s="364"/>
      <c r="I34" s="364"/>
      <c r="J34" s="364"/>
      <c r="K34" s="364"/>
      <c r="L34" s="364"/>
      <c r="M34" s="364"/>
      <c r="N34" s="364"/>
      <c r="O34" s="676"/>
      <c r="P34" s="196"/>
      <c r="Q34" s="579"/>
      <c r="R34" s="364"/>
      <c r="S34" s="364"/>
      <c r="T34" s="364"/>
      <c r="U34" s="364"/>
      <c r="V34" s="364"/>
      <c r="W34" s="364"/>
      <c r="X34" s="364"/>
      <c r="Y34" s="364"/>
      <c r="Z34" s="364"/>
      <c r="AA34" s="364"/>
      <c r="AB34" s="364"/>
      <c r="AC34" s="196"/>
      <c r="AD34" s="364"/>
      <c r="AE34" s="364"/>
      <c r="AF34" s="364"/>
      <c r="AG34" s="364"/>
      <c r="AH34" s="364"/>
      <c r="AI34" s="364"/>
      <c r="AJ34" s="364"/>
      <c r="AK34" s="364"/>
      <c r="AL34" s="364"/>
      <c r="AM34" s="364"/>
      <c r="AN34" s="364"/>
      <c r="AO34" s="676"/>
      <c r="AP34" s="196">
        <f t="shared" si="3"/>
        <v>0</v>
      </c>
      <c r="AQ34" s="364"/>
      <c r="AR34" s="364"/>
      <c r="AS34" s="364">
        <v>409.33</v>
      </c>
      <c r="AT34" s="364">
        <v>-409.33</v>
      </c>
      <c r="AU34" s="364"/>
      <c r="AV34" s="364">
        <v>513.29</v>
      </c>
      <c r="AW34" s="364">
        <v>-513.29</v>
      </c>
      <c r="AX34" s="364"/>
      <c r="AY34" s="364">
        <v>700</v>
      </c>
      <c r="AZ34" s="364">
        <v>-700</v>
      </c>
      <c r="BA34" s="364"/>
      <c r="BB34" s="676"/>
      <c r="BC34" s="1990">
        <f t="shared" si="12"/>
        <v>-3050</v>
      </c>
      <c r="BD34" s="1977"/>
      <c r="BE34" s="1977"/>
      <c r="BF34" s="1977">
        <v>100</v>
      </c>
      <c r="BG34" s="1977">
        <v>-100</v>
      </c>
      <c r="BH34" s="1977">
        <v>-700</v>
      </c>
      <c r="BI34" s="1977">
        <v>350</v>
      </c>
      <c r="BJ34" s="1977"/>
      <c r="BK34" s="1977"/>
      <c r="BL34" s="1977"/>
      <c r="BM34" s="1977">
        <v>-2700</v>
      </c>
      <c r="BN34" s="1977"/>
      <c r="BO34" s="1978"/>
      <c r="BP34" s="1990">
        <f t="shared" si="5"/>
        <v>-12365.010609999999</v>
      </c>
      <c r="BQ34" s="1977">
        <v>-2400</v>
      </c>
      <c r="BR34" s="1977">
        <v>-2578.13861</v>
      </c>
      <c r="BS34" s="1977">
        <v>-1299.1880000000001</v>
      </c>
      <c r="BT34" s="1977">
        <v>-1948.7819999999999</v>
      </c>
      <c r="BU34" s="1977">
        <v>-689.8</v>
      </c>
      <c r="BV34" s="1977">
        <v>-1379.6</v>
      </c>
      <c r="BW34" s="1977">
        <v>-2069.502</v>
      </c>
      <c r="BX34" s="1977"/>
      <c r="BY34" s="1977"/>
      <c r="BZ34" s="1977"/>
      <c r="CA34" s="1977"/>
      <c r="CB34" s="1978"/>
      <c r="CC34" s="1990">
        <f t="shared" si="6"/>
        <v>0</v>
      </c>
      <c r="CD34" s="2488"/>
      <c r="CE34" s="2488"/>
      <c r="CF34" s="2488"/>
      <c r="CG34" s="2488"/>
      <c r="CH34" s="2488"/>
      <c r="CI34" s="2488"/>
      <c r="CJ34" s="2488"/>
      <c r="CK34" s="2488"/>
      <c r="CL34" s="2488"/>
      <c r="CM34" s="2488"/>
      <c r="CN34" s="2488"/>
      <c r="CO34" s="2489"/>
    </row>
    <row r="35" spans="1:93" ht="16.5" hidden="1" customHeight="1" outlineLevel="1">
      <c r="A35" s="129"/>
      <c r="B35" s="1992" t="s">
        <v>579</v>
      </c>
      <c r="C35" s="196"/>
      <c r="D35" s="579"/>
      <c r="E35" s="364"/>
      <c r="F35" s="364"/>
      <c r="G35" s="364"/>
      <c r="H35" s="364"/>
      <c r="I35" s="364"/>
      <c r="J35" s="364"/>
      <c r="K35" s="364"/>
      <c r="L35" s="364"/>
      <c r="M35" s="364"/>
      <c r="N35" s="364"/>
      <c r="O35" s="676"/>
      <c r="P35" s="196"/>
      <c r="Q35" s="579"/>
      <c r="R35" s="364"/>
      <c r="S35" s="364"/>
      <c r="T35" s="364"/>
      <c r="U35" s="364"/>
      <c r="V35" s="364"/>
      <c r="W35" s="364"/>
      <c r="X35" s="364"/>
      <c r="Y35" s="364"/>
      <c r="Z35" s="364"/>
      <c r="AA35" s="364"/>
      <c r="AB35" s="364"/>
      <c r="AC35" s="196"/>
      <c r="AD35" s="364"/>
      <c r="AE35" s="364"/>
      <c r="AF35" s="364"/>
      <c r="AG35" s="364"/>
      <c r="AH35" s="364"/>
      <c r="AI35" s="364"/>
      <c r="AJ35" s="364"/>
      <c r="AK35" s="364"/>
      <c r="AL35" s="364"/>
      <c r="AM35" s="364"/>
      <c r="AN35" s="364"/>
      <c r="AO35" s="676"/>
      <c r="AP35" s="196"/>
      <c r="AQ35" s="364"/>
      <c r="AR35" s="364"/>
      <c r="AS35" s="364"/>
      <c r="AT35" s="364"/>
      <c r="AU35" s="364"/>
      <c r="AV35" s="364"/>
      <c r="AW35" s="364"/>
      <c r="AX35" s="364"/>
      <c r="AY35" s="364"/>
      <c r="AZ35" s="364"/>
      <c r="BA35" s="364"/>
      <c r="BB35" s="676"/>
      <c r="BC35" s="985">
        <f t="shared" si="12"/>
        <v>1286.075216</v>
      </c>
      <c r="BD35" s="1977"/>
      <c r="BE35" s="1977"/>
      <c r="BF35" s="1977">
        <v>-372.53773000000001</v>
      </c>
      <c r="BG35" s="1977">
        <v>-239.25</v>
      </c>
      <c r="BH35" s="1977">
        <v>-32.417499999999905</v>
      </c>
      <c r="BI35" s="1977">
        <v>39.646819999999998</v>
      </c>
      <c r="BJ35" s="1977">
        <v>239.25</v>
      </c>
      <c r="BK35" s="1977">
        <v>727.56271600000002</v>
      </c>
      <c r="BL35" s="1977">
        <v>590.92999999999984</v>
      </c>
      <c r="BM35" s="1977"/>
      <c r="BN35" s="1977">
        <v>332.89091000000002</v>
      </c>
      <c r="BO35" s="1978"/>
      <c r="BP35" s="1990">
        <f t="shared" si="5"/>
        <v>4828.9066399999992</v>
      </c>
      <c r="BQ35" s="1977"/>
      <c r="BR35" s="1977">
        <v>587.427729</v>
      </c>
      <c r="BS35" s="1977">
        <v>1269.5994559999999</v>
      </c>
      <c r="BT35" s="1977">
        <v>1860.8149089999999</v>
      </c>
      <c r="BU35" s="1977">
        <v>1087.7645460000001</v>
      </c>
      <c r="BV35" s="1977">
        <v>385.9</v>
      </c>
      <c r="BW35" s="1977">
        <v>-362.6</v>
      </c>
      <c r="BX35" s="1977"/>
      <c r="BY35" s="1977"/>
      <c r="BZ35" s="1977"/>
      <c r="CA35" s="1977"/>
      <c r="CB35" s="1978"/>
      <c r="CC35" s="1990">
        <f t="shared" si="6"/>
        <v>0</v>
      </c>
      <c r="CD35" s="2488"/>
      <c r="CE35" s="2488"/>
      <c r="CF35" s="2488"/>
      <c r="CG35" s="2488"/>
      <c r="CH35" s="2488"/>
      <c r="CI35" s="2488"/>
      <c r="CJ35" s="2488"/>
      <c r="CK35" s="2488"/>
      <c r="CL35" s="2488"/>
      <c r="CM35" s="2488"/>
      <c r="CN35" s="2488"/>
      <c r="CO35" s="2489"/>
    </row>
    <row r="36" spans="1:93" ht="16.5" hidden="1" customHeight="1" outlineLevel="1">
      <c r="A36" s="129"/>
      <c r="B36" s="1713"/>
      <c r="C36" s="979"/>
      <c r="D36" s="980"/>
      <c r="E36" s="981"/>
      <c r="F36" s="981"/>
      <c r="G36" s="981"/>
      <c r="H36" s="981"/>
      <c r="I36" s="981"/>
      <c r="J36" s="981"/>
      <c r="K36" s="981"/>
      <c r="L36" s="981"/>
      <c r="M36" s="981"/>
      <c r="N36" s="981"/>
      <c r="O36" s="982"/>
      <c r="P36" s="979"/>
      <c r="Q36" s="980"/>
      <c r="R36" s="981"/>
      <c r="S36" s="981"/>
      <c r="T36" s="981"/>
      <c r="U36" s="981"/>
      <c r="V36" s="981"/>
      <c r="W36" s="981"/>
      <c r="X36" s="981"/>
      <c r="Y36" s="981"/>
      <c r="Z36" s="981"/>
      <c r="AA36" s="981"/>
      <c r="AB36" s="981"/>
      <c r="AC36" s="979"/>
      <c r="AD36" s="981"/>
      <c r="AE36" s="981"/>
      <c r="AF36" s="981"/>
      <c r="AG36" s="981"/>
      <c r="AH36" s="981"/>
      <c r="AI36" s="981"/>
      <c r="AJ36" s="981"/>
      <c r="AK36" s="981"/>
      <c r="AL36" s="981"/>
      <c r="AM36" s="981"/>
      <c r="AN36" s="981"/>
      <c r="AO36" s="982"/>
      <c r="AP36" s="979"/>
      <c r="AQ36" s="981"/>
      <c r="AR36" s="981"/>
      <c r="AS36" s="981"/>
      <c r="AT36" s="981"/>
      <c r="AU36" s="981"/>
      <c r="AV36" s="981"/>
      <c r="AW36" s="981"/>
      <c r="AX36" s="981"/>
      <c r="AY36" s="981"/>
      <c r="AZ36" s="981"/>
      <c r="BA36" s="981"/>
      <c r="BB36" s="982"/>
      <c r="BC36" s="985"/>
      <c r="BD36" s="1979"/>
      <c r="BE36" s="1979"/>
      <c r="BF36" s="1979"/>
      <c r="BG36" s="1979"/>
      <c r="BH36" s="1979"/>
      <c r="BI36" s="1979"/>
      <c r="BJ36" s="1979"/>
      <c r="BK36" s="1979"/>
      <c r="BL36" s="1979"/>
      <c r="BM36" s="1979"/>
      <c r="BN36" s="1979"/>
      <c r="BO36" s="1980"/>
      <c r="BP36" s="1990">
        <f t="shared" si="5"/>
        <v>0</v>
      </c>
      <c r="BQ36" s="1979"/>
      <c r="BR36" s="1979"/>
      <c r="BS36" s="1979"/>
      <c r="BT36" s="1979"/>
      <c r="BU36" s="1979"/>
      <c r="BV36" s="1979"/>
      <c r="BW36" s="1979"/>
      <c r="BX36" s="1979"/>
      <c r="BY36" s="1979"/>
      <c r="BZ36" s="1979"/>
      <c r="CA36" s="1979"/>
      <c r="CB36" s="1980"/>
      <c r="CC36" s="1990">
        <f t="shared" si="6"/>
        <v>0</v>
      </c>
      <c r="CD36" s="2490"/>
      <c r="CE36" s="2490"/>
      <c r="CF36" s="2490"/>
      <c r="CG36" s="2490"/>
      <c r="CH36" s="2490"/>
      <c r="CI36" s="2490"/>
      <c r="CJ36" s="2490"/>
      <c r="CK36" s="2490"/>
      <c r="CL36" s="2490"/>
      <c r="CM36" s="2490"/>
      <c r="CN36" s="2490"/>
      <c r="CO36" s="2491"/>
    </row>
    <row r="37" spans="1:93" collapsed="1">
      <c r="B37" s="1993" t="s">
        <v>123</v>
      </c>
      <c r="C37" s="195">
        <f>SUM(C6:C36)</f>
        <v>37906.485624000001</v>
      </c>
      <c r="D37" s="580">
        <f t="shared" ref="D37:BO37" si="13">SUM(D6:D36)</f>
        <v>3674.1152839999995</v>
      </c>
      <c r="E37" s="367">
        <f t="shared" si="13"/>
        <v>3794.4980860000001</v>
      </c>
      <c r="F37" s="367">
        <f t="shared" si="13"/>
        <v>3725.1432219999997</v>
      </c>
      <c r="G37" s="367">
        <f t="shared" si="13"/>
        <v>3615.8689800000002</v>
      </c>
      <c r="H37" s="367">
        <f t="shared" si="13"/>
        <v>2990.6585290000003</v>
      </c>
      <c r="I37" s="367">
        <f t="shared" si="13"/>
        <v>2899.5183699999998</v>
      </c>
      <c r="J37" s="367">
        <f t="shared" si="13"/>
        <v>2858.8552960000002</v>
      </c>
      <c r="K37" s="367">
        <f t="shared" si="13"/>
        <v>2803.6440000000002</v>
      </c>
      <c r="L37" s="580">
        <f t="shared" si="13"/>
        <v>2934.3222310000001</v>
      </c>
      <c r="M37" s="580">
        <f t="shared" si="13"/>
        <v>2871.843378</v>
      </c>
      <c r="N37" s="367">
        <f t="shared" si="13"/>
        <v>2875.3848830000002</v>
      </c>
      <c r="O37" s="580">
        <f t="shared" si="13"/>
        <v>3024.8773649999998</v>
      </c>
      <c r="P37" s="195">
        <f t="shared" si="13"/>
        <v>35702.653002999999</v>
      </c>
      <c r="Q37" s="580">
        <f t="shared" si="13"/>
        <v>2820.143</v>
      </c>
      <c r="R37" s="580">
        <f t="shared" si="13"/>
        <v>2878.6608839999999</v>
      </c>
      <c r="S37" s="580">
        <f t="shared" si="13"/>
        <v>2833.554545</v>
      </c>
      <c r="T37" s="580">
        <f t="shared" si="13"/>
        <v>3082.7488840000001</v>
      </c>
      <c r="U37" s="580">
        <f t="shared" si="13"/>
        <v>2949.3310000000001</v>
      </c>
      <c r="V37" s="580">
        <f t="shared" si="13"/>
        <v>2886.386</v>
      </c>
      <c r="W37" s="580">
        <f t="shared" si="13"/>
        <v>3103.8674500000002</v>
      </c>
      <c r="X37" s="580">
        <f t="shared" si="13"/>
        <v>2885.2334999999998</v>
      </c>
      <c r="Y37" s="580">
        <f t="shared" si="13"/>
        <v>2901.6260000000002</v>
      </c>
      <c r="Z37" s="580">
        <f t="shared" si="13"/>
        <v>3254.2930580000002</v>
      </c>
      <c r="AA37" s="580">
        <f t="shared" si="13"/>
        <v>2957.1215000000002</v>
      </c>
      <c r="AB37" s="580">
        <f t="shared" si="13"/>
        <v>3149.6871820000001</v>
      </c>
      <c r="AC37" s="195">
        <f t="shared" si="13"/>
        <v>40548.990577999997</v>
      </c>
      <c r="AD37" s="580">
        <f t="shared" si="13"/>
        <v>2986.941883</v>
      </c>
      <c r="AE37" s="580">
        <f t="shared" si="13"/>
        <v>2840.9030000000002</v>
      </c>
      <c r="AF37" s="580">
        <f t="shared" si="13"/>
        <v>3372.1570430000002</v>
      </c>
      <c r="AG37" s="580">
        <f t="shared" si="13"/>
        <v>2905.3904539999999</v>
      </c>
      <c r="AH37" s="580">
        <f t="shared" si="13"/>
        <v>3803.0952779999998</v>
      </c>
      <c r="AI37" s="580">
        <f t="shared" si="13"/>
        <v>4721.2764999999999</v>
      </c>
      <c r="AJ37" s="580">
        <f t="shared" si="13"/>
        <v>3191.410175</v>
      </c>
      <c r="AK37" s="580">
        <f t="shared" si="13"/>
        <v>3282.9250000000002</v>
      </c>
      <c r="AL37" s="580">
        <f t="shared" si="13"/>
        <v>3834.1408179999999</v>
      </c>
      <c r="AM37" s="580">
        <f t="shared" si="13"/>
        <v>3153.7080069999997</v>
      </c>
      <c r="AN37" s="580">
        <f t="shared" si="13"/>
        <v>3239.4722200000001</v>
      </c>
      <c r="AO37" s="580">
        <f t="shared" si="13"/>
        <v>3217.5702000000001</v>
      </c>
      <c r="AP37" s="195">
        <f t="shared" si="13"/>
        <v>38879.935210000003</v>
      </c>
      <c r="AQ37" s="580">
        <f t="shared" si="13"/>
        <v>3701.9756499999999</v>
      </c>
      <c r="AR37" s="580">
        <f t="shared" si="13"/>
        <v>3015.6379999999999</v>
      </c>
      <c r="AS37" s="580">
        <f t="shared" si="13"/>
        <v>3655.3415899999995</v>
      </c>
      <c r="AT37" s="580">
        <f t="shared" si="13"/>
        <v>2995.38465</v>
      </c>
      <c r="AU37" s="580">
        <f t="shared" si="13"/>
        <v>2993.6304500000001</v>
      </c>
      <c r="AV37" s="580">
        <f t="shared" si="13"/>
        <v>3595.3485000000001</v>
      </c>
      <c r="AW37" s="580">
        <f t="shared" si="13"/>
        <v>3114.0605500000001</v>
      </c>
      <c r="AX37" s="580">
        <f t="shared" si="13"/>
        <v>3023.9007599999973</v>
      </c>
      <c r="AY37" s="580">
        <f t="shared" si="13"/>
        <v>3747.1983300000002</v>
      </c>
      <c r="AZ37" s="580">
        <f t="shared" si="13"/>
        <v>2965.5316399999997</v>
      </c>
      <c r="BA37" s="580">
        <f t="shared" si="13"/>
        <v>3003.9773300000002</v>
      </c>
      <c r="BB37" s="1587">
        <f t="shared" si="13"/>
        <v>3067.94776</v>
      </c>
      <c r="BC37" s="986">
        <f t="shared" si="13"/>
        <v>46772.812815000005</v>
      </c>
      <c r="BD37" s="1981">
        <f t="shared" si="13"/>
        <v>3678.4156990000001</v>
      </c>
      <c r="BE37" s="1981">
        <f t="shared" si="13"/>
        <v>3523.3691009999998</v>
      </c>
      <c r="BF37" s="1981">
        <f t="shared" si="13"/>
        <v>3036.1149099999998</v>
      </c>
      <c r="BG37" s="1981">
        <f t="shared" si="13"/>
        <v>4290.3535499999989</v>
      </c>
      <c r="BH37" s="1981">
        <f t="shared" si="13"/>
        <v>3214.55888</v>
      </c>
      <c r="BI37" s="1981">
        <f t="shared" si="13"/>
        <v>3866.4043420000003</v>
      </c>
      <c r="BJ37" s="1981">
        <f t="shared" si="13"/>
        <v>4044.6370189999998</v>
      </c>
      <c r="BK37" s="1981">
        <f t="shared" si="13"/>
        <v>4471.6898609999998</v>
      </c>
      <c r="BL37" s="1981">
        <f t="shared" si="13"/>
        <v>5003.489662</v>
      </c>
      <c r="BM37" s="1981">
        <f t="shared" si="13"/>
        <v>3016.6246760000004</v>
      </c>
      <c r="BN37" s="1981">
        <f t="shared" si="13"/>
        <v>4930.5679990000008</v>
      </c>
      <c r="BO37" s="1982">
        <f t="shared" si="13"/>
        <v>3696.5871159999997</v>
      </c>
      <c r="BP37" s="986">
        <f t="shared" ref="BP37:CB37" si="14">SUM(BP6:BP36)</f>
        <v>45387.643700000015</v>
      </c>
      <c r="BQ37" s="1981">
        <f t="shared" si="14"/>
        <v>3245.6867260000008</v>
      </c>
      <c r="BR37" s="1981">
        <f t="shared" si="14"/>
        <v>3746.3676999999998</v>
      </c>
      <c r="BS37" s="1981">
        <f t="shared" si="14"/>
        <v>3824.4653829999997</v>
      </c>
      <c r="BT37" s="1981">
        <f t="shared" si="14"/>
        <v>3913.2847629999997</v>
      </c>
      <c r="BU37" s="1981">
        <f t="shared" si="14"/>
        <v>3710.1039660000006</v>
      </c>
      <c r="BV37" s="1981">
        <f t="shared" si="14"/>
        <v>3794.3224579999996</v>
      </c>
      <c r="BW37" s="1981">
        <f t="shared" si="14"/>
        <v>3726.4179130000002</v>
      </c>
      <c r="BX37" s="1981">
        <f t="shared" si="14"/>
        <v>3705.5692830000003</v>
      </c>
      <c r="BY37" s="1981">
        <f t="shared" si="14"/>
        <v>3699.884133</v>
      </c>
      <c r="BZ37" s="1981">
        <f t="shared" si="14"/>
        <v>3734.8445689999999</v>
      </c>
      <c r="CA37" s="1981">
        <f t="shared" si="14"/>
        <v>3611.1105430000002</v>
      </c>
      <c r="CB37" s="1982">
        <f t="shared" si="14"/>
        <v>4675.5862629999992</v>
      </c>
      <c r="CC37" s="986">
        <f t="shared" ref="CC37:CO37" si="15">SUM(CC6:CC36)</f>
        <v>45580.315093282661</v>
      </c>
      <c r="CD37" s="2028">
        <f t="shared" si="15"/>
        <v>3801.4429244402218</v>
      </c>
      <c r="CE37" s="2028">
        <f t="shared" si="15"/>
        <v>3774.4429244402218</v>
      </c>
      <c r="CF37" s="2028">
        <f t="shared" si="15"/>
        <v>3776.4429244402218</v>
      </c>
      <c r="CG37" s="2028">
        <f t="shared" si="15"/>
        <v>3776.4429244402218</v>
      </c>
      <c r="CH37" s="2028">
        <f t="shared" si="15"/>
        <v>3776.4429244402218</v>
      </c>
      <c r="CI37" s="2028">
        <f t="shared" si="15"/>
        <v>3776.4429244402218</v>
      </c>
      <c r="CJ37" s="2028">
        <f t="shared" si="15"/>
        <v>3816.4429244402218</v>
      </c>
      <c r="CK37" s="2028">
        <f t="shared" si="15"/>
        <v>3816.4429244402218</v>
      </c>
      <c r="CL37" s="2028">
        <f t="shared" si="15"/>
        <v>3816.4429244402218</v>
      </c>
      <c r="CM37" s="2028">
        <f t="shared" si="15"/>
        <v>3816.4429244402218</v>
      </c>
      <c r="CN37" s="2028">
        <f t="shared" si="15"/>
        <v>3816.4429244402218</v>
      </c>
      <c r="CO37" s="2029">
        <f t="shared" si="15"/>
        <v>3816.4429244402218</v>
      </c>
    </row>
    <row r="38" spans="1:93">
      <c r="D38" s="509"/>
      <c r="E38" s="547"/>
      <c r="F38" s="677"/>
      <c r="G38" s="547"/>
      <c r="H38" s="547"/>
      <c r="I38" s="547"/>
      <c r="J38" s="547"/>
      <c r="K38" s="547"/>
      <c r="L38" s="547"/>
      <c r="M38" s="547"/>
      <c r="N38" s="547"/>
      <c r="O38" s="548"/>
      <c r="Q38" s="509"/>
      <c r="R38" s="547"/>
      <c r="S38" s="547"/>
      <c r="T38" s="547"/>
      <c r="U38" s="547"/>
      <c r="V38" s="547"/>
      <c r="W38" s="547"/>
      <c r="X38" s="547"/>
      <c r="Y38" s="547"/>
      <c r="Z38" s="547"/>
      <c r="AA38" s="547"/>
      <c r="AB38" s="548"/>
      <c r="AD38" s="509"/>
      <c r="AE38" s="547"/>
      <c r="AF38" s="547"/>
      <c r="AG38" s="547"/>
      <c r="AH38" s="547"/>
      <c r="AI38" s="547"/>
      <c r="AJ38" s="547"/>
      <c r="AK38" s="547"/>
      <c r="AL38" s="547"/>
      <c r="AM38" s="547"/>
      <c r="AN38" s="547"/>
      <c r="AO38" s="548"/>
      <c r="AQ38" s="509"/>
      <c r="AR38" s="547"/>
      <c r="AS38" s="547"/>
      <c r="AT38" s="547"/>
      <c r="AU38" s="547"/>
      <c r="AV38" s="547"/>
      <c r="AW38" s="547"/>
      <c r="AX38" s="547"/>
      <c r="AY38" s="547"/>
      <c r="AZ38" s="547"/>
      <c r="BA38" s="547"/>
      <c r="BB38" s="548"/>
      <c r="BC38" s="546"/>
      <c r="BD38" s="1435"/>
      <c r="BE38" s="548"/>
      <c r="BF38" s="548"/>
      <c r="BG38" s="548"/>
      <c r="BH38" s="548"/>
      <c r="BI38" s="548"/>
      <c r="BJ38" s="548"/>
      <c r="BK38" s="548"/>
      <c r="BL38" s="548"/>
      <c r="BM38" s="548"/>
      <c r="BN38" s="548"/>
      <c r="BO38" s="1436"/>
      <c r="BP38" s="546"/>
      <c r="BQ38" s="1435"/>
      <c r="BR38" s="548"/>
      <c r="BS38" s="548"/>
      <c r="BT38" s="548"/>
      <c r="BU38" s="548"/>
      <c r="BV38" s="548"/>
      <c r="BW38" s="548"/>
      <c r="BX38" s="548"/>
      <c r="BY38" s="548"/>
      <c r="BZ38" s="548"/>
      <c r="CA38" s="548"/>
      <c r="CB38" s="1436"/>
      <c r="CC38" s="546"/>
      <c r="CD38" s="1435"/>
      <c r="CE38" s="548"/>
      <c r="CF38" s="548"/>
      <c r="CG38" s="548"/>
      <c r="CH38" s="548"/>
      <c r="CI38" s="548"/>
      <c r="CJ38" s="548"/>
      <c r="CK38" s="548"/>
      <c r="CL38" s="548"/>
      <c r="CM38" s="548"/>
      <c r="CN38" s="548"/>
      <c r="CO38" s="1436"/>
    </row>
    <row r="39" spans="1:93" ht="21">
      <c r="B39" s="29" t="s">
        <v>343</v>
      </c>
      <c r="C39" s="126"/>
      <c r="D39" s="566"/>
      <c r="E39" s="497"/>
      <c r="F39" s="497"/>
      <c r="G39" s="497"/>
      <c r="H39" s="497"/>
      <c r="I39" s="497"/>
      <c r="J39" s="497"/>
      <c r="K39" s="497"/>
      <c r="L39" s="497"/>
      <c r="M39" s="497"/>
      <c r="N39" s="497"/>
      <c r="O39" s="549"/>
      <c r="P39" s="126"/>
      <c r="Q39" s="566"/>
      <c r="R39" s="497"/>
      <c r="S39" s="497"/>
      <c r="T39" s="497"/>
      <c r="U39" s="497"/>
      <c r="V39" s="497"/>
      <c r="W39" s="497"/>
      <c r="X39" s="497"/>
      <c r="Y39" s="497"/>
      <c r="Z39" s="497"/>
      <c r="AA39" s="497"/>
      <c r="AB39" s="549"/>
      <c r="AC39" s="126"/>
      <c r="AD39" s="566"/>
      <c r="AE39" s="497"/>
      <c r="AF39" s="497"/>
      <c r="AG39" s="497"/>
      <c r="AH39" s="497"/>
      <c r="AI39" s="497"/>
      <c r="AJ39" s="497"/>
      <c r="AK39" s="497"/>
      <c r="AL39" s="497"/>
      <c r="AM39" s="497"/>
      <c r="AN39" s="497"/>
      <c r="AO39" s="549"/>
      <c r="AP39" s="126"/>
      <c r="AQ39" s="566"/>
      <c r="AR39" s="497"/>
      <c r="AS39" s="497"/>
      <c r="AT39" s="497"/>
      <c r="AU39" s="497"/>
      <c r="AV39" s="497"/>
      <c r="AW39" s="497"/>
      <c r="AX39" s="497"/>
      <c r="AY39" s="497"/>
      <c r="AZ39" s="497"/>
      <c r="BA39" s="497"/>
      <c r="BB39" s="549"/>
      <c r="BC39" s="487"/>
      <c r="BD39" s="1437"/>
      <c r="BE39" s="549"/>
      <c r="BF39" s="549"/>
      <c r="BG39" s="549"/>
      <c r="BH39" s="549"/>
      <c r="BI39" s="549"/>
      <c r="BJ39" s="549"/>
      <c r="BK39" s="549"/>
      <c r="BL39" s="549"/>
      <c r="BM39" s="549"/>
      <c r="BN39" s="549"/>
      <c r="BO39" s="1426"/>
      <c r="BP39" s="487"/>
      <c r="BQ39" s="1437"/>
      <c r="BR39" s="549"/>
      <c r="BS39" s="549"/>
      <c r="BT39" s="549"/>
      <c r="BU39" s="549"/>
      <c r="BV39" s="549"/>
      <c r="BW39" s="549"/>
      <c r="BX39" s="549"/>
      <c r="BY39" s="549"/>
      <c r="BZ39" s="549"/>
      <c r="CA39" s="549"/>
      <c r="CB39" s="1426"/>
      <c r="CC39" s="487"/>
      <c r="CD39" s="1437"/>
      <c r="CE39" s="549"/>
      <c r="CF39" s="549"/>
      <c r="CG39" s="549"/>
      <c r="CH39" s="549"/>
      <c r="CI39" s="549"/>
      <c r="CJ39" s="549"/>
      <c r="CK39" s="549"/>
      <c r="CL39" s="549"/>
      <c r="CM39" s="549"/>
      <c r="CN39" s="549"/>
      <c r="CO39" s="1426"/>
    </row>
    <row r="40" spans="1:93">
      <c r="A40" s="96"/>
      <c r="B40" s="197" t="s">
        <v>344</v>
      </c>
      <c r="C40" s="198">
        <f>SUM(D40:O40)</f>
        <v>2.2339039999999999</v>
      </c>
      <c r="D40" s="581">
        <v>0.88481799999999999</v>
      </c>
      <c r="E40" s="595">
        <v>0</v>
      </c>
      <c r="F40" s="595">
        <v>0</v>
      </c>
      <c r="G40" s="595">
        <v>1.349086</v>
      </c>
      <c r="H40" s="595">
        <v>0</v>
      </c>
      <c r="I40" s="595">
        <v>0</v>
      </c>
      <c r="J40" s="595">
        <v>0</v>
      </c>
      <c r="K40" s="595">
        <v>0</v>
      </c>
      <c r="L40" s="595">
        <f>K40</f>
        <v>0</v>
      </c>
      <c r="M40" s="595">
        <f t="shared" ref="M40" si="16">L40</f>
        <v>0</v>
      </c>
      <c r="N40" s="595">
        <f t="shared" ref="N40" si="17">K40</f>
        <v>0</v>
      </c>
      <c r="O40" s="595">
        <f t="shared" ref="O40" si="18">N40</f>
        <v>0</v>
      </c>
      <c r="P40" s="198">
        <f>SUM(Q40:AB40)</f>
        <v>5.2263310000000009</v>
      </c>
      <c r="Q40" s="581">
        <v>2.4086310000000002</v>
      </c>
      <c r="R40" s="581"/>
      <c r="S40" s="581"/>
      <c r="T40" s="581">
        <v>1.6080000000000001</v>
      </c>
      <c r="U40" s="581"/>
      <c r="V40" s="581"/>
      <c r="W40" s="581">
        <v>0.98499999999999999</v>
      </c>
      <c r="X40" s="581"/>
      <c r="Y40" s="581"/>
      <c r="Z40" s="581">
        <v>0.22470000000000001</v>
      </c>
      <c r="AA40" s="581"/>
      <c r="AB40" s="581"/>
      <c r="AC40" s="198">
        <f>SUM(AD40:AO40)</f>
        <v>4.1505450000000002</v>
      </c>
      <c r="AD40" s="581">
        <v>0.14599999999999999</v>
      </c>
      <c r="AE40" s="581">
        <v>0</v>
      </c>
      <c r="AF40" s="581">
        <v>0</v>
      </c>
      <c r="AG40" s="581">
        <v>1.8129999999999999</v>
      </c>
      <c r="AH40" s="581">
        <v>0</v>
      </c>
      <c r="AI40" s="581">
        <v>0</v>
      </c>
      <c r="AJ40" s="581">
        <v>0.58599999999999997</v>
      </c>
      <c r="AK40" s="581">
        <v>0</v>
      </c>
      <c r="AL40" s="581">
        <v>0</v>
      </c>
      <c r="AM40" s="581">
        <v>0</v>
      </c>
      <c r="AN40" s="581">
        <v>1.605545</v>
      </c>
      <c r="AO40" s="792">
        <v>0</v>
      </c>
      <c r="AP40" s="198">
        <f>SUM(AQ40:BB40)</f>
        <v>0.73499999999999999</v>
      </c>
      <c r="AQ40" s="1588">
        <v>0.47</v>
      </c>
      <c r="AR40" s="581">
        <v>0</v>
      </c>
      <c r="AS40" s="581">
        <v>0</v>
      </c>
      <c r="AT40" s="1588">
        <v>0.26500000000000001</v>
      </c>
      <c r="AU40" s="581">
        <v>0</v>
      </c>
      <c r="AV40" s="581">
        <v>0</v>
      </c>
      <c r="AW40" s="581">
        <v>0</v>
      </c>
      <c r="AX40" s="792">
        <v>0</v>
      </c>
      <c r="AY40" s="792">
        <v>0</v>
      </c>
      <c r="AZ40" s="792">
        <v>0</v>
      </c>
      <c r="BA40" s="792">
        <v>0</v>
      </c>
      <c r="BB40" s="792">
        <v>0</v>
      </c>
      <c r="BC40" s="989">
        <f>SUM(BD40:BO40)</f>
        <v>4.6877279999999999</v>
      </c>
      <c r="BD40" s="1983">
        <v>2.9615459999999998</v>
      </c>
      <c r="BE40" s="1984">
        <v>0</v>
      </c>
      <c r="BF40" s="1984">
        <v>0</v>
      </c>
      <c r="BG40" s="1985">
        <v>0.44536399999999998</v>
      </c>
      <c r="BH40" s="1984">
        <v>0</v>
      </c>
      <c r="BI40" s="1984">
        <v>0</v>
      </c>
      <c r="BJ40" s="1984">
        <v>0</v>
      </c>
      <c r="BK40" s="1984">
        <v>0.87181799999999998</v>
      </c>
      <c r="BL40" s="1984">
        <v>0</v>
      </c>
      <c r="BM40" s="1984">
        <v>0</v>
      </c>
      <c r="BN40" s="1984">
        <v>0.40899999999999997</v>
      </c>
      <c r="BO40" s="1986">
        <v>0</v>
      </c>
      <c r="BP40" s="989">
        <f>SUM(BQ40:CB40)</f>
        <v>0</v>
      </c>
      <c r="BQ40" s="1983">
        <v>0</v>
      </c>
      <c r="BR40" s="1984">
        <v>0</v>
      </c>
      <c r="BS40" s="1984">
        <v>0</v>
      </c>
      <c r="BT40" s="1984">
        <v>0</v>
      </c>
      <c r="BU40" s="1984">
        <v>0</v>
      </c>
      <c r="BV40" s="1984">
        <v>0</v>
      </c>
      <c r="BW40" s="1984">
        <v>0</v>
      </c>
      <c r="BX40" s="1984">
        <v>0</v>
      </c>
      <c r="BY40" s="1984">
        <v>0</v>
      </c>
      <c r="BZ40" s="1984">
        <v>0</v>
      </c>
      <c r="CA40" s="1984">
        <v>0</v>
      </c>
      <c r="CB40" s="1986">
        <v>0</v>
      </c>
      <c r="CC40" s="989">
        <f>SUM(CD40:CO40)</f>
        <v>0</v>
      </c>
      <c r="CD40" s="2818">
        <v>0</v>
      </c>
      <c r="CE40" s="2819">
        <v>0</v>
      </c>
      <c r="CF40" s="2819">
        <v>0</v>
      </c>
      <c r="CG40" s="2819">
        <v>0</v>
      </c>
      <c r="CH40" s="2819">
        <v>0</v>
      </c>
      <c r="CI40" s="2819">
        <v>0</v>
      </c>
      <c r="CJ40" s="2819">
        <v>0</v>
      </c>
      <c r="CK40" s="2819">
        <v>0</v>
      </c>
      <c r="CL40" s="2819">
        <v>0</v>
      </c>
      <c r="CM40" s="2819">
        <f t="shared" ref="CM40:CO40" si="19">CL40</f>
        <v>0</v>
      </c>
      <c r="CN40" s="2819">
        <f t="shared" si="19"/>
        <v>0</v>
      </c>
      <c r="CO40" s="2820">
        <f t="shared" si="19"/>
        <v>0</v>
      </c>
    </row>
    <row r="41" spans="1:93">
      <c r="D41" s="509"/>
      <c r="E41" s="547"/>
      <c r="F41" s="547"/>
      <c r="G41" s="547"/>
      <c r="H41" s="547"/>
      <c r="I41" s="547"/>
      <c r="J41" s="547"/>
      <c r="K41" s="547"/>
      <c r="L41" s="547"/>
      <c r="M41" s="547"/>
      <c r="N41" s="547"/>
      <c r="O41" s="548"/>
      <c r="Q41" s="509"/>
      <c r="R41" s="547"/>
      <c r="S41" s="547"/>
      <c r="T41" s="547"/>
      <c r="U41" s="547"/>
      <c r="V41" s="547"/>
      <c r="W41" s="547"/>
      <c r="X41" s="547"/>
      <c r="Y41" s="547"/>
      <c r="Z41" s="547"/>
      <c r="AA41" s="547"/>
      <c r="AB41" s="548"/>
      <c r="AD41" s="509"/>
      <c r="AE41" s="547"/>
      <c r="AF41" s="547"/>
      <c r="AG41" s="547"/>
      <c r="AH41" s="547"/>
      <c r="AI41" s="547"/>
      <c r="AJ41" s="547"/>
      <c r="AK41" s="547"/>
      <c r="AL41" s="547"/>
      <c r="AM41" s="547"/>
      <c r="AN41" s="547"/>
      <c r="AO41" s="548"/>
      <c r="AQ41" s="509"/>
      <c r="AR41" s="547"/>
      <c r="AS41" s="547"/>
      <c r="AT41" s="547"/>
      <c r="AU41" s="547"/>
      <c r="AV41" s="547"/>
      <c r="AW41" s="547"/>
      <c r="AX41" s="547"/>
      <c r="AY41" s="547"/>
      <c r="AZ41" s="547"/>
      <c r="BA41" s="547"/>
      <c r="BB41" s="548"/>
      <c r="BC41" s="546"/>
      <c r="BD41" s="1435"/>
      <c r="BE41" s="548"/>
      <c r="BF41" s="548"/>
      <c r="BG41" s="548"/>
      <c r="BH41" s="548"/>
      <c r="BI41" s="548"/>
      <c r="BJ41" s="548"/>
      <c r="BK41" s="548"/>
      <c r="BL41" s="548"/>
      <c r="BM41" s="548"/>
      <c r="BN41" s="548"/>
      <c r="BO41" s="1436"/>
      <c r="BP41" s="546"/>
      <c r="BQ41" s="1435"/>
      <c r="BR41" s="548"/>
      <c r="BS41" s="548"/>
      <c r="BT41" s="548"/>
      <c r="BU41" s="548"/>
      <c r="BV41" s="548"/>
      <c r="BW41" s="548"/>
      <c r="BX41" s="548"/>
      <c r="BY41" s="548"/>
      <c r="BZ41" s="548"/>
      <c r="CA41" s="548"/>
      <c r="CB41" s="1436"/>
      <c r="CC41" s="546"/>
      <c r="CD41" s="1435"/>
      <c r="CE41" s="548"/>
      <c r="CF41" s="548"/>
      <c r="CG41" s="548"/>
      <c r="CH41" s="548"/>
      <c r="CI41" s="548"/>
      <c r="CJ41" s="548"/>
      <c r="CK41" s="548"/>
      <c r="CL41" s="548"/>
      <c r="CM41" s="548"/>
      <c r="CN41" s="548"/>
      <c r="CO41" s="1436"/>
    </row>
    <row r="42" spans="1:93">
      <c r="D42" s="509"/>
      <c r="E42" s="547"/>
      <c r="F42" s="547"/>
      <c r="G42" s="547"/>
      <c r="H42" s="547"/>
      <c r="I42" s="547"/>
      <c r="J42" s="547"/>
      <c r="K42" s="547"/>
      <c r="L42" s="547"/>
      <c r="M42" s="547"/>
      <c r="N42" s="547"/>
      <c r="O42" s="548"/>
      <c r="Q42" s="509"/>
      <c r="R42" s="547"/>
      <c r="S42" s="547"/>
      <c r="T42" s="547"/>
      <c r="U42" s="547"/>
      <c r="V42" s="547"/>
      <c r="W42" s="547"/>
      <c r="X42" s="547"/>
      <c r="Y42" s="547"/>
      <c r="Z42" s="547"/>
      <c r="AA42" s="547"/>
      <c r="AB42" s="548"/>
      <c r="AD42" s="509"/>
      <c r="AE42" s="547"/>
      <c r="AF42" s="547"/>
      <c r="AG42" s="547"/>
      <c r="AH42" s="547"/>
      <c r="AI42" s="547"/>
      <c r="AJ42" s="547"/>
      <c r="AK42" s="547"/>
      <c r="AL42" s="547"/>
      <c r="AM42" s="547"/>
      <c r="AN42" s="547"/>
      <c r="AO42" s="548"/>
      <c r="AQ42" s="509"/>
      <c r="AR42" s="547"/>
      <c r="AS42" s="547"/>
      <c r="AT42" s="547"/>
      <c r="AU42" s="547"/>
      <c r="AV42" s="547"/>
      <c r="AW42" s="547"/>
      <c r="AX42" s="547"/>
      <c r="AY42" s="547"/>
      <c r="AZ42" s="547"/>
      <c r="BA42" s="547"/>
      <c r="BB42" s="548"/>
      <c r="BC42" s="546"/>
      <c r="BD42" s="652"/>
      <c r="BE42" s="548"/>
      <c r="BF42" s="548"/>
      <c r="BG42" s="548"/>
      <c r="BH42" s="548"/>
      <c r="BI42" s="548"/>
      <c r="BJ42" s="548"/>
      <c r="BK42" s="548"/>
      <c r="BL42" s="548"/>
      <c r="BM42" s="548"/>
      <c r="BN42" s="548"/>
      <c r="BO42" s="1436"/>
      <c r="BP42" s="546"/>
      <c r="BQ42" s="652"/>
      <c r="BR42" s="548"/>
      <c r="BS42" s="548"/>
      <c r="BT42" s="548"/>
      <c r="BU42" s="548"/>
      <c r="BV42" s="548"/>
      <c r="BW42" s="548"/>
      <c r="BX42" s="548"/>
      <c r="BY42" s="548"/>
      <c r="BZ42" s="548"/>
      <c r="CA42" s="548"/>
      <c r="CB42" s="1436"/>
      <c r="CC42" s="546"/>
      <c r="CD42" s="652"/>
      <c r="CE42" s="548"/>
      <c r="CF42" s="548"/>
      <c r="CG42" s="548"/>
      <c r="CH42" s="548"/>
      <c r="CI42" s="548"/>
      <c r="CJ42" s="548"/>
      <c r="CK42" s="548"/>
      <c r="CL42" s="548"/>
      <c r="CM42" s="548"/>
      <c r="CN42" s="548"/>
      <c r="CO42" s="1436"/>
    </row>
    <row r="43" spans="1:93" ht="21">
      <c r="B43" s="29" t="s">
        <v>341</v>
      </c>
      <c r="C43" s="126"/>
      <c r="D43" s="566"/>
      <c r="E43" s="497"/>
      <c r="F43" s="497"/>
      <c r="G43" s="497"/>
      <c r="H43" s="497"/>
      <c r="I43" s="497"/>
      <c r="J43" s="497"/>
      <c r="K43" s="497"/>
      <c r="L43" s="497"/>
      <c r="M43" s="497"/>
      <c r="N43" s="497"/>
      <c r="O43" s="549"/>
      <c r="P43" s="126"/>
      <c r="Q43" s="566"/>
      <c r="R43" s="497"/>
      <c r="S43" s="497"/>
      <c r="T43" s="497"/>
      <c r="U43" s="497"/>
      <c r="V43" s="497"/>
      <c r="W43" s="497"/>
      <c r="X43" s="497"/>
      <c r="Y43" s="497"/>
      <c r="Z43" s="497"/>
      <c r="AA43" s="497"/>
      <c r="AB43" s="549"/>
      <c r="AC43" s="126"/>
      <c r="AD43" s="566"/>
      <c r="AE43" s="497"/>
      <c r="AF43" s="497"/>
      <c r="AG43" s="497"/>
      <c r="AH43" s="497"/>
      <c r="AI43" s="497"/>
      <c r="AJ43" s="497"/>
      <c r="AK43" s="497"/>
      <c r="AL43" s="497"/>
      <c r="AM43" s="497"/>
      <c r="AN43" s="497"/>
      <c r="AO43" s="549"/>
      <c r="AP43" s="126"/>
      <c r="AQ43" s="566"/>
      <c r="AR43" s="497"/>
      <c r="AS43" s="497"/>
      <c r="AT43" s="497"/>
      <c r="AU43" s="497"/>
      <c r="AV43" s="497"/>
      <c r="AW43" s="497"/>
      <c r="AX43" s="497"/>
      <c r="AY43" s="497"/>
      <c r="AZ43" s="497"/>
      <c r="BA43" s="497"/>
      <c r="BB43" s="549"/>
      <c r="BC43" s="487"/>
      <c r="BD43" s="1437"/>
      <c r="BE43" s="549"/>
      <c r="BF43" s="549"/>
      <c r="BG43" s="549"/>
      <c r="BH43" s="549"/>
      <c r="BI43" s="549"/>
      <c r="BJ43" s="549"/>
      <c r="BK43" s="549"/>
      <c r="BL43" s="549"/>
      <c r="BM43" s="549"/>
      <c r="BN43" s="549"/>
      <c r="BO43" s="1426"/>
      <c r="BP43" s="487"/>
      <c r="BQ43" s="1437"/>
      <c r="BR43" s="549"/>
      <c r="BS43" s="549"/>
      <c r="BT43" s="549"/>
      <c r="BU43" s="549"/>
      <c r="BV43" s="549"/>
      <c r="BW43" s="549"/>
      <c r="BX43" s="549"/>
      <c r="BY43" s="549"/>
      <c r="BZ43" s="549"/>
      <c r="CA43" s="549"/>
      <c r="CB43" s="1426"/>
      <c r="CC43" s="487"/>
      <c r="CD43" s="1437"/>
      <c r="CE43" s="549"/>
      <c r="CF43" s="549"/>
      <c r="CG43" s="549"/>
      <c r="CH43" s="549"/>
      <c r="CI43" s="549"/>
      <c r="CJ43" s="549"/>
      <c r="CK43" s="549"/>
      <c r="CL43" s="549"/>
      <c r="CM43" s="549"/>
      <c r="CN43" s="549"/>
      <c r="CO43" s="1426"/>
    </row>
    <row r="44" spans="1:93">
      <c r="A44" s="96"/>
      <c r="B44" s="197" t="s">
        <v>342</v>
      </c>
      <c r="C44" s="198">
        <f>SUM(D44:O44)</f>
        <v>3907.8880369999997</v>
      </c>
      <c r="D44" s="582">
        <v>225.59435300000001</v>
      </c>
      <c r="E44" s="477">
        <v>283.811779</v>
      </c>
      <c r="F44" s="477">
        <v>380.27033399999999</v>
      </c>
      <c r="G44" s="348">
        <v>251.82376600000001</v>
      </c>
      <c r="H44" s="348">
        <v>224.822844</v>
      </c>
      <c r="I44" s="348">
        <v>386.17394300000001</v>
      </c>
      <c r="J44" s="348">
        <v>696.61001499999998</v>
      </c>
      <c r="K44" s="348">
        <v>477.828439</v>
      </c>
      <c r="L44" s="348">
        <v>252.99150499999999</v>
      </c>
      <c r="M44" s="348">
        <v>255.11933500000001</v>
      </c>
      <c r="N44" s="348">
        <v>262.36316699999998</v>
      </c>
      <c r="O44" s="679">
        <v>210.478557</v>
      </c>
      <c r="P44" s="198">
        <f>SUM(Q44:AB44)</f>
        <v>2953.5608440000001</v>
      </c>
      <c r="Q44" s="582">
        <v>279.651839</v>
      </c>
      <c r="R44" s="477">
        <v>205.34354099999999</v>
      </c>
      <c r="S44" s="477">
        <v>209.33864299999999</v>
      </c>
      <c r="T44" s="477">
        <v>207.16712999999999</v>
      </c>
      <c r="U44" s="477">
        <v>228.70246599999999</v>
      </c>
      <c r="V44" s="477">
        <v>230.388701</v>
      </c>
      <c r="W44" s="477">
        <v>239.64555200000001</v>
      </c>
      <c r="X44" s="477">
        <v>205.40234100000001</v>
      </c>
      <c r="Y44" s="477">
        <v>434.45666699999998</v>
      </c>
      <c r="Z44" s="477">
        <v>230.546944</v>
      </c>
      <c r="AA44" s="477">
        <v>221.033545</v>
      </c>
      <c r="AB44" s="477">
        <v>261.88347499999998</v>
      </c>
      <c r="AC44" s="198">
        <f>SUM(AD44:AO44)</f>
        <v>3631.6529699999996</v>
      </c>
      <c r="AD44" s="477">
        <v>389.09929599999998</v>
      </c>
      <c r="AE44" s="477">
        <v>219.41816800000001</v>
      </c>
      <c r="AF44" s="477">
        <v>243.741321</v>
      </c>
      <c r="AG44" s="477">
        <v>229.007848</v>
      </c>
      <c r="AH44" s="477">
        <v>266.74300699999998</v>
      </c>
      <c r="AI44" s="477">
        <v>301.27161899999999</v>
      </c>
      <c r="AJ44" s="477">
        <v>251.86285000000001</v>
      </c>
      <c r="AK44" s="477">
        <v>296.28009400000002</v>
      </c>
      <c r="AL44" s="477">
        <v>361.23423500000001</v>
      </c>
      <c r="AM44" s="477">
        <v>313.36428699999999</v>
      </c>
      <c r="AN44" s="477">
        <v>247.74868499999999</v>
      </c>
      <c r="AO44" s="477">
        <v>511.88155999999998</v>
      </c>
      <c r="AP44" s="198">
        <f>SUM(AQ44:BB44)</f>
        <v>4680.3982640000004</v>
      </c>
      <c r="AQ44" s="477">
        <v>418.83459199999999</v>
      </c>
      <c r="AR44" s="477">
        <v>317.749753</v>
      </c>
      <c r="AS44" s="477">
        <v>390.076549</v>
      </c>
      <c r="AT44" s="477">
        <v>323.15353199999998</v>
      </c>
      <c r="AU44" s="477">
        <v>272.18249500000002</v>
      </c>
      <c r="AV44" s="477">
        <v>415.90707900000001</v>
      </c>
      <c r="AW44" s="477">
        <v>411.30826200000001</v>
      </c>
      <c r="AX44" s="477">
        <v>388.703461</v>
      </c>
      <c r="AY44" s="477">
        <v>572.12181699999996</v>
      </c>
      <c r="AZ44" s="477">
        <v>421.90194200000002</v>
      </c>
      <c r="BA44" s="477">
        <v>344.638486</v>
      </c>
      <c r="BB44" s="1589">
        <v>403.82029599999998</v>
      </c>
      <c r="BC44" s="989">
        <f>SUM(BD44:BO44)</f>
        <v>4641.9979150000008</v>
      </c>
      <c r="BD44" s="1987">
        <v>380.95882499999999</v>
      </c>
      <c r="BE44" s="1988">
        <v>331.883354</v>
      </c>
      <c r="BF44" s="1988">
        <v>314.53418599999998</v>
      </c>
      <c r="BG44" s="1988">
        <v>590.65849300000002</v>
      </c>
      <c r="BH44" s="1988">
        <v>432.71884899999998</v>
      </c>
      <c r="BI44" s="1988">
        <v>341.115635</v>
      </c>
      <c r="BJ44" s="1988">
        <v>345.96730000000002</v>
      </c>
      <c r="BK44" s="1988">
        <v>404.92012899999997</v>
      </c>
      <c r="BL44" s="1988">
        <v>405.28895499999999</v>
      </c>
      <c r="BM44" s="1988">
        <v>373.51632699999999</v>
      </c>
      <c r="BN44" s="1988">
        <v>340.34803199999999</v>
      </c>
      <c r="BO44" s="1989">
        <v>380.08783</v>
      </c>
      <c r="BP44" s="989">
        <f>SUM(BQ44:CB44)</f>
        <v>2592.2750660000002</v>
      </c>
      <c r="BQ44" s="1987">
        <v>95.686374000000001</v>
      </c>
      <c r="BR44" s="1988">
        <v>124.053878</v>
      </c>
      <c r="BS44" s="1988">
        <v>208.558964</v>
      </c>
      <c r="BT44" s="1988">
        <v>397.66507799999999</v>
      </c>
      <c r="BU44" s="1988">
        <v>435.11527100000001</v>
      </c>
      <c r="BV44" s="1988">
        <v>412.34835199999998</v>
      </c>
      <c r="BW44" s="1988">
        <v>161.40330700000001</v>
      </c>
      <c r="BX44" s="1988">
        <v>117.324742</v>
      </c>
      <c r="BY44" s="1988">
        <v>181.429012</v>
      </c>
      <c r="BZ44" s="1988">
        <v>198.80553699999999</v>
      </c>
      <c r="CA44" s="1988">
        <v>149.54053099999999</v>
      </c>
      <c r="CB44" s="1989">
        <v>110.34402</v>
      </c>
      <c r="CC44" s="989">
        <f>SUM(CD44:CO44)</f>
        <v>1324.12824</v>
      </c>
      <c r="CD44" s="2821">
        <v>110.34402</v>
      </c>
      <c r="CE44" s="2822">
        <v>110.34402</v>
      </c>
      <c r="CF44" s="2822">
        <v>110.34402</v>
      </c>
      <c r="CG44" s="2822">
        <v>110.34402</v>
      </c>
      <c r="CH44" s="2822">
        <v>110.34402</v>
      </c>
      <c r="CI44" s="2822">
        <v>110.34402</v>
      </c>
      <c r="CJ44" s="2822">
        <v>110.34402</v>
      </c>
      <c r="CK44" s="2822">
        <v>110.34402</v>
      </c>
      <c r="CL44" s="2822">
        <v>110.34402</v>
      </c>
      <c r="CM44" s="2822">
        <v>110.34402</v>
      </c>
      <c r="CN44" s="2822">
        <v>110.34402</v>
      </c>
      <c r="CO44" s="2823">
        <v>110.34402</v>
      </c>
    </row>
    <row r="45" spans="1:93" s="777" customFormat="1" ht="15" hidden="1">
      <c r="B45" s="811"/>
      <c r="C45" s="779"/>
      <c r="D45" s="779"/>
      <c r="E45" s="779"/>
      <c r="F45" s="779"/>
      <c r="G45" s="779"/>
      <c r="H45" s="779"/>
      <c r="I45" s="779"/>
      <c r="J45" s="779"/>
      <c r="K45" s="779"/>
      <c r="L45" s="779"/>
      <c r="M45" s="779"/>
      <c r="N45" s="779"/>
      <c r="O45" s="780"/>
      <c r="P45" s="779"/>
      <c r="Q45" s="779"/>
      <c r="R45" s="779"/>
      <c r="S45" s="779"/>
      <c r="T45" s="779"/>
      <c r="U45" s="779"/>
      <c r="V45" s="779"/>
      <c r="W45" s="779"/>
      <c r="X45" s="779"/>
      <c r="Y45" s="779"/>
      <c r="Z45" s="779"/>
      <c r="AA45" s="779"/>
      <c r="AB45" s="780"/>
      <c r="AC45" s="779"/>
      <c r="AD45" s="779"/>
      <c r="AE45" s="779"/>
      <c r="AF45" s="779"/>
      <c r="AG45" s="779"/>
      <c r="AH45" s="779"/>
      <c r="AI45" s="779"/>
      <c r="AJ45" s="778" t="s">
        <v>430</v>
      </c>
      <c r="AK45" s="779">
        <v>100</v>
      </c>
      <c r="AL45" s="779">
        <f>인건비!AO16</f>
        <v>101</v>
      </c>
      <c r="AM45" s="779">
        <f>인건비!AP16</f>
        <v>97</v>
      </c>
      <c r="AN45" s="779">
        <f>인건비!AQ16</f>
        <v>96</v>
      </c>
      <c r="AO45" s="779">
        <f>인건비!AR16</f>
        <v>96</v>
      </c>
      <c r="AP45" s="1648" t="s">
        <v>467</v>
      </c>
      <c r="AQ45" s="1649">
        <f>인건비!AT16</f>
        <v>125</v>
      </c>
      <c r="AR45" s="1649">
        <f>인건비!AU16</f>
        <v>125</v>
      </c>
      <c r="AS45" s="1649">
        <f>인건비!AV16</f>
        <v>127</v>
      </c>
      <c r="AT45" s="1649">
        <f>인건비!AW16</f>
        <v>130</v>
      </c>
      <c r="AU45" s="1649">
        <f>인건비!AX16</f>
        <v>132</v>
      </c>
      <c r="AV45" s="1649">
        <f>인건비!AY16</f>
        <v>135</v>
      </c>
      <c r="AW45" s="1649">
        <f>인건비!AZ16</f>
        <v>145</v>
      </c>
      <c r="AX45" s="1649">
        <f>인건비!BA16</f>
        <v>145</v>
      </c>
      <c r="AY45" s="1649">
        <f>인건비!BB16</f>
        <v>145</v>
      </c>
      <c r="AZ45" s="1649">
        <f>인건비!BC16</f>
        <v>145</v>
      </c>
      <c r="BA45" s="1649">
        <f>인건비!BD16</f>
        <v>145</v>
      </c>
      <c r="BB45" s="1649">
        <f>인건비!BE16</f>
        <v>145</v>
      </c>
      <c r="BC45" s="1650" t="s">
        <v>467</v>
      </c>
      <c r="BD45" s="1651">
        <f>인건비!BG16</f>
        <v>80</v>
      </c>
      <c r="BE45" s="1651">
        <f>인건비!BH16</f>
        <v>77</v>
      </c>
      <c r="BF45" s="1651">
        <f>인건비!BI16</f>
        <v>83</v>
      </c>
      <c r="BG45" s="1651">
        <f>인건비!BJ16</f>
        <v>94</v>
      </c>
      <c r="BH45" s="1651">
        <f>인건비!BK16</f>
        <v>98</v>
      </c>
      <c r="BI45" s="1651">
        <f>인건비!BL16</f>
        <v>103</v>
      </c>
      <c r="BJ45" s="1651">
        <f>인건비!BM16</f>
        <v>103</v>
      </c>
      <c r="BK45" s="1651">
        <f>인건비!BN16</f>
        <v>100</v>
      </c>
      <c r="BL45" s="1651">
        <f>인건비!BO16</f>
        <v>101</v>
      </c>
      <c r="BM45" s="1651">
        <f>인건비!BP16</f>
        <v>105</v>
      </c>
      <c r="BN45" s="1651">
        <f>인건비!BQ16</f>
        <v>108</v>
      </c>
      <c r="BO45" s="1652">
        <f>인건비!BR16</f>
        <v>111</v>
      </c>
      <c r="BP45" s="1650" t="s">
        <v>467</v>
      </c>
      <c r="BQ45" s="2021">
        <f>인건비!BT16</f>
        <v>110</v>
      </c>
      <c r="BR45" s="2021">
        <f>인건비!BU16</f>
        <v>125</v>
      </c>
      <c r="BS45" s="2021">
        <f>인건비!BV16</f>
        <v>132</v>
      </c>
      <c r="BT45" s="2021">
        <f>인건비!BW16</f>
        <v>129</v>
      </c>
      <c r="BU45" s="2021">
        <f>인건비!BX16</f>
        <v>126</v>
      </c>
      <c r="BV45" s="2021">
        <f>인건비!BY16</f>
        <v>123</v>
      </c>
      <c r="BW45" s="2021">
        <f>인건비!BZ16</f>
        <v>105</v>
      </c>
      <c r="BX45" s="2021">
        <f>인건비!CA16</f>
        <v>102</v>
      </c>
      <c r="BY45" s="2021">
        <f>인건비!CB16</f>
        <v>101</v>
      </c>
      <c r="BZ45" s="2021">
        <f>인건비!CC16</f>
        <v>94</v>
      </c>
      <c r="CA45" s="2021">
        <f>인건비!CD16</f>
        <v>92</v>
      </c>
      <c r="CB45" s="2022">
        <f>인건비!CE16</f>
        <v>58</v>
      </c>
      <c r="CC45" s="1650" t="s">
        <v>467</v>
      </c>
      <c r="CD45" s="2021">
        <f>인건비!CG16</f>
        <v>58</v>
      </c>
      <c r="CE45" s="2021">
        <f>인건비!CH16</f>
        <v>58</v>
      </c>
      <c r="CF45" s="2021">
        <f>인건비!CI16</f>
        <v>58</v>
      </c>
      <c r="CG45" s="2021">
        <f>인건비!CJ16</f>
        <v>58</v>
      </c>
      <c r="CH45" s="2021">
        <f>인건비!CK16</f>
        <v>58</v>
      </c>
      <c r="CI45" s="2021">
        <f>인건비!CL16</f>
        <v>58</v>
      </c>
      <c r="CJ45" s="2021">
        <f>인건비!CM16</f>
        <v>58</v>
      </c>
      <c r="CK45" s="2021">
        <f>인건비!CN16</f>
        <v>58</v>
      </c>
      <c r="CL45" s="2021">
        <f>인건비!CO16</f>
        <v>58</v>
      </c>
      <c r="CM45" s="2021">
        <f>인건비!CP16</f>
        <v>58</v>
      </c>
      <c r="CN45" s="2021">
        <f>인건비!CQ16</f>
        <v>58</v>
      </c>
      <c r="CO45" s="2022">
        <f>인건비!CR16</f>
        <v>58</v>
      </c>
    </row>
    <row r="46" spans="1:93" s="777" customFormat="1" ht="15" hidden="1">
      <c r="B46" s="811"/>
      <c r="C46" s="779"/>
      <c r="D46" s="779"/>
      <c r="E46" s="779"/>
      <c r="F46" s="779"/>
      <c r="G46" s="779"/>
      <c r="H46" s="779"/>
      <c r="I46" s="779"/>
      <c r="J46" s="779"/>
      <c r="K46" s="779"/>
      <c r="L46" s="779"/>
      <c r="M46" s="779"/>
      <c r="N46" s="779"/>
      <c r="O46" s="780">
        <v>250</v>
      </c>
      <c r="P46" s="779"/>
      <c r="Q46" s="779"/>
      <c r="R46" s="779"/>
      <c r="S46" s="779"/>
      <c r="T46" s="779"/>
      <c r="U46" s="779"/>
      <c r="V46" s="779"/>
      <c r="W46" s="779"/>
      <c r="X46" s="779"/>
      <c r="Y46" s="779"/>
      <c r="Z46" s="779"/>
      <c r="AA46" s="779"/>
      <c r="AB46" s="780"/>
      <c r="AC46" s="779"/>
      <c r="AD46" s="779"/>
      <c r="AE46" s="779"/>
      <c r="AF46" s="779"/>
      <c r="AG46" s="779"/>
      <c r="AH46" s="779"/>
      <c r="AI46" s="779"/>
      <c r="AJ46" s="778" t="s">
        <v>432</v>
      </c>
      <c r="AK46" s="779">
        <v>4</v>
      </c>
      <c r="AL46" s="779">
        <f>AK46</f>
        <v>4</v>
      </c>
      <c r="AM46" s="779">
        <f t="shared" ref="AM46:AO46" si="20">AL46</f>
        <v>4</v>
      </c>
      <c r="AN46" s="779">
        <f t="shared" si="20"/>
        <v>4</v>
      </c>
      <c r="AO46" s="779">
        <f t="shared" si="20"/>
        <v>4</v>
      </c>
      <c r="AP46" s="1648" t="s">
        <v>495</v>
      </c>
      <c r="AQ46" s="1653">
        <v>3.9</v>
      </c>
      <c r="AR46" s="1653">
        <f t="shared" ref="AR46:BB46" si="21">AQ46</f>
        <v>3.9</v>
      </c>
      <c r="AS46" s="1653">
        <f t="shared" si="21"/>
        <v>3.9</v>
      </c>
      <c r="AT46" s="1653">
        <f t="shared" si="21"/>
        <v>3.9</v>
      </c>
      <c r="AU46" s="1653">
        <f t="shared" si="21"/>
        <v>3.9</v>
      </c>
      <c r="AV46" s="1653">
        <f t="shared" si="21"/>
        <v>3.9</v>
      </c>
      <c r="AW46" s="1653">
        <f t="shared" si="21"/>
        <v>3.9</v>
      </c>
      <c r="AX46" s="1653">
        <f t="shared" si="21"/>
        <v>3.9</v>
      </c>
      <c r="AY46" s="1653">
        <f t="shared" si="21"/>
        <v>3.9</v>
      </c>
      <c r="AZ46" s="1653">
        <f t="shared" si="21"/>
        <v>3.9</v>
      </c>
      <c r="BA46" s="1653">
        <f t="shared" si="21"/>
        <v>3.9</v>
      </c>
      <c r="BB46" s="1653">
        <f t="shared" si="21"/>
        <v>3.9</v>
      </c>
      <c r="BC46" s="1651"/>
      <c r="BD46" s="1654">
        <v>3.9</v>
      </c>
      <c r="BE46" s="1654">
        <f t="shared" ref="BE46" si="22">BD46</f>
        <v>3.9</v>
      </c>
      <c r="BF46" s="1654">
        <f t="shared" ref="BF46" si="23">BE46</f>
        <v>3.9</v>
      </c>
      <c r="BG46" s="1654">
        <f t="shared" ref="BG46" si="24">BF46</f>
        <v>3.9</v>
      </c>
      <c r="BH46" s="1654">
        <f t="shared" ref="BH46" si="25">BG46</f>
        <v>3.9</v>
      </c>
      <c r="BI46" s="1654">
        <f t="shared" ref="BI46" si="26">BH46</f>
        <v>3.9</v>
      </c>
      <c r="BJ46" s="1654">
        <f t="shared" ref="BJ46" si="27">BI46</f>
        <v>3.9</v>
      </c>
      <c r="BK46" s="1654">
        <f t="shared" ref="BK46" si="28">BJ46</f>
        <v>3.9</v>
      </c>
      <c r="BL46" s="1654">
        <f t="shared" ref="BL46" si="29">BK46</f>
        <v>3.9</v>
      </c>
      <c r="BM46" s="1654">
        <f t="shared" ref="BM46" si="30">BL46</f>
        <v>3.9</v>
      </c>
      <c r="BN46" s="1654">
        <f t="shared" ref="BN46" si="31">BM46</f>
        <v>3.9</v>
      </c>
      <c r="BO46" s="1655">
        <f t="shared" ref="BO46" si="32">BN46</f>
        <v>3.9</v>
      </c>
      <c r="BP46" s="1651"/>
      <c r="BQ46" s="2023">
        <v>3.9</v>
      </c>
      <c r="BR46" s="2023">
        <f t="shared" ref="BR46" si="33">BQ46</f>
        <v>3.9</v>
      </c>
      <c r="BS46" s="2023">
        <f t="shared" ref="BS46" si="34">BR46</f>
        <v>3.9</v>
      </c>
      <c r="BT46" s="2023">
        <f t="shared" ref="BT46" si="35">BS46</f>
        <v>3.9</v>
      </c>
      <c r="BU46" s="2023">
        <f t="shared" ref="BU46" si="36">BT46</f>
        <v>3.9</v>
      </c>
      <c r="BV46" s="2023">
        <f t="shared" ref="BV46" si="37">BU46</f>
        <v>3.9</v>
      </c>
      <c r="BW46" s="2023">
        <f t="shared" ref="BW46" si="38">BV46</f>
        <v>3.9</v>
      </c>
      <c r="BX46" s="2023">
        <f t="shared" ref="BX46" si="39">BW46</f>
        <v>3.9</v>
      </c>
      <c r="BY46" s="2023">
        <f t="shared" ref="BY46" si="40">BX46</f>
        <v>3.9</v>
      </c>
      <c r="BZ46" s="2023">
        <f t="shared" ref="BZ46" si="41">BY46</f>
        <v>3.9</v>
      </c>
      <c r="CA46" s="2023">
        <f t="shared" ref="CA46" si="42">BZ46</f>
        <v>3.9</v>
      </c>
      <c r="CB46" s="2024">
        <f t="shared" ref="CB46" si="43">CA46</f>
        <v>3.9</v>
      </c>
      <c r="CC46" s="1651"/>
      <c r="CD46" s="2023">
        <v>3.9</v>
      </c>
      <c r="CE46" s="2023">
        <f t="shared" ref="CE46" si="44">CD46</f>
        <v>3.9</v>
      </c>
      <c r="CF46" s="2023">
        <f t="shared" ref="CF46" si="45">CE46</f>
        <v>3.9</v>
      </c>
      <c r="CG46" s="2023">
        <f t="shared" ref="CG46" si="46">CF46</f>
        <v>3.9</v>
      </c>
      <c r="CH46" s="2023">
        <f t="shared" ref="CH46" si="47">CG46</f>
        <v>3.9</v>
      </c>
      <c r="CI46" s="2023">
        <f t="shared" ref="CI46" si="48">CH46</f>
        <v>3.9</v>
      </c>
      <c r="CJ46" s="2023">
        <f t="shared" ref="CJ46" si="49">CI46</f>
        <v>3.9</v>
      </c>
      <c r="CK46" s="2023">
        <f t="shared" ref="CK46" si="50">CJ46</f>
        <v>3.9</v>
      </c>
      <c r="CL46" s="2023">
        <f t="shared" ref="CL46" si="51">CK46</f>
        <v>3.9</v>
      </c>
      <c r="CM46" s="2023">
        <f t="shared" ref="CM46" si="52">CL46</f>
        <v>3.9</v>
      </c>
      <c r="CN46" s="2023">
        <f t="shared" ref="CN46" si="53">CM46</f>
        <v>3.9</v>
      </c>
      <c r="CO46" s="2024">
        <f t="shared" ref="CO46" si="54">CN46</f>
        <v>3.9</v>
      </c>
    </row>
    <row r="47" spans="1:93" s="777" customFormat="1" ht="15" hidden="1">
      <c r="B47" s="811"/>
      <c r="C47" s="779"/>
      <c r="D47" s="779"/>
      <c r="E47" s="779"/>
      <c r="F47" s="779"/>
      <c r="G47" s="779"/>
      <c r="H47" s="779"/>
      <c r="I47" s="779"/>
      <c r="J47" s="779"/>
      <c r="K47" s="779"/>
      <c r="L47" s="779"/>
      <c r="M47" s="779"/>
      <c r="N47" s="779"/>
      <c r="O47" s="780"/>
      <c r="P47" s="779"/>
      <c r="Q47" s="779"/>
      <c r="R47" s="779"/>
      <c r="S47" s="779"/>
      <c r="T47" s="779"/>
      <c r="U47" s="779"/>
      <c r="V47" s="779"/>
      <c r="W47" s="779"/>
      <c r="X47" s="779"/>
      <c r="Y47" s="779"/>
      <c r="Z47" s="779"/>
      <c r="AA47" s="779"/>
      <c r="AB47" s="780"/>
      <c r="AC47" s="779"/>
      <c r="AD47" s="779"/>
      <c r="AE47" s="779"/>
      <c r="AF47" s="779"/>
      <c r="AG47" s="779"/>
      <c r="AH47" s="779"/>
      <c r="AI47" s="779"/>
      <c r="AJ47" s="778"/>
      <c r="AK47" s="779">
        <f>AK45*AK46</f>
        <v>400</v>
      </c>
      <c r="AL47" s="779">
        <f t="shared" ref="AL47:AO47" si="55">AL45*AL46</f>
        <v>404</v>
      </c>
      <c r="AM47" s="779">
        <f t="shared" si="55"/>
        <v>388</v>
      </c>
      <c r="AN47" s="779">
        <f t="shared" si="55"/>
        <v>384</v>
      </c>
      <c r="AO47" s="779">
        <f t="shared" si="55"/>
        <v>384</v>
      </c>
      <c r="AP47" s="1649"/>
      <c r="AQ47" s="1649">
        <f t="shared" ref="AQ47" si="56">AQ45*AQ46</f>
        <v>487.5</v>
      </c>
      <c r="AR47" s="1649">
        <f t="shared" ref="AR47" si="57">AR45*AR46</f>
        <v>487.5</v>
      </c>
      <c r="AS47" s="1649">
        <f t="shared" ref="AS47" si="58">AS45*AS46</f>
        <v>495.3</v>
      </c>
      <c r="AT47" s="1649">
        <f t="shared" ref="AT47" si="59">AT45*AT46</f>
        <v>507</v>
      </c>
      <c r="AU47" s="1649">
        <f t="shared" ref="AU47" si="60">AU45*AU46</f>
        <v>514.79999999999995</v>
      </c>
      <c r="AV47" s="1649">
        <f t="shared" ref="AV47" si="61">AV45*AV46</f>
        <v>526.5</v>
      </c>
      <c r="AW47" s="1649">
        <f t="shared" ref="AW47" si="62">AW45*AW46</f>
        <v>565.5</v>
      </c>
      <c r="AX47" s="1649">
        <f t="shared" ref="AX47" si="63">AX45*AX46</f>
        <v>565.5</v>
      </c>
      <c r="AY47" s="1649">
        <f t="shared" ref="AY47" si="64">AY45*AY46</f>
        <v>565.5</v>
      </c>
      <c r="AZ47" s="1649">
        <f t="shared" ref="AZ47" si="65">AZ45*AZ46</f>
        <v>565.5</v>
      </c>
      <c r="BA47" s="1649">
        <f t="shared" ref="BA47" si="66">BA45*BA46</f>
        <v>565.5</v>
      </c>
      <c r="BB47" s="1649">
        <f t="shared" ref="BB47" si="67">BB45*BB46</f>
        <v>565.5</v>
      </c>
      <c r="BC47" s="1651"/>
      <c r="BD47" s="1651">
        <f t="shared" ref="BD47:BO47" si="68">BD45*BD46</f>
        <v>312</v>
      </c>
      <c r="BE47" s="1651">
        <f t="shared" si="68"/>
        <v>300.3</v>
      </c>
      <c r="BF47" s="1651">
        <f t="shared" si="68"/>
        <v>323.7</v>
      </c>
      <c r="BG47" s="1651">
        <f t="shared" si="68"/>
        <v>366.59999999999997</v>
      </c>
      <c r="BH47" s="1651">
        <f t="shared" si="68"/>
        <v>382.2</v>
      </c>
      <c r="BI47" s="1651">
        <f t="shared" si="68"/>
        <v>401.7</v>
      </c>
      <c r="BJ47" s="1651">
        <f t="shared" si="68"/>
        <v>401.7</v>
      </c>
      <c r="BK47" s="1651">
        <f t="shared" si="68"/>
        <v>390</v>
      </c>
      <c r="BL47" s="1651">
        <f t="shared" si="68"/>
        <v>393.9</v>
      </c>
      <c r="BM47" s="1651">
        <f t="shared" si="68"/>
        <v>409.5</v>
      </c>
      <c r="BN47" s="1651">
        <f t="shared" si="68"/>
        <v>421.2</v>
      </c>
      <c r="BO47" s="1652">
        <f t="shared" si="68"/>
        <v>432.9</v>
      </c>
      <c r="BP47" s="1651"/>
      <c r="BQ47" s="2021">
        <f t="shared" ref="BQ47:CB47" si="69">BQ45*BQ46</f>
        <v>429</v>
      </c>
      <c r="BR47" s="2021">
        <f t="shared" si="69"/>
        <v>487.5</v>
      </c>
      <c r="BS47" s="2021">
        <f t="shared" si="69"/>
        <v>514.79999999999995</v>
      </c>
      <c r="BT47" s="2021">
        <f t="shared" si="69"/>
        <v>503.09999999999997</v>
      </c>
      <c r="BU47" s="2021">
        <f t="shared" si="69"/>
        <v>491.4</v>
      </c>
      <c r="BV47" s="2021">
        <f t="shared" si="69"/>
        <v>479.7</v>
      </c>
      <c r="BW47" s="2021">
        <f t="shared" si="69"/>
        <v>409.5</v>
      </c>
      <c r="BX47" s="2021">
        <f t="shared" si="69"/>
        <v>397.8</v>
      </c>
      <c r="BY47" s="2021">
        <f t="shared" si="69"/>
        <v>393.9</v>
      </c>
      <c r="BZ47" s="2021">
        <f t="shared" si="69"/>
        <v>366.59999999999997</v>
      </c>
      <c r="CA47" s="2021">
        <f t="shared" si="69"/>
        <v>358.8</v>
      </c>
      <c r="CB47" s="2022">
        <f t="shared" si="69"/>
        <v>226.2</v>
      </c>
      <c r="CC47" s="1651"/>
      <c r="CD47" s="2021">
        <f t="shared" ref="CD47:CO47" si="70">CD45*CD46</f>
        <v>226.2</v>
      </c>
      <c r="CE47" s="2021">
        <f t="shared" si="70"/>
        <v>226.2</v>
      </c>
      <c r="CF47" s="2021">
        <f t="shared" si="70"/>
        <v>226.2</v>
      </c>
      <c r="CG47" s="2021">
        <f t="shared" si="70"/>
        <v>226.2</v>
      </c>
      <c r="CH47" s="2021">
        <f t="shared" si="70"/>
        <v>226.2</v>
      </c>
      <c r="CI47" s="2021">
        <f t="shared" si="70"/>
        <v>226.2</v>
      </c>
      <c r="CJ47" s="2021">
        <f t="shared" si="70"/>
        <v>226.2</v>
      </c>
      <c r="CK47" s="2021">
        <f t="shared" si="70"/>
        <v>226.2</v>
      </c>
      <c r="CL47" s="2021">
        <f t="shared" si="70"/>
        <v>226.2</v>
      </c>
      <c r="CM47" s="2021">
        <f t="shared" si="70"/>
        <v>226.2</v>
      </c>
      <c r="CN47" s="2021">
        <f t="shared" si="70"/>
        <v>226.2</v>
      </c>
      <c r="CO47" s="2022">
        <f t="shared" si="70"/>
        <v>226.2</v>
      </c>
    </row>
    <row r="48" spans="1:93" s="777" customFormat="1" ht="15" hidden="1">
      <c r="B48" s="778"/>
      <c r="C48" s="779"/>
      <c r="D48" s="779"/>
      <c r="E48" s="779"/>
      <c r="F48" s="779"/>
      <c r="G48" s="779"/>
      <c r="H48" s="779"/>
      <c r="I48" s="779"/>
      <c r="J48" s="779"/>
      <c r="K48" s="779"/>
      <c r="L48" s="779"/>
      <c r="M48" s="779"/>
      <c r="N48" s="779"/>
      <c r="O48" s="780"/>
      <c r="P48" s="779"/>
      <c r="Q48" s="779"/>
      <c r="R48" s="779"/>
      <c r="S48" s="779"/>
      <c r="T48" s="779"/>
      <c r="U48" s="779"/>
      <c r="V48" s="779"/>
      <c r="W48" s="779"/>
      <c r="X48" s="779"/>
      <c r="Y48" s="779"/>
      <c r="Z48" s="779"/>
      <c r="AA48" s="779"/>
      <c r="AB48" s="780"/>
      <c r="AC48" s="779"/>
      <c r="AD48" s="779"/>
      <c r="AE48" s="779"/>
      <c r="AF48" s="779"/>
      <c r="AG48" s="779"/>
      <c r="AH48" s="779"/>
      <c r="AI48" s="778" t="s">
        <v>433</v>
      </c>
      <c r="AJ48" s="778" t="s">
        <v>431</v>
      </c>
      <c r="AK48" s="781">
        <v>0.5</v>
      </c>
      <c r="AL48" s="781">
        <v>0.6</v>
      </c>
      <c r="AM48" s="781">
        <f>AL48</f>
        <v>0.6</v>
      </c>
      <c r="AN48" s="781">
        <f t="shared" ref="AN48:AO48" si="71">AM48</f>
        <v>0.6</v>
      </c>
      <c r="AO48" s="781">
        <f t="shared" si="71"/>
        <v>0.6</v>
      </c>
      <c r="AP48" s="1648" t="s">
        <v>479</v>
      </c>
      <c r="AQ48" s="1656">
        <v>0.6</v>
      </c>
      <c r="AR48" s="1657">
        <f t="shared" ref="AR48:BB48" si="72">AQ48</f>
        <v>0.6</v>
      </c>
      <c r="AS48" s="1657">
        <f t="shared" si="72"/>
        <v>0.6</v>
      </c>
      <c r="AT48" s="1657">
        <f t="shared" si="72"/>
        <v>0.6</v>
      </c>
      <c r="AU48" s="1657">
        <f t="shared" si="72"/>
        <v>0.6</v>
      </c>
      <c r="AV48" s="1657">
        <f t="shared" si="72"/>
        <v>0.6</v>
      </c>
      <c r="AW48" s="1657">
        <f t="shared" si="72"/>
        <v>0.6</v>
      </c>
      <c r="AX48" s="1657">
        <f t="shared" si="72"/>
        <v>0.6</v>
      </c>
      <c r="AY48" s="1657">
        <f t="shared" si="72"/>
        <v>0.6</v>
      </c>
      <c r="AZ48" s="1657">
        <f t="shared" si="72"/>
        <v>0.6</v>
      </c>
      <c r="BA48" s="1657">
        <f t="shared" si="72"/>
        <v>0.6</v>
      </c>
      <c r="BB48" s="1657">
        <f t="shared" si="72"/>
        <v>0.6</v>
      </c>
      <c r="BC48" s="1651"/>
      <c r="BD48" s="1658">
        <v>0.6</v>
      </c>
      <c r="BE48" s="1659">
        <f t="shared" ref="BE48" si="73">BD48</f>
        <v>0.6</v>
      </c>
      <c r="BF48" s="1659">
        <f t="shared" ref="BF48" si="74">BE48</f>
        <v>0.6</v>
      </c>
      <c r="BG48" s="1659">
        <f t="shared" ref="BG48" si="75">BF48</f>
        <v>0.6</v>
      </c>
      <c r="BH48" s="1659">
        <f t="shared" ref="BH48" si="76">BG48</f>
        <v>0.6</v>
      </c>
      <c r="BI48" s="1659">
        <f t="shared" ref="BI48" si="77">BH48</f>
        <v>0.6</v>
      </c>
      <c r="BJ48" s="1659">
        <f t="shared" ref="BJ48" si="78">BI48</f>
        <v>0.6</v>
      </c>
      <c r="BK48" s="1659">
        <f t="shared" ref="BK48" si="79">BJ48</f>
        <v>0.6</v>
      </c>
      <c r="BL48" s="1659">
        <f t="shared" ref="BL48" si="80">BK48</f>
        <v>0.6</v>
      </c>
      <c r="BM48" s="1659">
        <f t="shared" ref="BM48" si="81">BL48</f>
        <v>0.6</v>
      </c>
      <c r="BN48" s="1659">
        <f t="shared" ref="BN48" si="82">BM48</f>
        <v>0.6</v>
      </c>
      <c r="BO48" s="1660">
        <f t="shared" ref="BO48" si="83">BN48</f>
        <v>0.6</v>
      </c>
      <c r="BP48" s="1651"/>
      <c r="BQ48" s="1658">
        <v>0.6</v>
      </c>
      <c r="BR48" s="1658">
        <f t="shared" ref="BR48" si="84">BQ48</f>
        <v>0.6</v>
      </c>
      <c r="BS48" s="1658">
        <f t="shared" ref="BS48" si="85">BR48</f>
        <v>0.6</v>
      </c>
      <c r="BT48" s="1658">
        <f t="shared" ref="BT48" si="86">BS48</f>
        <v>0.6</v>
      </c>
      <c r="BU48" s="1658">
        <f t="shared" ref="BU48" si="87">BT48</f>
        <v>0.6</v>
      </c>
      <c r="BV48" s="1658">
        <f t="shared" ref="BV48" si="88">BU48</f>
        <v>0.6</v>
      </c>
      <c r="BW48" s="1658">
        <f t="shared" ref="BW48" si="89">BV48</f>
        <v>0.6</v>
      </c>
      <c r="BX48" s="1658">
        <f t="shared" ref="BX48" si="90">BW48</f>
        <v>0.6</v>
      </c>
      <c r="BY48" s="1658">
        <f t="shared" ref="BY48" si="91">BX48</f>
        <v>0.6</v>
      </c>
      <c r="BZ48" s="1658">
        <f t="shared" ref="BZ48" si="92">BY48</f>
        <v>0.6</v>
      </c>
      <c r="CA48" s="1658">
        <f t="shared" ref="CA48" si="93">BZ48</f>
        <v>0.6</v>
      </c>
      <c r="CB48" s="2025">
        <f t="shared" ref="CB48" si="94">CA48</f>
        <v>0.6</v>
      </c>
      <c r="CC48" s="1651"/>
      <c r="CD48" s="1658">
        <v>0.6</v>
      </c>
      <c r="CE48" s="1658">
        <f t="shared" ref="CE48" si="95">CD48</f>
        <v>0.6</v>
      </c>
      <c r="CF48" s="1658">
        <f t="shared" ref="CF48" si="96">CE48</f>
        <v>0.6</v>
      </c>
      <c r="CG48" s="1658">
        <f t="shared" ref="CG48" si="97">CF48</f>
        <v>0.6</v>
      </c>
      <c r="CH48" s="1658">
        <f t="shared" ref="CH48" si="98">CG48</f>
        <v>0.6</v>
      </c>
      <c r="CI48" s="1658">
        <f t="shared" ref="CI48" si="99">CH48</f>
        <v>0.6</v>
      </c>
      <c r="CJ48" s="1658">
        <f t="shared" ref="CJ48" si="100">CI48</f>
        <v>0.6</v>
      </c>
      <c r="CK48" s="1658">
        <f t="shared" ref="CK48" si="101">CJ48</f>
        <v>0.6</v>
      </c>
      <c r="CL48" s="1658">
        <f t="shared" ref="CL48" si="102">CK48</f>
        <v>0.6</v>
      </c>
      <c r="CM48" s="1658">
        <f t="shared" ref="CM48" si="103">CL48</f>
        <v>0.6</v>
      </c>
      <c r="CN48" s="1658">
        <f t="shared" ref="CN48" si="104">CM48</f>
        <v>0.6</v>
      </c>
      <c r="CO48" s="2025">
        <f t="shared" ref="CO48" si="105">CN48</f>
        <v>0.6</v>
      </c>
    </row>
    <row r="49" spans="2:93" s="777" customFormat="1" ht="15" hidden="1">
      <c r="B49" s="778"/>
      <c r="C49" s="779"/>
      <c r="D49" s="779"/>
      <c r="E49" s="779"/>
      <c r="F49" s="779"/>
      <c r="G49" s="779"/>
      <c r="H49" s="779"/>
      <c r="I49" s="779"/>
      <c r="J49" s="779"/>
      <c r="K49" s="779"/>
      <c r="L49" s="779"/>
      <c r="M49" s="779"/>
      <c r="N49" s="779"/>
      <c r="O49" s="780"/>
      <c r="P49" s="779"/>
      <c r="Q49" s="779"/>
      <c r="R49" s="779"/>
      <c r="S49" s="779"/>
      <c r="T49" s="779"/>
      <c r="U49" s="779"/>
      <c r="V49" s="779"/>
      <c r="W49" s="779"/>
      <c r="X49" s="779"/>
      <c r="Y49" s="779"/>
      <c r="Z49" s="779"/>
      <c r="AA49" s="779"/>
      <c r="AB49" s="780"/>
      <c r="AC49" s="779"/>
      <c r="AD49" s="779">
        <v>200</v>
      </c>
      <c r="AE49" s="779">
        <v>200</v>
      </c>
      <c r="AF49" s="779">
        <v>200</v>
      </c>
      <c r="AG49" s="779">
        <v>200</v>
      </c>
      <c r="AH49" s="779">
        <v>200</v>
      </c>
      <c r="AI49" s="779">
        <v>200</v>
      </c>
      <c r="AJ49" s="777">
        <v>200</v>
      </c>
      <c r="AK49" s="782">
        <f>AK47*AK48</f>
        <v>200</v>
      </c>
      <c r="AL49" s="782">
        <f t="shared" ref="AL49:AO49" si="106">AL47*AL48</f>
        <v>242.39999999999998</v>
      </c>
      <c r="AM49" s="782">
        <f t="shared" si="106"/>
        <v>232.79999999999998</v>
      </c>
      <c r="AN49" s="782">
        <f t="shared" si="106"/>
        <v>230.39999999999998</v>
      </c>
      <c r="AO49" s="782">
        <f t="shared" si="106"/>
        <v>230.39999999999998</v>
      </c>
      <c r="AP49" s="987" t="s">
        <v>436</v>
      </c>
      <c r="AQ49" s="988">
        <f t="shared" ref="AQ49" si="107">AQ47*AQ48</f>
        <v>292.5</v>
      </c>
      <c r="AR49" s="988">
        <f t="shared" ref="AR49" si="108">AR47*AR48</f>
        <v>292.5</v>
      </c>
      <c r="AS49" s="988">
        <f t="shared" ref="AS49" si="109">AS47*AS48</f>
        <v>297.18</v>
      </c>
      <c r="AT49" s="988">
        <f t="shared" ref="AT49" si="110">AT47*AT48</f>
        <v>304.2</v>
      </c>
      <c r="AU49" s="988">
        <f t="shared" ref="AU49" si="111">AU47*AU48</f>
        <v>308.87999999999994</v>
      </c>
      <c r="AV49" s="988">
        <f t="shared" ref="AV49" si="112">AV47*AV48</f>
        <v>315.89999999999998</v>
      </c>
      <c r="AW49" s="988">
        <f t="shared" ref="AW49" si="113">AW47*AW48</f>
        <v>339.3</v>
      </c>
      <c r="AX49" s="988">
        <f t="shared" ref="AX49" si="114">AX47*AX48</f>
        <v>339.3</v>
      </c>
      <c r="AY49" s="988">
        <f t="shared" ref="AY49" si="115">AY47*AY48</f>
        <v>339.3</v>
      </c>
      <c r="AZ49" s="988">
        <f t="shared" ref="AZ49" si="116">AZ47*AZ48</f>
        <v>339.3</v>
      </c>
      <c r="BA49" s="988">
        <f t="shared" ref="BA49" si="117">BA47*BA48</f>
        <v>339.3</v>
      </c>
      <c r="BB49" s="988">
        <f t="shared" ref="BB49" si="118">BB47*BB48</f>
        <v>339.3</v>
      </c>
      <c r="BC49" s="1438" t="s">
        <v>436</v>
      </c>
      <c r="BD49" s="1439">
        <f t="shared" ref="BD49:BO49" si="119">BD47*BD48</f>
        <v>187.2</v>
      </c>
      <c r="BE49" s="1439">
        <f t="shared" si="119"/>
        <v>180.18</v>
      </c>
      <c r="BF49" s="1439">
        <f t="shared" si="119"/>
        <v>194.22</v>
      </c>
      <c r="BG49" s="1439">
        <f t="shared" si="119"/>
        <v>219.95999999999998</v>
      </c>
      <c r="BH49" s="1439">
        <f t="shared" si="119"/>
        <v>229.32</v>
      </c>
      <c r="BI49" s="1439">
        <f t="shared" si="119"/>
        <v>241.01999999999998</v>
      </c>
      <c r="BJ49" s="1439">
        <f t="shared" si="119"/>
        <v>241.01999999999998</v>
      </c>
      <c r="BK49" s="1439">
        <f t="shared" si="119"/>
        <v>234</v>
      </c>
      <c r="BL49" s="1439">
        <f t="shared" si="119"/>
        <v>236.33999999999997</v>
      </c>
      <c r="BM49" s="1439">
        <f t="shared" si="119"/>
        <v>245.7</v>
      </c>
      <c r="BN49" s="1439">
        <f t="shared" si="119"/>
        <v>252.71999999999997</v>
      </c>
      <c r="BO49" s="1440">
        <f t="shared" si="119"/>
        <v>259.73999999999995</v>
      </c>
      <c r="BP49" s="1438" t="s">
        <v>436</v>
      </c>
      <c r="BQ49" s="2026">
        <f t="shared" ref="BQ49:CB49" si="120">BQ47*BQ48</f>
        <v>257.39999999999998</v>
      </c>
      <c r="BR49" s="2026">
        <f t="shared" si="120"/>
        <v>292.5</v>
      </c>
      <c r="BS49" s="2026">
        <f t="shared" si="120"/>
        <v>308.87999999999994</v>
      </c>
      <c r="BT49" s="2026">
        <f t="shared" si="120"/>
        <v>301.85999999999996</v>
      </c>
      <c r="BU49" s="2026">
        <f t="shared" si="120"/>
        <v>294.83999999999997</v>
      </c>
      <c r="BV49" s="2026">
        <f t="shared" si="120"/>
        <v>287.82</v>
      </c>
      <c r="BW49" s="2026">
        <f t="shared" si="120"/>
        <v>245.7</v>
      </c>
      <c r="BX49" s="2026">
        <f t="shared" si="120"/>
        <v>238.68</v>
      </c>
      <c r="BY49" s="2026">
        <f t="shared" si="120"/>
        <v>236.33999999999997</v>
      </c>
      <c r="BZ49" s="2026">
        <f t="shared" si="120"/>
        <v>219.95999999999998</v>
      </c>
      <c r="CA49" s="2026">
        <f t="shared" si="120"/>
        <v>215.28</v>
      </c>
      <c r="CB49" s="2027">
        <f t="shared" si="120"/>
        <v>135.72</v>
      </c>
      <c r="CC49" s="1438" t="s">
        <v>436</v>
      </c>
      <c r="CD49" s="2026">
        <f t="shared" ref="CD49:CO49" si="121">CD47*CD48</f>
        <v>135.72</v>
      </c>
      <c r="CE49" s="2026">
        <f t="shared" si="121"/>
        <v>135.72</v>
      </c>
      <c r="CF49" s="2026">
        <f t="shared" si="121"/>
        <v>135.72</v>
      </c>
      <c r="CG49" s="2026">
        <f t="shared" si="121"/>
        <v>135.72</v>
      </c>
      <c r="CH49" s="2026">
        <f t="shared" si="121"/>
        <v>135.72</v>
      </c>
      <c r="CI49" s="2026">
        <f t="shared" si="121"/>
        <v>135.72</v>
      </c>
      <c r="CJ49" s="2026">
        <f t="shared" si="121"/>
        <v>135.72</v>
      </c>
      <c r="CK49" s="2026">
        <f t="shared" si="121"/>
        <v>135.72</v>
      </c>
      <c r="CL49" s="2026">
        <f t="shared" si="121"/>
        <v>135.72</v>
      </c>
      <c r="CM49" s="2026">
        <f t="shared" si="121"/>
        <v>135.72</v>
      </c>
      <c r="CN49" s="2026">
        <f t="shared" si="121"/>
        <v>135.72</v>
      </c>
      <c r="CO49" s="2027">
        <f t="shared" si="121"/>
        <v>135.72</v>
      </c>
    </row>
    <row r="50" spans="2:93" s="3105" customFormat="1">
      <c r="B50" s="3099"/>
      <c r="C50" s="3100"/>
      <c r="D50" s="3100"/>
      <c r="E50" s="3100"/>
      <c r="F50" s="3100"/>
      <c r="G50" s="3100"/>
      <c r="H50" s="3100"/>
      <c r="I50" s="3100"/>
      <c r="J50" s="3100"/>
      <c r="K50" s="3100"/>
      <c r="L50" s="3100"/>
      <c r="M50" s="3100"/>
      <c r="N50" s="3100"/>
      <c r="O50" s="3101"/>
      <c r="P50" s="3100"/>
      <c r="Q50" s="3100"/>
      <c r="R50" s="3100"/>
      <c r="S50" s="3100"/>
      <c r="T50" s="3100"/>
      <c r="U50" s="3100"/>
      <c r="V50" s="3100"/>
      <c r="W50" s="3100"/>
      <c r="X50" s="3100"/>
      <c r="Y50" s="3100"/>
      <c r="Z50" s="3100"/>
      <c r="AA50" s="3100"/>
      <c r="AB50" s="3101"/>
      <c r="AC50" s="3100"/>
      <c r="AD50" s="3100"/>
      <c r="AE50" s="3100"/>
      <c r="AF50" s="3100"/>
      <c r="AG50" s="3100"/>
      <c r="AH50" s="3100"/>
      <c r="AI50" s="3100"/>
      <c r="AJ50" s="3100"/>
      <c r="AK50" s="3100"/>
      <c r="AL50" s="3100"/>
      <c r="AM50" s="3100"/>
      <c r="AN50" s="3100"/>
      <c r="AO50" s="3101"/>
      <c r="AP50" s="3100"/>
      <c r="AQ50" s="3100"/>
      <c r="AR50" s="3100"/>
      <c r="AS50" s="3100"/>
      <c r="AT50" s="3100"/>
      <c r="AU50" s="3100"/>
      <c r="AV50" s="3100"/>
      <c r="AW50" s="3100"/>
      <c r="AX50" s="3100"/>
      <c r="AY50" s="3100"/>
      <c r="AZ50" s="3100"/>
      <c r="BA50" s="3100"/>
      <c r="BB50" s="3101"/>
      <c r="BC50" s="3100"/>
      <c r="BD50" s="3100"/>
      <c r="BE50" s="3100"/>
      <c r="BF50" s="3100"/>
      <c r="BG50" s="3100"/>
      <c r="BH50" s="3100"/>
      <c r="BI50" s="3100"/>
      <c r="BJ50" s="3100"/>
      <c r="BK50" s="3100"/>
      <c r="BL50" s="3100"/>
      <c r="BM50" s="3100"/>
      <c r="BN50" s="3100"/>
      <c r="BO50" s="3101"/>
      <c r="BP50" s="3102" t="s">
        <v>467</v>
      </c>
      <c r="BQ50" s="3103">
        <f>인건비!BT16</f>
        <v>110</v>
      </c>
      <c r="BR50" s="3103">
        <f>인건비!BU16</f>
        <v>125</v>
      </c>
      <c r="BS50" s="3103">
        <f>인건비!BV16</f>
        <v>132</v>
      </c>
      <c r="BT50" s="3103">
        <f>인건비!BW16</f>
        <v>129</v>
      </c>
      <c r="BU50" s="3103">
        <f>인건비!BX16</f>
        <v>126</v>
      </c>
      <c r="BV50" s="3103">
        <f>인건비!BY16</f>
        <v>123</v>
      </c>
      <c r="BW50" s="3103">
        <f>인건비!BZ16</f>
        <v>105</v>
      </c>
      <c r="BX50" s="3103">
        <f>인건비!CA16</f>
        <v>102</v>
      </c>
      <c r="BY50" s="3103">
        <f>인건비!CB16</f>
        <v>101</v>
      </c>
      <c r="BZ50" s="3103">
        <f>인건비!CC16</f>
        <v>94</v>
      </c>
      <c r="CA50" s="3103">
        <f>인건비!CD16</f>
        <v>92</v>
      </c>
      <c r="CB50" s="3104">
        <f>인건비!CE16</f>
        <v>58</v>
      </c>
      <c r="CC50" s="3102"/>
      <c r="CD50" s="3103"/>
      <c r="CE50" s="3103"/>
      <c r="CF50" s="3103"/>
      <c r="CG50" s="3103"/>
      <c r="CH50" s="3103"/>
      <c r="CI50" s="3103"/>
      <c r="CJ50" s="3103"/>
      <c r="CK50" s="3103"/>
      <c r="CL50" s="3103"/>
      <c r="CM50" s="3103"/>
      <c r="CN50" s="3103"/>
      <c r="CO50" s="3104"/>
    </row>
    <row r="51" spans="2:93" s="3105" customFormat="1">
      <c r="B51" s="3099"/>
      <c r="C51" s="3100"/>
      <c r="D51" s="3100"/>
      <c r="E51" s="3100"/>
      <c r="F51" s="3100"/>
      <c r="G51" s="3100"/>
      <c r="H51" s="3100"/>
      <c r="I51" s="3100"/>
      <c r="J51" s="3100"/>
      <c r="K51" s="3100"/>
      <c r="L51" s="3100"/>
      <c r="M51" s="3100"/>
      <c r="N51" s="3100"/>
      <c r="O51" s="3101"/>
      <c r="P51" s="3100"/>
      <c r="Q51" s="3100"/>
      <c r="R51" s="3100"/>
      <c r="S51" s="3100"/>
      <c r="T51" s="3100"/>
      <c r="U51" s="3100"/>
      <c r="V51" s="3100"/>
      <c r="W51" s="3100"/>
      <c r="X51" s="3100"/>
      <c r="Y51" s="3100"/>
      <c r="Z51" s="3100"/>
      <c r="AA51" s="3100"/>
      <c r="AB51" s="3101"/>
      <c r="AC51" s="3100"/>
      <c r="AD51" s="3100"/>
      <c r="AE51" s="3100"/>
      <c r="AF51" s="3100"/>
      <c r="AG51" s="3100"/>
      <c r="AH51" s="3100"/>
      <c r="AI51" s="3100"/>
      <c r="AJ51" s="3100"/>
      <c r="AK51" s="3100"/>
      <c r="AL51" s="3100"/>
      <c r="AM51" s="3100"/>
      <c r="AN51" s="3100"/>
      <c r="AO51" s="3101"/>
      <c r="AP51" s="3100"/>
      <c r="AQ51" s="3100"/>
      <c r="AR51" s="3100"/>
      <c r="AS51" s="3100"/>
      <c r="AT51" s="3100"/>
      <c r="AU51" s="3100"/>
      <c r="AV51" s="3100"/>
      <c r="AW51" s="3100"/>
      <c r="AX51" s="3100"/>
      <c r="AY51" s="3100"/>
      <c r="AZ51" s="3100"/>
      <c r="BA51" s="3100"/>
      <c r="BB51" s="3101"/>
      <c r="BC51" s="3100"/>
      <c r="BD51" s="3100"/>
      <c r="BE51" s="3100"/>
      <c r="BF51" s="3100"/>
      <c r="BG51" s="3100"/>
      <c r="BH51" s="3100"/>
      <c r="BI51" s="3100"/>
      <c r="BJ51" s="3100"/>
      <c r="BK51" s="3100"/>
      <c r="BL51" s="3100"/>
      <c r="BM51" s="3100"/>
      <c r="BN51" s="3100"/>
      <c r="BO51" s="3101"/>
      <c r="BP51" s="3103"/>
      <c r="BQ51" s="3106">
        <v>3.9</v>
      </c>
      <c r="BR51" s="3106">
        <f t="shared" ref="BR51:CB51" si="122">BQ51</f>
        <v>3.9</v>
      </c>
      <c r="BS51" s="3106">
        <f t="shared" si="122"/>
        <v>3.9</v>
      </c>
      <c r="BT51" s="3106">
        <f t="shared" si="122"/>
        <v>3.9</v>
      </c>
      <c r="BU51" s="3106">
        <f t="shared" si="122"/>
        <v>3.9</v>
      </c>
      <c r="BV51" s="3106">
        <f t="shared" si="122"/>
        <v>3.9</v>
      </c>
      <c r="BW51" s="3106">
        <f t="shared" si="122"/>
        <v>3.9</v>
      </c>
      <c r="BX51" s="3106">
        <f t="shared" si="122"/>
        <v>3.9</v>
      </c>
      <c r="BY51" s="3106">
        <f t="shared" si="122"/>
        <v>3.9</v>
      </c>
      <c r="BZ51" s="3106">
        <f t="shared" si="122"/>
        <v>3.9</v>
      </c>
      <c r="CA51" s="3106">
        <f t="shared" si="122"/>
        <v>3.9</v>
      </c>
      <c r="CB51" s="3107">
        <f t="shared" si="122"/>
        <v>3.9</v>
      </c>
      <c r="CC51" s="3103"/>
      <c r="CD51" s="3106"/>
      <c r="CE51" s="3106"/>
      <c r="CF51" s="3106"/>
      <c r="CG51" s="3106"/>
      <c r="CH51" s="3106"/>
      <c r="CI51" s="3106"/>
      <c r="CJ51" s="3106"/>
      <c r="CK51" s="3106"/>
      <c r="CL51" s="3106"/>
      <c r="CM51" s="3106"/>
      <c r="CN51" s="3106"/>
      <c r="CO51" s="3107"/>
    </row>
    <row r="52" spans="2:93" s="3105" customFormat="1">
      <c r="B52" s="3099"/>
      <c r="C52" s="3100"/>
      <c r="D52" s="3100"/>
      <c r="E52" s="3100"/>
      <c r="F52" s="3100"/>
      <c r="G52" s="3100"/>
      <c r="H52" s="3100"/>
      <c r="I52" s="3100"/>
      <c r="J52" s="3100"/>
      <c r="K52" s="3100"/>
      <c r="L52" s="3100"/>
      <c r="M52" s="3100"/>
      <c r="N52" s="3100"/>
      <c r="O52" s="3101"/>
      <c r="P52" s="3100"/>
      <c r="Q52" s="3100"/>
      <c r="R52" s="3100"/>
      <c r="S52" s="3100"/>
      <c r="T52" s="3100"/>
      <c r="U52" s="3100"/>
      <c r="V52" s="3100"/>
      <c r="W52" s="3100"/>
      <c r="X52" s="3100"/>
      <c r="Y52" s="3100"/>
      <c r="Z52" s="3100"/>
      <c r="AA52" s="3100"/>
      <c r="AB52" s="3101"/>
      <c r="AC52" s="3100"/>
      <c r="AD52" s="3100"/>
      <c r="AE52" s="3100"/>
      <c r="AF52" s="3100"/>
      <c r="AG52" s="3100"/>
      <c r="AH52" s="3100"/>
      <c r="AI52" s="3100"/>
      <c r="AJ52" s="3100"/>
      <c r="AK52" s="3100"/>
      <c r="AL52" s="3100"/>
      <c r="AM52" s="3100"/>
      <c r="AN52" s="3100"/>
      <c r="AO52" s="3101"/>
      <c r="AP52" s="3100"/>
      <c r="AQ52" s="3100"/>
      <c r="AR52" s="3100"/>
      <c r="AS52" s="3100"/>
      <c r="AT52" s="3100"/>
      <c r="AU52" s="3100"/>
      <c r="AV52" s="3100"/>
      <c r="AW52" s="3100"/>
      <c r="AX52" s="3100"/>
      <c r="AY52" s="3100"/>
      <c r="AZ52" s="3100"/>
      <c r="BA52" s="3100"/>
      <c r="BB52" s="3101"/>
      <c r="BC52" s="3100"/>
      <c r="BD52" s="3100"/>
      <c r="BE52" s="3100"/>
      <c r="BF52" s="3100"/>
      <c r="BG52" s="3100"/>
      <c r="BH52" s="3100"/>
      <c r="BI52" s="3100"/>
      <c r="BJ52" s="3100"/>
      <c r="BK52" s="3100"/>
      <c r="BL52" s="3100"/>
      <c r="BM52" s="3100"/>
      <c r="BN52" s="3100"/>
      <c r="BO52" s="3101"/>
      <c r="BP52" s="3103"/>
      <c r="BQ52" s="3103">
        <f>BQ50*BQ51</f>
        <v>429</v>
      </c>
      <c r="BR52" s="3103">
        <f t="shared" ref="BR52:CB52" si="123">BR50*BR51</f>
        <v>487.5</v>
      </c>
      <c r="BS52" s="3103">
        <f t="shared" si="123"/>
        <v>514.79999999999995</v>
      </c>
      <c r="BT52" s="3103">
        <f t="shared" si="123"/>
        <v>503.09999999999997</v>
      </c>
      <c r="BU52" s="3103">
        <f t="shared" si="123"/>
        <v>491.4</v>
      </c>
      <c r="BV52" s="3103">
        <f t="shared" si="123"/>
        <v>479.7</v>
      </c>
      <c r="BW52" s="3103">
        <f t="shared" si="123"/>
        <v>409.5</v>
      </c>
      <c r="BX52" s="3103">
        <f t="shared" si="123"/>
        <v>397.8</v>
      </c>
      <c r="BY52" s="3103">
        <f t="shared" si="123"/>
        <v>393.9</v>
      </c>
      <c r="BZ52" s="3103">
        <f t="shared" si="123"/>
        <v>366.59999999999997</v>
      </c>
      <c r="CA52" s="3103">
        <f t="shared" si="123"/>
        <v>358.8</v>
      </c>
      <c r="CB52" s="3104">
        <f t="shared" si="123"/>
        <v>226.2</v>
      </c>
      <c r="CC52" s="3103"/>
      <c r="CD52" s="3103"/>
      <c r="CE52" s="3103"/>
      <c r="CF52" s="3103"/>
      <c r="CG52" s="3103"/>
      <c r="CH52" s="3103"/>
      <c r="CI52" s="3103"/>
      <c r="CJ52" s="3103"/>
      <c r="CK52" s="3103"/>
      <c r="CL52" s="3103"/>
      <c r="CM52" s="3103"/>
      <c r="CN52" s="3103"/>
      <c r="CO52" s="3104"/>
    </row>
    <row r="53" spans="2:93" s="3105" customFormat="1">
      <c r="B53" s="3099"/>
      <c r="C53" s="3100"/>
      <c r="D53" s="3100"/>
      <c r="E53" s="3100"/>
      <c r="F53" s="3100"/>
      <c r="G53" s="3100"/>
      <c r="H53" s="3100"/>
      <c r="I53" s="3100"/>
      <c r="J53" s="3100"/>
      <c r="K53" s="3100"/>
      <c r="L53" s="3100"/>
      <c r="M53" s="3100"/>
      <c r="N53" s="3100"/>
      <c r="O53" s="3101"/>
      <c r="P53" s="3100"/>
      <c r="Q53" s="3100"/>
      <c r="R53" s="3100"/>
      <c r="S53" s="3100"/>
      <c r="T53" s="3100"/>
      <c r="U53" s="3100"/>
      <c r="V53" s="3100"/>
      <c r="W53" s="3100"/>
      <c r="X53" s="3100"/>
      <c r="Y53" s="3100"/>
      <c r="Z53" s="3100"/>
      <c r="AA53" s="3100"/>
      <c r="AB53" s="3101"/>
      <c r="AC53" s="3100"/>
      <c r="AD53" s="3100"/>
      <c r="AE53" s="3100"/>
      <c r="AF53" s="3100"/>
      <c r="AG53" s="3100"/>
      <c r="AH53" s="3100"/>
      <c r="AI53" s="3100"/>
      <c r="AJ53" s="3100"/>
      <c r="AK53" s="3100"/>
      <c r="AL53" s="3100"/>
      <c r="AM53" s="3100"/>
      <c r="AN53" s="3100"/>
      <c r="AO53" s="3101"/>
      <c r="AP53" s="3100"/>
      <c r="AQ53" s="3100"/>
      <c r="AR53" s="3100"/>
      <c r="AS53" s="3100"/>
      <c r="AT53" s="3100"/>
      <c r="AU53" s="3100"/>
      <c r="AV53" s="3100"/>
      <c r="AW53" s="3100"/>
      <c r="AX53" s="3100"/>
      <c r="AY53" s="3100"/>
      <c r="AZ53" s="3100"/>
      <c r="BA53" s="3100"/>
      <c r="BB53" s="3101"/>
      <c r="BC53" s="3100"/>
      <c r="BD53" s="3100"/>
      <c r="BE53" s="3100"/>
      <c r="BF53" s="3100"/>
      <c r="BG53" s="3100"/>
      <c r="BH53" s="3100"/>
      <c r="BI53" s="3100"/>
      <c r="BJ53" s="3100"/>
      <c r="BK53" s="3100"/>
      <c r="BL53" s="3100"/>
      <c r="BM53" s="3100"/>
      <c r="BN53" s="3100"/>
      <c r="BO53" s="3101"/>
      <c r="BP53" s="3103"/>
      <c r="BQ53" s="3108">
        <v>0.6</v>
      </c>
      <c r="BR53" s="3108">
        <f t="shared" ref="BR53:CB53" si="124">BQ53</f>
        <v>0.6</v>
      </c>
      <c r="BS53" s="3108">
        <f t="shared" si="124"/>
        <v>0.6</v>
      </c>
      <c r="BT53" s="3108">
        <f t="shared" si="124"/>
        <v>0.6</v>
      </c>
      <c r="BU53" s="3108">
        <f t="shared" si="124"/>
        <v>0.6</v>
      </c>
      <c r="BV53" s="3108">
        <f t="shared" si="124"/>
        <v>0.6</v>
      </c>
      <c r="BW53" s="3108">
        <f t="shared" si="124"/>
        <v>0.6</v>
      </c>
      <c r="BX53" s="3108">
        <f t="shared" si="124"/>
        <v>0.6</v>
      </c>
      <c r="BY53" s="3108">
        <f t="shared" si="124"/>
        <v>0.6</v>
      </c>
      <c r="BZ53" s="3108">
        <f t="shared" si="124"/>
        <v>0.6</v>
      </c>
      <c r="CA53" s="3108">
        <f t="shared" si="124"/>
        <v>0.6</v>
      </c>
      <c r="CB53" s="3109">
        <f t="shared" si="124"/>
        <v>0.6</v>
      </c>
      <c r="CC53" s="3103"/>
      <c r="CD53" s="3108"/>
      <c r="CE53" s="3108"/>
      <c r="CF53" s="3108"/>
      <c r="CG53" s="3108"/>
      <c r="CH53" s="3108"/>
      <c r="CI53" s="3108"/>
      <c r="CJ53" s="3108"/>
      <c r="CK53" s="3108"/>
      <c r="CL53" s="3108"/>
      <c r="CM53" s="3108"/>
      <c r="CN53" s="3108"/>
      <c r="CO53" s="3109"/>
    </row>
    <row r="54" spans="2:93" s="3105" customFormat="1">
      <c r="B54" s="3099"/>
      <c r="C54" s="3100"/>
      <c r="D54" s="3100"/>
      <c r="E54" s="3100"/>
      <c r="F54" s="3100"/>
      <c r="G54" s="3100"/>
      <c r="H54" s="3100"/>
      <c r="I54" s="3100"/>
      <c r="J54" s="3100"/>
      <c r="K54" s="3100"/>
      <c r="L54" s="3100"/>
      <c r="M54" s="3100"/>
      <c r="N54" s="3100"/>
      <c r="O54" s="3101"/>
      <c r="P54" s="3100"/>
      <c r="Q54" s="3100"/>
      <c r="R54" s="3100"/>
      <c r="S54" s="3100"/>
      <c r="T54" s="3100"/>
      <c r="U54" s="3100"/>
      <c r="V54" s="3100"/>
      <c r="W54" s="3100"/>
      <c r="X54" s="3100"/>
      <c r="Y54" s="3100"/>
      <c r="Z54" s="3100"/>
      <c r="AA54" s="3100"/>
      <c r="AB54" s="3101"/>
      <c r="AC54" s="3100"/>
      <c r="AD54" s="3100"/>
      <c r="AE54" s="3100"/>
      <c r="AF54" s="3100"/>
      <c r="AG54" s="3100"/>
      <c r="AH54" s="3100"/>
      <c r="AI54" s="3100"/>
      <c r="AJ54" s="3100"/>
      <c r="AK54" s="3100"/>
      <c r="AL54" s="3100"/>
      <c r="AM54" s="3100"/>
      <c r="AN54" s="3100"/>
      <c r="AO54" s="3101"/>
      <c r="AP54" s="3100"/>
      <c r="AQ54" s="3100"/>
      <c r="AR54" s="3100"/>
      <c r="AS54" s="3100"/>
      <c r="AT54" s="3100"/>
      <c r="AU54" s="3100"/>
      <c r="AV54" s="3100"/>
      <c r="AW54" s="3100"/>
      <c r="AX54" s="3100"/>
      <c r="AY54" s="3100"/>
      <c r="AZ54" s="3100"/>
      <c r="BA54" s="3100"/>
      <c r="BB54" s="3101"/>
      <c r="BC54" s="3100"/>
      <c r="BD54" s="3100"/>
      <c r="BE54" s="3100"/>
      <c r="BF54" s="3100"/>
      <c r="BG54" s="3100"/>
      <c r="BH54" s="3100"/>
      <c r="BI54" s="3100"/>
      <c r="BJ54" s="3100"/>
      <c r="BK54" s="3100"/>
      <c r="BL54" s="3100"/>
      <c r="BM54" s="3100"/>
      <c r="BN54" s="3100"/>
      <c r="BO54" s="3101"/>
      <c r="BP54" s="3102" t="s">
        <v>436</v>
      </c>
      <c r="BQ54" s="3110">
        <f>BQ52*BQ53</f>
        <v>257.39999999999998</v>
      </c>
      <c r="BR54" s="3110">
        <f t="shared" ref="BR54:CB54" si="125">BR52*BR53</f>
        <v>292.5</v>
      </c>
      <c r="BS54" s="3110">
        <f t="shared" si="125"/>
        <v>308.87999999999994</v>
      </c>
      <c r="BT54" s="3110">
        <f t="shared" si="125"/>
        <v>301.85999999999996</v>
      </c>
      <c r="BU54" s="3110">
        <f t="shared" si="125"/>
        <v>294.83999999999997</v>
      </c>
      <c r="BV54" s="3110">
        <f t="shared" si="125"/>
        <v>287.82</v>
      </c>
      <c r="BW54" s="3110">
        <f t="shared" si="125"/>
        <v>245.7</v>
      </c>
      <c r="BX54" s="3110">
        <f t="shared" si="125"/>
        <v>238.68</v>
      </c>
      <c r="BY54" s="3110">
        <f t="shared" si="125"/>
        <v>236.33999999999997</v>
      </c>
      <c r="BZ54" s="3110">
        <f t="shared" si="125"/>
        <v>219.95999999999998</v>
      </c>
      <c r="CA54" s="3110">
        <f t="shared" si="125"/>
        <v>215.28</v>
      </c>
      <c r="CB54" s="3111">
        <f t="shared" si="125"/>
        <v>135.72</v>
      </c>
      <c r="CC54" s="3102"/>
      <c r="CD54" s="3110"/>
      <c r="CE54" s="3110"/>
      <c r="CF54" s="3110"/>
      <c r="CG54" s="3110"/>
      <c r="CH54" s="3110"/>
      <c r="CI54" s="3110"/>
      <c r="CJ54" s="3110"/>
      <c r="CK54" s="3110"/>
      <c r="CL54" s="3110"/>
      <c r="CM54" s="3110"/>
      <c r="CN54" s="3110"/>
      <c r="CO54" s="3111"/>
    </row>
    <row r="55" spans="2:93" s="3105" customFormat="1">
      <c r="B55" s="3099"/>
      <c r="C55" s="3100"/>
      <c r="D55" s="3100"/>
      <c r="E55" s="3100"/>
      <c r="F55" s="3100"/>
      <c r="G55" s="3100"/>
      <c r="H55" s="3100"/>
      <c r="I55" s="3100"/>
      <c r="J55" s="3100"/>
      <c r="K55" s="3100"/>
      <c r="L55" s="3100"/>
      <c r="M55" s="3100"/>
      <c r="N55" s="3100"/>
      <c r="O55" s="3101"/>
      <c r="P55" s="3100"/>
      <c r="Q55" s="3100"/>
      <c r="R55" s="3100"/>
      <c r="S55" s="3100"/>
      <c r="T55" s="3100"/>
      <c r="U55" s="3100"/>
      <c r="V55" s="3100"/>
      <c r="W55" s="3100"/>
      <c r="X55" s="3100"/>
      <c r="Y55" s="3100"/>
      <c r="Z55" s="3100"/>
      <c r="AA55" s="3100"/>
      <c r="AB55" s="3101"/>
      <c r="AC55" s="3100"/>
      <c r="AD55" s="3100"/>
      <c r="AE55" s="3100"/>
      <c r="AF55" s="3100"/>
      <c r="AG55" s="3100"/>
      <c r="AH55" s="3100"/>
      <c r="AI55" s="3100"/>
      <c r="AJ55" s="3100"/>
      <c r="AK55" s="3100"/>
      <c r="AL55" s="3100"/>
      <c r="AM55" s="3100"/>
      <c r="AN55" s="3100"/>
      <c r="AO55" s="3101"/>
      <c r="AP55" s="3100"/>
      <c r="AQ55" s="3100"/>
      <c r="AR55" s="3100"/>
      <c r="AS55" s="3100"/>
      <c r="AT55" s="3100"/>
      <c r="AU55" s="3100"/>
      <c r="AV55" s="3100"/>
      <c r="AW55" s="3100"/>
      <c r="AX55" s="3100"/>
      <c r="AY55" s="3100"/>
      <c r="AZ55" s="3100"/>
      <c r="BA55" s="3100"/>
      <c r="BB55" s="3101"/>
      <c r="BC55" s="3100"/>
      <c r="BD55" s="3100"/>
      <c r="BE55" s="3100"/>
      <c r="BF55" s="3100"/>
      <c r="BG55" s="3100"/>
      <c r="BH55" s="3100"/>
      <c r="BI55" s="3100"/>
      <c r="BJ55" s="3100"/>
      <c r="BK55" s="3100"/>
      <c r="BL55" s="3100"/>
      <c r="BM55" s="3100"/>
      <c r="BN55" s="3100"/>
      <c r="BO55" s="3101"/>
      <c r="BP55" s="3102" t="s">
        <v>566</v>
      </c>
      <c r="BQ55" s="3110">
        <v>200</v>
      </c>
      <c r="BR55" s="3110">
        <v>200</v>
      </c>
      <c r="BS55" s="3110">
        <v>200</v>
      </c>
      <c r="BT55" s="3110">
        <v>200</v>
      </c>
      <c r="BU55" s="3110">
        <v>200</v>
      </c>
      <c r="BV55" s="3110">
        <v>200</v>
      </c>
      <c r="BW55" s="3110">
        <v>200</v>
      </c>
      <c r="BX55" s="3110">
        <v>200</v>
      </c>
      <c r="BY55" s="3110">
        <v>200</v>
      </c>
      <c r="BZ55" s="3110">
        <v>200</v>
      </c>
      <c r="CA55" s="3110">
        <v>200</v>
      </c>
      <c r="CB55" s="3110">
        <v>200</v>
      </c>
      <c r="CC55" s="3102"/>
      <c r="CD55" s="3110"/>
      <c r="CE55" s="3110"/>
      <c r="CF55" s="3110"/>
      <c r="CG55" s="3110"/>
      <c r="CH55" s="3110"/>
      <c r="CI55" s="3110"/>
      <c r="CJ55" s="3110"/>
      <c r="CK55" s="3110"/>
      <c r="CL55" s="3110"/>
      <c r="CM55" s="3110"/>
      <c r="CN55" s="3110"/>
      <c r="CO55" s="3110"/>
    </row>
  </sheetData>
  <mergeCells count="8">
    <mergeCell ref="CC3:CO3"/>
    <mergeCell ref="BP3:CB3"/>
    <mergeCell ref="BC3:BO3"/>
    <mergeCell ref="B3:B4"/>
    <mergeCell ref="AP3:BB3"/>
    <mergeCell ref="AC3:AO3"/>
    <mergeCell ref="P3:AB3"/>
    <mergeCell ref="C3:O3"/>
  </mergeCells>
  <phoneticPr fontId="2" type="noConversion"/>
  <pageMargins left="0.7" right="0.7" top="0.75" bottom="0.75" header="0.3" footer="0.3"/>
  <pageSetup paperSize="9" scale="33" orientation="landscape" r:id="rId1"/>
  <ignoredErrors>
    <ignoredError sqref="BR52:CB54 N40 P38:BO38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7">
    <tabColor theme="8" tint="0.39997558519241921"/>
  </sheetPr>
  <dimension ref="B1:CV59"/>
  <sheetViews>
    <sheetView showGridLines="0" zoomScale="85" zoomScaleNormal="85" workbookViewId="0">
      <pane xSplit="4" ySplit="4" topLeftCell="E5" activePane="bottomRight" state="frozen"/>
      <selection activeCell="DA43" sqref="DA43"/>
      <selection pane="topRight" activeCell="DA43" sqref="DA43"/>
      <selection pane="bottomLeft" activeCell="DA43" sqref="DA43"/>
      <selection pane="bottomRight" activeCell="B3" sqref="B3:E4"/>
    </sheetView>
  </sheetViews>
  <sheetFormatPr defaultRowHeight="17" outlineLevelRow="1" outlineLevelCol="1"/>
  <cols>
    <col min="1" max="1" width="4.5" customWidth="1"/>
    <col min="4" max="4" width="10.08203125" customWidth="1"/>
    <col min="5" max="5" width="10.5" customWidth="1"/>
    <col min="6" max="6" width="10.58203125" customWidth="1"/>
    <col min="7" max="18" width="10.58203125" hidden="1" customWidth="1" outlineLevel="1"/>
    <col min="19" max="19" width="10.75" customWidth="1" collapsed="1"/>
    <col min="20" max="31" width="10.58203125" hidden="1" customWidth="1" outlineLevel="1"/>
    <col min="32" max="32" width="10.75" customWidth="1" collapsed="1"/>
    <col min="33" max="43" width="10.58203125" hidden="1" customWidth="1" outlineLevel="1"/>
    <col min="44" max="44" width="10.58203125" style="423" hidden="1" customWidth="1" outlineLevel="1"/>
    <col min="45" max="45" width="10.75" customWidth="1" collapsed="1"/>
    <col min="46" max="56" width="10.58203125" hidden="1" customWidth="1" outlineLevel="1"/>
    <col min="57" max="57" width="10.58203125" style="423" hidden="1" customWidth="1" outlineLevel="1"/>
    <col min="58" max="58" width="10.75" customWidth="1" collapsed="1"/>
    <col min="59" max="69" width="10.58203125" customWidth="1" outlineLevel="1"/>
    <col min="70" max="70" width="10.58203125" style="423" customWidth="1"/>
    <col min="71" max="71" width="10.6640625" customWidth="1"/>
    <col min="72" max="82" width="10.58203125" customWidth="1" outlineLevel="1"/>
    <col min="83" max="83" width="10.58203125" customWidth="1"/>
    <col min="84" max="84" width="10.6640625" customWidth="1" collapsed="1"/>
    <col min="85" max="95" width="10.58203125" customWidth="1" outlineLevel="1"/>
    <col min="96" max="96" width="10.58203125" customWidth="1"/>
    <col min="98" max="98" width="9.58203125" customWidth="1"/>
    <col min="100" max="100" width="11.25" bestFit="1" customWidth="1"/>
  </cols>
  <sheetData>
    <row r="1" spans="2:96">
      <c r="F1" s="776"/>
      <c r="I1" s="610"/>
      <c r="S1" s="776"/>
      <c r="T1" s="681"/>
      <c r="U1" s="681"/>
      <c r="V1" s="681"/>
      <c r="W1" s="681"/>
      <c r="X1" s="681"/>
      <c r="Y1" s="681"/>
      <c r="Z1" s="371"/>
      <c r="AA1" s="681"/>
      <c r="AB1" s="681"/>
      <c r="AC1" s="768"/>
      <c r="AD1" s="681"/>
      <c r="AE1" s="681"/>
      <c r="AF1" s="776"/>
      <c r="AG1" s="1157"/>
      <c r="AH1" s="1158"/>
      <c r="AI1" s="1158"/>
      <c r="AJ1" s="1158"/>
      <c r="AK1" s="1158"/>
      <c r="AL1" s="1158"/>
      <c r="AM1" s="1158"/>
      <c r="AN1" s="1158"/>
      <c r="AO1" s="1158"/>
      <c r="AP1" s="1158"/>
      <c r="AQ1" s="1158"/>
      <c r="AR1" s="1159"/>
      <c r="AS1" s="776"/>
      <c r="AT1" s="1157"/>
      <c r="AU1" s="1158"/>
      <c r="AV1" s="1158"/>
      <c r="AW1" s="1158"/>
      <c r="AX1" s="1158"/>
      <c r="AY1" s="1158"/>
      <c r="AZ1" s="1158"/>
      <c r="BA1" s="1158"/>
      <c r="BB1" s="1158"/>
      <c r="BC1" s="1158"/>
      <c r="BD1" s="1158"/>
      <c r="BE1" s="1159"/>
      <c r="BF1" s="1326"/>
      <c r="BG1" s="1157"/>
      <c r="BH1" s="1158"/>
      <c r="BI1" s="1158"/>
      <c r="BJ1" s="1158"/>
      <c r="BK1" s="1158"/>
      <c r="BL1" s="1158"/>
      <c r="BM1" s="1158"/>
      <c r="BN1" s="1158"/>
      <c r="BO1" s="1158"/>
      <c r="BP1" s="1158"/>
      <c r="BQ1" s="1158"/>
      <c r="BR1" s="1159"/>
      <c r="BS1" s="2040"/>
      <c r="BT1" s="2041">
        <v>1000000</v>
      </c>
      <c r="BU1" s="2042"/>
      <c r="BV1" s="2042"/>
      <c r="BW1" s="2042"/>
      <c r="BX1" s="2042"/>
      <c r="BY1" s="2041"/>
      <c r="BZ1" s="2042"/>
      <c r="CA1" s="2042"/>
      <c r="CB1" s="2610"/>
      <c r="CC1" s="2042"/>
      <c r="CD1" s="2042"/>
      <c r="CE1" s="2042"/>
      <c r="CF1" s="2040"/>
      <c r="CG1" s="2041">
        <v>1000000</v>
      </c>
      <c r="CH1" s="2042"/>
      <c r="CI1" s="2042"/>
      <c r="CJ1" s="2042"/>
      <c r="CK1" s="2042"/>
      <c r="CL1" s="2041"/>
      <c r="CM1" s="2042"/>
      <c r="CN1" s="2738"/>
      <c r="CO1" s="2760">
        <f>CO29-CN29+CO30-CN30+CO32</f>
        <v>4735.7378413133201</v>
      </c>
      <c r="CP1" s="2042"/>
      <c r="CQ1" s="2042"/>
      <c r="CR1" s="2042"/>
    </row>
    <row r="2" spans="2:96" ht="21">
      <c r="B2" s="11" t="s">
        <v>218</v>
      </c>
      <c r="F2" s="863"/>
      <c r="G2" s="129"/>
      <c r="H2" s="129"/>
      <c r="I2" s="610"/>
      <c r="S2" s="863"/>
      <c r="T2" s="129"/>
      <c r="U2" s="129"/>
      <c r="V2" s="610"/>
      <c r="AD2" s="371"/>
      <c r="AF2" s="863"/>
      <c r="AG2" s="1160"/>
      <c r="AH2" s="1160"/>
      <c r="AI2" s="1160"/>
      <c r="AJ2" s="1160"/>
      <c r="AK2" s="1160"/>
      <c r="AL2" s="1160"/>
      <c r="AM2" s="1160"/>
      <c r="AN2" s="1160"/>
      <c r="AO2" s="1160"/>
      <c r="AP2" s="1160"/>
      <c r="AQ2" s="1160"/>
      <c r="AR2" s="1160"/>
      <c r="AS2" s="1155"/>
      <c r="AT2" s="1160"/>
      <c r="AU2" s="1160"/>
      <c r="AV2" s="1160"/>
      <c r="AW2" s="1160"/>
      <c r="AX2" s="1160"/>
      <c r="AY2" s="1160"/>
      <c r="AZ2" s="1160"/>
      <c r="BA2" s="1160"/>
      <c r="BB2" s="1160"/>
      <c r="BC2" s="1160"/>
      <c r="BD2" s="1160"/>
      <c r="BE2" s="1160"/>
      <c r="BF2" s="2123">
        <f>BF28/AS28-1</f>
        <v>3.832284798417529E-2</v>
      </c>
      <c r="BG2" s="1160"/>
      <c r="BH2" s="1160"/>
      <c r="BI2" s="1160"/>
      <c r="BJ2" s="1160"/>
      <c r="BK2" s="1160"/>
      <c r="BL2" s="1160"/>
      <c r="BM2" s="1160"/>
      <c r="BN2" s="1160"/>
      <c r="BO2" s="1158"/>
      <c r="BP2" s="1160"/>
      <c r="BQ2" s="423"/>
      <c r="BR2" s="1160"/>
      <c r="BS2" s="2123">
        <f>BS28/BF28-1</f>
        <v>8.9950856724006822E-2</v>
      </c>
      <c r="BT2" s="2043"/>
      <c r="BU2" s="2043"/>
      <c r="BV2" s="2043"/>
      <c r="BW2" s="2043"/>
      <c r="BX2" s="2043"/>
      <c r="BY2" s="2043"/>
      <c r="BZ2" s="2043"/>
      <c r="CA2" s="2043"/>
      <c r="CB2" s="2610"/>
      <c r="CC2" s="2043"/>
      <c r="CD2" s="1884"/>
      <c r="CE2" s="2043"/>
      <c r="CF2" s="2123">
        <f>CF28/BS28-1</f>
        <v>3.3250803091316339E-2</v>
      </c>
      <c r="CG2" s="2043"/>
      <c r="CH2" s="2043"/>
      <c r="CI2" s="2043"/>
      <c r="CJ2" s="2043"/>
      <c r="CK2" s="2043"/>
      <c r="CL2" s="2043"/>
      <c r="CM2" s="2043"/>
      <c r="CN2" s="2738"/>
      <c r="CO2" s="2610"/>
      <c r="CP2" s="2043"/>
      <c r="CQ2" s="1884"/>
      <c r="CR2" s="2043"/>
    </row>
    <row r="3" spans="2:96">
      <c r="B3" s="3367" t="s">
        <v>27</v>
      </c>
      <c r="C3" s="3367"/>
      <c r="D3" s="3367"/>
      <c r="E3" s="3403"/>
      <c r="F3" s="3399" t="s">
        <v>363</v>
      </c>
      <c r="G3" s="3310"/>
      <c r="H3" s="3310"/>
      <c r="I3" s="3310"/>
      <c r="J3" s="3310"/>
      <c r="K3" s="3310"/>
      <c r="L3" s="3310"/>
      <c r="M3" s="3310"/>
      <c r="N3" s="3310"/>
      <c r="O3" s="3310"/>
      <c r="P3" s="3310"/>
      <c r="Q3" s="3310"/>
      <c r="R3" s="3310"/>
      <c r="S3" s="3310" t="s">
        <v>377</v>
      </c>
      <c r="T3" s="3310"/>
      <c r="U3" s="3310"/>
      <c r="V3" s="3310"/>
      <c r="W3" s="3310"/>
      <c r="X3" s="3310"/>
      <c r="Y3" s="3310"/>
      <c r="Z3" s="3310"/>
      <c r="AA3" s="3310"/>
      <c r="AB3" s="3310"/>
      <c r="AC3" s="3310"/>
      <c r="AD3" s="3310"/>
      <c r="AE3" s="3310"/>
      <c r="AF3" s="3310" t="s">
        <v>399</v>
      </c>
      <c r="AG3" s="3310"/>
      <c r="AH3" s="3310"/>
      <c r="AI3" s="3310"/>
      <c r="AJ3" s="3310"/>
      <c r="AK3" s="3310"/>
      <c r="AL3" s="3310"/>
      <c r="AM3" s="3310"/>
      <c r="AN3" s="3310"/>
      <c r="AO3" s="3310"/>
      <c r="AP3" s="3310"/>
      <c r="AQ3" s="3310"/>
      <c r="AR3" s="3310"/>
      <c r="AS3" s="3310" t="s">
        <v>428</v>
      </c>
      <c r="AT3" s="3310"/>
      <c r="AU3" s="3310"/>
      <c r="AV3" s="3310"/>
      <c r="AW3" s="3310"/>
      <c r="AX3" s="3310"/>
      <c r="AY3" s="3310"/>
      <c r="AZ3" s="3310"/>
      <c r="BA3" s="3310"/>
      <c r="BB3" s="3310"/>
      <c r="BC3" s="3310"/>
      <c r="BD3" s="3310"/>
      <c r="BE3" s="3310"/>
      <c r="BF3" s="3310" t="s">
        <v>468</v>
      </c>
      <c r="BG3" s="3310"/>
      <c r="BH3" s="3310"/>
      <c r="BI3" s="3310"/>
      <c r="BJ3" s="3310"/>
      <c r="BK3" s="3310"/>
      <c r="BL3" s="3310"/>
      <c r="BM3" s="3310"/>
      <c r="BN3" s="3310"/>
      <c r="BO3" s="3310"/>
      <c r="BP3" s="3310"/>
      <c r="BQ3" s="3310"/>
      <c r="BR3" s="3385"/>
      <c r="BS3" s="3310" t="s">
        <v>849</v>
      </c>
      <c r="BT3" s="3310"/>
      <c r="BU3" s="3310"/>
      <c r="BV3" s="3310"/>
      <c r="BW3" s="3310"/>
      <c r="BX3" s="3310"/>
      <c r="BY3" s="3310"/>
      <c r="BZ3" s="3310"/>
      <c r="CA3" s="3310"/>
      <c r="CB3" s="3310"/>
      <c r="CC3" s="3310"/>
      <c r="CD3" s="3310"/>
      <c r="CE3" s="3310"/>
      <c r="CF3" s="3258" t="s">
        <v>699</v>
      </c>
      <c r="CG3" s="3259"/>
      <c r="CH3" s="3259"/>
      <c r="CI3" s="3259"/>
      <c r="CJ3" s="3259"/>
      <c r="CK3" s="3259"/>
      <c r="CL3" s="3259"/>
      <c r="CM3" s="3259"/>
      <c r="CN3" s="3259"/>
      <c r="CO3" s="3259"/>
      <c r="CP3" s="3259"/>
      <c r="CQ3" s="3259"/>
      <c r="CR3" s="3259"/>
    </row>
    <row r="4" spans="2:96">
      <c r="B4" s="3327"/>
      <c r="C4" s="3327"/>
      <c r="D4" s="3327"/>
      <c r="E4" s="3404"/>
      <c r="F4" s="149" t="s">
        <v>1</v>
      </c>
      <c r="G4" s="20" t="s">
        <v>2</v>
      </c>
      <c r="H4" s="21" t="s">
        <v>3</v>
      </c>
      <c r="I4" s="21" t="s">
        <v>4</v>
      </c>
      <c r="J4" s="21" t="s">
        <v>5</v>
      </c>
      <c r="K4" s="21" t="s">
        <v>6</v>
      </c>
      <c r="L4" s="21" t="s">
        <v>7</v>
      </c>
      <c r="M4" s="21" t="s">
        <v>8</v>
      </c>
      <c r="N4" s="21" t="s">
        <v>9</v>
      </c>
      <c r="O4" s="21" t="s">
        <v>10</v>
      </c>
      <c r="P4" s="21" t="s">
        <v>11</v>
      </c>
      <c r="Q4" s="21" t="s">
        <v>12</v>
      </c>
      <c r="R4" s="87" t="s">
        <v>13</v>
      </c>
      <c r="S4" s="149" t="s">
        <v>1</v>
      </c>
      <c r="T4" s="20" t="s">
        <v>2</v>
      </c>
      <c r="U4" s="21" t="s">
        <v>3</v>
      </c>
      <c r="V4" s="21" t="s">
        <v>4</v>
      </c>
      <c r="W4" s="21" t="s">
        <v>5</v>
      </c>
      <c r="X4" s="21" t="s">
        <v>6</v>
      </c>
      <c r="Y4" s="21" t="s">
        <v>7</v>
      </c>
      <c r="Z4" s="21" t="s">
        <v>8</v>
      </c>
      <c r="AA4" s="21" t="s">
        <v>9</v>
      </c>
      <c r="AB4" s="21" t="s">
        <v>10</v>
      </c>
      <c r="AC4" s="21" t="s">
        <v>11</v>
      </c>
      <c r="AD4" s="21" t="s">
        <v>12</v>
      </c>
      <c r="AE4" s="87" t="s">
        <v>13</v>
      </c>
      <c r="AF4" s="149" t="s">
        <v>1</v>
      </c>
      <c r="AG4" s="20" t="s">
        <v>2</v>
      </c>
      <c r="AH4" s="21" t="s">
        <v>3</v>
      </c>
      <c r="AI4" s="21" t="s">
        <v>4</v>
      </c>
      <c r="AJ4" s="21" t="s">
        <v>5</v>
      </c>
      <c r="AK4" s="21" t="s">
        <v>6</v>
      </c>
      <c r="AL4" s="21" t="s">
        <v>7</v>
      </c>
      <c r="AM4" s="21" t="s">
        <v>8</v>
      </c>
      <c r="AN4" s="21" t="s">
        <v>9</v>
      </c>
      <c r="AO4" s="21" t="s">
        <v>10</v>
      </c>
      <c r="AP4" s="21" t="s">
        <v>11</v>
      </c>
      <c r="AQ4" s="21" t="s">
        <v>12</v>
      </c>
      <c r="AR4" s="87" t="s">
        <v>13</v>
      </c>
      <c r="AS4" s="149" t="s">
        <v>1</v>
      </c>
      <c r="AT4" s="20" t="s">
        <v>2</v>
      </c>
      <c r="AU4" s="21" t="s">
        <v>3</v>
      </c>
      <c r="AV4" s="21" t="s">
        <v>4</v>
      </c>
      <c r="AW4" s="21" t="s">
        <v>5</v>
      </c>
      <c r="AX4" s="21" t="s">
        <v>6</v>
      </c>
      <c r="AY4" s="21" t="s">
        <v>7</v>
      </c>
      <c r="AZ4" s="21" t="s">
        <v>8</v>
      </c>
      <c r="BA4" s="21" t="s">
        <v>9</v>
      </c>
      <c r="BB4" s="21" t="s">
        <v>10</v>
      </c>
      <c r="BC4" s="21" t="s">
        <v>11</v>
      </c>
      <c r="BD4" s="21" t="s">
        <v>12</v>
      </c>
      <c r="BE4" s="87" t="s">
        <v>13</v>
      </c>
      <c r="BF4" s="149" t="s">
        <v>1</v>
      </c>
      <c r="BG4" s="20" t="s">
        <v>2</v>
      </c>
      <c r="BH4" s="21" t="s">
        <v>3</v>
      </c>
      <c r="BI4" s="21" t="s">
        <v>4</v>
      </c>
      <c r="BJ4" s="21" t="s">
        <v>5</v>
      </c>
      <c r="BK4" s="21" t="s">
        <v>6</v>
      </c>
      <c r="BL4" s="21" t="s">
        <v>7</v>
      </c>
      <c r="BM4" s="21" t="s">
        <v>8</v>
      </c>
      <c r="BN4" s="21" t="s">
        <v>9</v>
      </c>
      <c r="BO4" s="21" t="s">
        <v>10</v>
      </c>
      <c r="BP4" s="21" t="s">
        <v>11</v>
      </c>
      <c r="BQ4" s="21" t="s">
        <v>12</v>
      </c>
      <c r="BR4" s="864" t="s">
        <v>13</v>
      </c>
      <c r="BS4" s="149" t="s">
        <v>1</v>
      </c>
      <c r="BT4" s="20" t="s">
        <v>2</v>
      </c>
      <c r="BU4" s="21" t="s">
        <v>3</v>
      </c>
      <c r="BV4" s="21" t="s">
        <v>4</v>
      </c>
      <c r="BW4" s="21" t="s">
        <v>5</v>
      </c>
      <c r="BX4" s="21" t="s">
        <v>6</v>
      </c>
      <c r="BY4" s="21" t="s">
        <v>7</v>
      </c>
      <c r="BZ4" s="21" t="s">
        <v>847</v>
      </c>
      <c r="CA4" s="21" t="s">
        <v>848</v>
      </c>
      <c r="CB4" s="21" t="s">
        <v>506</v>
      </c>
      <c r="CC4" s="21" t="s">
        <v>505</v>
      </c>
      <c r="CD4" s="21" t="s">
        <v>441</v>
      </c>
      <c r="CE4" s="87" t="s">
        <v>442</v>
      </c>
      <c r="CF4" s="2551" t="s">
        <v>1</v>
      </c>
      <c r="CG4" s="2541" t="s">
        <v>711</v>
      </c>
      <c r="CH4" s="2542" t="s">
        <v>709</v>
      </c>
      <c r="CI4" s="2542" t="s">
        <v>707</v>
      </c>
      <c r="CJ4" s="2542" t="s">
        <v>705</v>
      </c>
      <c r="CK4" s="2542" t="s">
        <v>703</v>
      </c>
      <c r="CL4" s="2542" t="s">
        <v>701</v>
      </c>
      <c r="CM4" s="2542" t="s">
        <v>688</v>
      </c>
      <c r="CN4" s="2542" t="s">
        <v>690</v>
      </c>
      <c r="CO4" s="2542" t="s">
        <v>692</v>
      </c>
      <c r="CP4" s="2542" t="s">
        <v>694</v>
      </c>
      <c r="CQ4" s="2542" t="s">
        <v>696</v>
      </c>
      <c r="CR4" s="2543" t="s">
        <v>698</v>
      </c>
    </row>
    <row r="5" spans="2:96" ht="16.5" customHeight="1">
      <c r="B5" s="3340" t="s">
        <v>28</v>
      </c>
      <c r="C5" s="3405" t="s">
        <v>58</v>
      </c>
      <c r="D5" s="172" t="s">
        <v>227</v>
      </c>
      <c r="E5" s="159"/>
      <c r="F5" s="181">
        <f>SUM(F6:F7)</f>
        <v>2349.8333333333335</v>
      </c>
      <c r="G5" s="158">
        <f>G6+G7</f>
        <v>2484</v>
      </c>
      <c r="H5" s="158">
        <f t="shared" ref="H5:L5" si="0">H6+H7</f>
        <v>2483</v>
      </c>
      <c r="I5" s="158">
        <f t="shared" si="0"/>
        <v>2483</v>
      </c>
      <c r="J5" s="158">
        <f t="shared" si="0"/>
        <v>2415</v>
      </c>
      <c r="K5" s="158">
        <f t="shared" si="0"/>
        <v>2379</v>
      </c>
      <c r="L5" s="158">
        <f t="shared" si="0"/>
        <v>2347</v>
      </c>
      <c r="M5" s="158">
        <v>2285</v>
      </c>
      <c r="N5" s="158">
        <v>2283</v>
      </c>
      <c r="O5" s="158">
        <f t="shared" ref="O5:R5" si="1">O6+O7</f>
        <v>2260</v>
      </c>
      <c r="P5" s="158">
        <f t="shared" si="1"/>
        <v>2246</v>
      </c>
      <c r="Q5" s="158">
        <f t="shared" si="1"/>
        <v>2255</v>
      </c>
      <c r="R5" s="158">
        <f t="shared" si="1"/>
        <v>2278</v>
      </c>
      <c r="S5" s="181">
        <f>SUM(S6:S7)</f>
        <v>2186.1666666666665</v>
      </c>
      <c r="T5" s="158">
        <f>T6+T7</f>
        <v>2272</v>
      </c>
      <c r="U5" s="158">
        <f>U6+U7</f>
        <v>2221</v>
      </c>
      <c r="V5" s="158">
        <f>V6+V7</f>
        <v>2277</v>
      </c>
      <c r="W5" s="158">
        <f>W6+W7</f>
        <v>2197</v>
      </c>
      <c r="X5" s="158">
        <f t="shared" ref="X5:Y5" si="2">X6+X7</f>
        <v>2202</v>
      </c>
      <c r="Y5" s="158">
        <f t="shared" si="2"/>
        <v>2170</v>
      </c>
      <c r="Z5" s="158">
        <f t="shared" ref="Z5" si="3">Z6+Z7</f>
        <v>2193</v>
      </c>
      <c r="AA5" s="158">
        <f t="shared" ref="AA5" si="4">AA6+AA7</f>
        <v>2153</v>
      </c>
      <c r="AB5" s="158">
        <f t="shared" ref="AB5" si="5">AB6+AB7</f>
        <v>2140</v>
      </c>
      <c r="AC5" s="158">
        <f t="shared" ref="AC5:AD5" si="6">AC6+AC7</f>
        <v>2154</v>
      </c>
      <c r="AD5" s="158">
        <f t="shared" si="6"/>
        <v>2127</v>
      </c>
      <c r="AE5" s="158">
        <f t="shared" ref="AE5" si="7">AE6+AE7</f>
        <v>2128</v>
      </c>
      <c r="AF5" s="181">
        <f>SUM(AF6:AF7)</f>
        <v>2124.916666666667</v>
      </c>
      <c r="AG5" s="158">
        <f t="shared" ref="AG5:AR5" si="8">AG6+AG7</f>
        <v>2127</v>
      </c>
      <c r="AH5" s="158">
        <f t="shared" si="8"/>
        <v>2120</v>
      </c>
      <c r="AI5" s="158">
        <f t="shared" si="8"/>
        <v>2089</v>
      </c>
      <c r="AJ5" s="158">
        <f t="shared" si="8"/>
        <v>2105</v>
      </c>
      <c r="AK5" s="158">
        <f t="shared" si="8"/>
        <v>2127</v>
      </c>
      <c r="AL5" s="158">
        <f t="shared" si="8"/>
        <v>2122</v>
      </c>
      <c r="AM5" s="158">
        <f t="shared" si="8"/>
        <v>2142</v>
      </c>
      <c r="AN5" s="158">
        <f t="shared" si="8"/>
        <v>2133</v>
      </c>
      <c r="AO5" s="158">
        <f t="shared" si="8"/>
        <v>2120</v>
      </c>
      <c r="AP5" s="158">
        <f t="shared" si="8"/>
        <v>2134</v>
      </c>
      <c r="AQ5" s="158">
        <f t="shared" si="8"/>
        <v>2155</v>
      </c>
      <c r="AR5" s="158">
        <f t="shared" si="8"/>
        <v>2125</v>
      </c>
      <c r="AS5" s="181">
        <f>SUM(AS6:AS7)</f>
        <v>2107.166666666667</v>
      </c>
      <c r="AT5" s="756">
        <f t="shared" ref="AT5:AZ5" si="9">AT6+AT7</f>
        <v>2140</v>
      </c>
      <c r="AU5" s="756">
        <f t="shared" si="9"/>
        <v>2133</v>
      </c>
      <c r="AV5" s="756">
        <f t="shared" si="9"/>
        <v>2120</v>
      </c>
      <c r="AW5" s="756">
        <f t="shared" si="9"/>
        <v>2109</v>
      </c>
      <c r="AX5" s="756">
        <f t="shared" si="9"/>
        <v>2117</v>
      </c>
      <c r="AY5" s="756">
        <f t="shared" si="9"/>
        <v>2096</v>
      </c>
      <c r="AZ5" s="756">
        <f t="shared" si="9"/>
        <v>2096</v>
      </c>
      <c r="BA5" s="756">
        <f t="shared" ref="BA5:BE5" si="10">BA6+BA7</f>
        <v>2101</v>
      </c>
      <c r="BB5" s="756">
        <f t="shared" si="10"/>
        <v>2101</v>
      </c>
      <c r="BC5" s="756">
        <f t="shared" si="10"/>
        <v>2101</v>
      </c>
      <c r="BD5" s="756">
        <f t="shared" si="10"/>
        <v>2086</v>
      </c>
      <c r="BE5" s="756">
        <f t="shared" si="10"/>
        <v>2086</v>
      </c>
      <c r="BF5" s="181">
        <f>SUM(BF6:BF7)</f>
        <v>2101.5</v>
      </c>
      <c r="BG5" s="756">
        <f>BG6+BG7</f>
        <v>2042</v>
      </c>
      <c r="BH5" s="756">
        <f t="shared" ref="BH5:BR5" si="11">BH6+BH7</f>
        <v>2048</v>
      </c>
      <c r="BI5" s="756">
        <f t="shared" si="11"/>
        <v>2057</v>
      </c>
      <c r="BJ5" s="756">
        <f t="shared" si="11"/>
        <v>2086</v>
      </c>
      <c r="BK5" s="756">
        <f t="shared" si="11"/>
        <v>2091</v>
      </c>
      <c r="BL5" s="756">
        <f t="shared" si="11"/>
        <v>2095</v>
      </c>
      <c r="BM5" s="756">
        <f t="shared" si="11"/>
        <v>2102</v>
      </c>
      <c r="BN5" s="756">
        <f t="shared" si="11"/>
        <v>2102</v>
      </c>
      <c r="BO5" s="756">
        <f t="shared" si="11"/>
        <v>2114</v>
      </c>
      <c r="BP5" s="756">
        <f t="shared" si="11"/>
        <v>2140</v>
      </c>
      <c r="BQ5" s="756">
        <f t="shared" si="11"/>
        <v>2155</v>
      </c>
      <c r="BR5" s="2076">
        <f t="shared" si="11"/>
        <v>2186</v>
      </c>
      <c r="BS5" s="181">
        <f>SUM(BS6:BS7)</f>
        <v>2193.333333333333</v>
      </c>
      <c r="BT5" s="3057">
        <f>BT6+BT7</f>
        <v>2217</v>
      </c>
      <c r="BU5" s="3057">
        <f t="shared" ref="BU5:CE5" si="12">BU6+BU7</f>
        <v>2213</v>
      </c>
      <c r="BV5" s="3057">
        <f t="shared" si="12"/>
        <v>2225</v>
      </c>
      <c r="BW5" s="3057">
        <f t="shared" si="12"/>
        <v>2232</v>
      </c>
      <c r="BX5" s="3057">
        <f t="shared" si="12"/>
        <v>2228</v>
      </c>
      <c r="BY5" s="3057">
        <f t="shared" si="12"/>
        <v>2214</v>
      </c>
      <c r="BZ5" s="3057">
        <f t="shared" si="12"/>
        <v>2190</v>
      </c>
      <c r="CA5" s="3057">
        <f t="shared" si="12"/>
        <v>2175</v>
      </c>
      <c r="CB5" s="3057">
        <f t="shared" si="12"/>
        <v>2170</v>
      </c>
      <c r="CC5" s="3057">
        <f t="shared" si="12"/>
        <v>2147</v>
      </c>
      <c r="CD5" s="3057">
        <f t="shared" si="12"/>
        <v>2150</v>
      </c>
      <c r="CE5" s="3058">
        <f t="shared" si="12"/>
        <v>2159</v>
      </c>
      <c r="CF5" s="181">
        <f>SUM(CF6:CF7)</f>
        <v>2134.916666666667</v>
      </c>
      <c r="CG5" s="158">
        <f>CG6+CG7</f>
        <v>2131.1999999999998</v>
      </c>
      <c r="CH5" s="158">
        <f t="shared" ref="CH5:CR5" si="13">CH6+CH7</f>
        <v>2123.5333333333333</v>
      </c>
      <c r="CI5" s="158">
        <f t="shared" si="13"/>
        <v>2120.5333333333333</v>
      </c>
      <c r="CJ5" s="158">
        <f t="shared" si="13"/>
        <v>2117.0666666666666</v>
      </c>
      <c r="CK5" s="158">
        <f t="shared" si="13"/>
        <v>2125.4666666666667</v>
      </c>
      <c r="CL5" s="158">
        <f t="shared" si="13"/>
        <v>2126.1999999999998</v>
      </c>
      <c r="CM5" s="158">
        <f t="shared" si="13"/>
        <v>2142.6000000000004</v>
      </c>
      <c r="CN5" s="158">
        <f t="shared" si="13"/>
        <v>2143.3333333333335</v>
      </c>
      <c r="CO5" s="158">
        <f t="shared" si="13"/>
        <v>2151.7333333333336</v>
      </c>
      <c r="CP5" s="158">
        <f t="shared" si="13"/>
        <v>2144.8000000000002</v>
      </c>
      <c r="CQ5" s="158">
        <f t="shared" si="13"/>
        <v>2137.8666666666668</v>
      </c>
      <c r="CR5" s="2124">
        <f t="shared" si="13"/>
        <v>2154.666666666667</v>
      </c>
    </row>
    <row r="6" spans="2:96">
      <c r="B6" s="3332"/>
      <c r="C6" s="3401"/>
      <c r="D6" s="173" t="s">
        <v>29</v>
      </c>
      <c r="E6" s="160"/>
      <c r="F6" s="182">
        <f t="shared" ref="F6:F23" si="14">AVERAGE(G6:R6)</f>
        <v>189.08333333333334</v>
      </c>
      <c r="G6" s="492">
        <v>195</v>
      </c>
      <c r="H6" s="492">
        <v>194</v>
      </c>
      <c r="I6" s="492">
        <v>193</v>
      </c>
      <c r="J6" s="492">
        <v>190</v>
      </c>
      <c r="K6" s="492">
        <v>190</v>
      </c>
      <c r="L6" s="492">
        <v>189</v>
      </c>
      <c r="M6" s="492">
        <v>188</v>
      </c>
      <c r="N6" s="492">
        <v>186</v>
      </c>
      <c r="O6" s="492">
        <v>186</v>
      </c>
      <c r="P6" s="492">
        <v>186</v>
      </c>
      <c r="Q6" s="492">
        <v>186</v>
      </c>
      <c r="R6" s="492">
        <v>186</v>
      </c>
      <c r="S6" s="182">
        <f t="shared" ref="S6:S13" si="15">AVERAGE(T6:AE6)</f>
        <v>186.33333333333334</v>
      </c>
      <c r="T6" s="492">
        <v>185</v>
      </c>
      <c r="U6" s="492">
        <v>185</v>
      </c>
      <c r="V6" s="492">
        <f>U6</f>
        <v>185</v>
      </c>
      <c r="W6" s="492">
        <v>184</v>
      </c>
      <c r="X6" s="492">
        <v>183</v>
      </c>
      <c r="Y6" s="492">
        <v>183</v>
      </c>
      <c r="Z6" s="492">
        <v>194</v>
      </c>
      <c r="AA6" s="492">
        <v>191</v>
      </c>
      <c r="AB6" s="492">
        <v>190</v>
      </c>
      <c r="AC6" s="492">
        <v>188</v>
      </c>
      <c r="AD6" s="492">
        <v>185</v>
      </c>
      <c r="AE6" s="492">
        <v>183</v>
      </c>
      <c r="AF6" s="182">
        <f t="shared" ref="AF6:AF18" si="16">AVERAGE(AG6:AR6)</f>
        <v>184.25</v>
      </c>
      <c r="AG6" s="492">
        <v>183</v>
      </c>
      <c r="AH6" s="492">
        <v>183</v>
      </c>
      <c r="AI6" s="492">
        <v>182</v>
      </c>
      <c r="AJ6" s="492">
        <v>178</v>
      </c>
      <c r="AK6" s="492">
        <v>190</v>
      </c>
      <c r="AL6" s="492">
        <v>187</v>
      </c>
      <c r="AM6" s="492">
        <v>186</v>
      </c>
      <c r="AN6" s="492">
        <v>186</v>
      </c>
      <c r="AO6" s="492">
        <v>186</v>
      </c>
      <c r="AP6" s="492">
        <v>184</v>
      </c>
      <c r="AQ6" s="492">
        <v>183</v>
      </c>
      <c r="AR6" s="492">
        <v>183</v>
      </c>
      <c r="AS6" s="182">
        <f t="shared" ref="AS6:AS18" si="17">AVERAGE(AT6:BE6)</f>
        <v>176</v>
      </c>
      <c r="AT6" s="492">
        <v>176</v>
      </c>
      <c r="AU6" s="492">
        <v>174</v>
      </c>
      <c r="AV6" s="492">
        <v>174</v>
      </c>
      <c r="AW6" s="492">
        <v>174</v>
      </c>
      <c r="AX6" s="492">
        <v>175</v>
      </c>
      <c r="AY6" s="492">
        <v>172</v>
      </c>
      <c r="AZ6" s="492">
        <v>172</v>
      </c>
      <c r="BA6" s="492">
        <v>181</v>
      </c>
      <c r="BB6" s="492">
        <v>181</v>
      </c>
      <c r="BC6" s="492">
        <v>181</v>
      </c>
      <c r="BD6" s="492">
        <v>176</v>
      </c>
      <c r="BE6" s="492">
        <v>176</v>
      </c>
      <c r="BF6" s="182">
        <f t="shared" ref="BF6:BF18" si="18">AVERAGE(BG6:BR6)</f>
        <v>178.66666666666666</v>
      </c>
      <c r="BG6" s="492">
        <v>176</v>
      </c>
      <c r="BH6" s="492">
        <v>173</v>
      </c>
      <c r="BI6" s="492">
        <v>173</v>
      </c>
      <c r="BJ6" s="492">
        <v>171</v>
      </c>
      <c r="BK6" s="492">
        <v>171</v>
      </c>
      <c r="BL6" s="492">
        <v>184</v>
      </c>
      <c r="BM6" s="492">
        <v>183</v>
      </c>
      <c r="BN6" s="492">
        <v>183</v>
      </c>
      <c r="BO6" s="492">
        <v>183</v>
      </c>
      <c r="BP6" s="492">
        <v>184</v>
      </c>
      <c r="BQ6" s="492">
        <v>183</v>
      </c>
      <c r="BR6" s="2077">
        <v>180</v>
      </c>
      <c r="BS6" s="182">
        <f t="shared" ref="BS6:BS18" si="19">AVERAGE(BT6:CE6)</f>
        <v>184</v>
      </c>
      <c r="BT6" s="3059">
        <v>180</v>
      </c>
      <c r="BU6" s="3059">
        <v>183</v>
      </c>
      <c r="BV6" s="3059">
        <v>181</v>
      </c>
      <c r="BW6" s="3059">
        <v>181</v>
      </c>
      <c r="BX6" s="3059">
        <v>181</v>
      </c>
      <c r="BY6" s="3059">
        <v>181</v>
      </c>
      <c r="BZ6" s="3059">
        <v>180</v>
      </c>
      <c r="CA6" s="3059">
        <v>190</v>
      </c>
      <c r="CB6" s="3059">
        <v>189</v>
      </c>
      <c r="CC6" s="3059">
        <v>189</v>
      </c>
      <c r="CD6" s="3059">
        <v>189</v>
      </c>
      <c r="CE6" s="3059">
        <v>184</v>
      </c>
      <c r="CF6" s="182">
        <f t="shared" ref="CF6:CF8" si="20">AVERAGE(CG6:CR6)</f>
        <v>194.5</v>
      </c>
      <c r="CG6" s="2552">
        <v>193</v>
      </c>
      <c r="CH6" s="2552">
        <v>193</v>
      </c>
      <c r="CI6" s="2552">
        <v>190</v>
      </c>
      <c r="CJ6" s="2552">
        <v>190</v>
      </c>
      <c r="CK6" s="2552">
        <v>190</v>
      </c>
      <c r="CL6" s="2552">
        <v>190</v>
      </c>
      <c r="CM6" s="2552">
        <v>198</v>
      </c>
      <c r="CN6" s="2552">
        <v>198</v>
      </c>
      <c r="CO6" s="2552">
        <v>198</v>
      </c>
      <c r="CP6" s="2552">
        <v>198</v>
      </c>
      <c r="CQ6" s="2552">
        <v>198</v>
      </c>
      <c r="CR6" s="2552">
        <v>198</v>
      </c>
    </row>
    <row r="7" spans="2:96">
      <c r="B7" s="3332"/>
      <c r="C7" s="3401"/>
      <c r="D7" s="173" t="s">
        <v>30</v>
      </c>
      <c r="E7" s="160"/>
      <c r="F7" s="183">
        <f t="shared" si="14"/>
        <v>2160.75</v>
      </c>
      <c r="G7" s="493">
        <f t="shared" ref="G7:L7" si="21">SUM(G8:G10)</f>
        <v>2289</v>
      </c>
      <c r="H7" s="493">
        <f t="shared" si="21"/>
        <v>2289</v>
      </c>
      <c r="I7" s="493">
        <f t="shared" si="21"/>
        <v>2290</v>
      </c>
      <c r="J7" s="493">
        <f t="shared" si="21"/>
        <v>2225</v>
      </c>
      <c r="K7" s="493">
        <f t="shared" si="21"/>
        <v>2189</v>
      </c>
      <c r="L7" s="493">
        <f t="shared" si="21"/>
        <v>2158</v>
      </c>
      <c r="M7" s="493">
        <v>2097</v>
      </c>
      <c r="N7" s="493">
        <v>2097</v>
      </c>
      <c r="O7" s="493">
        <f t="shared" ref="O7:R7" si="22">SUM(O8:O10)</f>
        <v>2074</v>
      </c>
      <c r="P7" s="493">
        <f t="shared" si="22"/>
        <v>2060</v>
      </c>
      <c r="Q7" s="493">
        <f t="shared" si="22"/>
        <v>2069</v>
      </c>
      <c r="R7" s="493">
        <f t="shared" si="22"/>
        <v>2092</v>
      </c>
      <c r="S7" s="183">
        <f t="shared" si="15"/>
        <v>1999.8333333333333</v>
      </c>
      <c r="T7" s="493">
        <f t="shared" ref="T7:AE7" si="23">SUM(T8:T10)</f>
        <v>2087</v>
      </c>
      <c r="U7" s="493">
        <f t="shared" si="23"/>
        <v>2036</v>
      </c>
      <c r="V7" s="493">
        <f t="shared" si="23"/>
        <v>2092</v>
      </c>
      <c r="W7" s="493">
        <f t="shared" si="23"/>
        <v>2013</v>
      </c>
      <c r="X7" s="493">
        <f t="shared" si="23"/>
        <v>2019</v>
      </c>
      <c r="Y7" s="493">
        <f t="shared" si="23"/>
        <v>1987</v>
      </c>
      <c r="Z7" s="496">
        <f t="shared" si="23"/>
        <v>1999</v>
      </c>
      <c r="AA7" s="496">
        <f t="shared" si="23"/>
        <v>1962</v>
      </c>
      <c r="AB7" s="496">
        <f t="shared" si="23"/>
        <v>1950</v>
      </c>
      <c r="AC7" s="496">
        <f t="shared" si="23"/>
        <v>1966</v>
      </c>
      <c r="AD7" s="496">
        <f t="shared" si="23"/>
        <v>1942</v>
      </c>
      <c r="AE7" s="496">
        <f t="shared" si="23"/>
        <v>1945</v>
      </c>
      <c r="AF7" s="183">
        <f t="shared" si="16"/>
        <v>1940.6666666666667</v>
      </c>
      <c r="AG7" s="496">
        <f t="shared" ref="AG7:AQ7" si="24">SUM(AG8:AG10)</f>
        <v>1944</v>
      </c>
      <c r="AH7" s="496">
        <f t="shared" si="24"/>
        <v>1937</v>
      </c>
      <c r="AI7" s="496">
        <f t="shared" si="24"/>
        <v>1907</v>
      </c>
      <c r="AJ7" s="496">
        <f t="shared" si="24"/>
        <v>1927</v>
      </c>
      <c r="AK7" s="496">
        <f t="shared" si="24"/>
        <v>1937</v>
      </c>
      <c r="AL7" s="496">
        <f t="shared" si="24"/>
        <v>1935</v>
      </c>
      <c r="AM7" s="496">
        <f t="shared" si="24"/>
        <v>1956</v>
      </c>
      <c r="AN7" s="496">
        <f t="shared" si="24"/>
        <v>1947</v>
      </c>
      <c r="AO7" s="496">
        <f t="shared" si="24"/>
        <v>1934</v>
      </c>
      <c r="AP7" s="496">
        <f t="shared" si="24"/>
        <v>1950</v>
      </c>
      <c r="AQ7" s="496">
        <f t="shared" si="24"/>
        <v>1972</v>
      </c>
      <c r="AR7" s="496">
        <v>1942</v>
      </c>
      <c r="AS7" s="183">
        <f t="shared" si="17"/>
        <v>1931.1666666666667</v>
      </c>
      <c r="AT7" s="496">
        <f>SUM(AT8:AT10)</f>
        <v>1964</v>
      </c>
      <c r="AU7" s="496">
        <f t="shared" ref="AU7:BE7" si="25">SUM(AU8:AU10)</f>
        <v>1959</v>
      </c>
      <c r="AV7" s="496">
        <f t="shared" si="25"/>
        <v>1946</v>
      </c>
      <c r="AW7" s="496">
        <f t="shared" si="25"/>
        <v>1935</v>
      </c>
      <c r="AX7" s="496">
        <f t="shared" si="25"/>
        <v>1942</v>
      </c>
      <c r="AY7" s="496">
        <f t="shared" si="25"/>
        <v>1924</v>
      </c>
      <c r="AZ7" s="496">
        <f t="shared" si="25"/>
        <v>1924</v>
      </c>
      <c r="BA7" s="496">
        <f t="shared" si="25"/>
        <v>1920</v>
      </c>
      <c r="BB7" s="496">
        <f t="shared" si="25"/>
        <v>1920</v>
      </c>
      <c r="BC7" s="496">
        <f t="shared" si="25"/>
        <v>1920</v>
      </c>
      <c r="BD7" s="496">
        <f t="shared" si="25"/>
        <v>1910</v>
      </c>
      <c r="BE7" s="496">
        <f t="shared" si="25"/>
        <v>1910</v>
      </c>
      <c r="BF7" s="183">
        <f t="shared" si="18"/>
        <v>1922.8333333333333</v>
      </c>
      <c r="BG7" s="496">
        <f t="shared" ref="BG7:BR7" si="26">SUM(BG8:BG10)</f>
        <v>1866</v>
      </c>
      <c r="BH7" s="496">
        <f t="shared" si="26"/>
        <v>1875</v>
      </c>
      <c r="BI7" s="496">
        <f t="shared" si="26"/>
        <v>1884</v>
      </c>
      <c r="BJ7" s="496">
        <f t="shared" si="26"/>
        <v>1915</v>
      </c>
      <c r="BK7" s="496">
        <f t="shared" si="26"/>
        <v>1920</v>
      </c>
      <c r="BL7" s="496">
        <f t="shared" si="26"/>
        <v>1911</v>
      </c>
      <c r="BM7" s="496">
        <f t="shared" si="26"/>
        <v>1919</v>
      </c>
      <c r="BN7" s="496">
        <f t="shared" si="26"/>
        <v>1919</v>
      </c>
      <c r="BO7" s="496">
        <f t="shared" si="26"/>
        <v>1931</v>
      </c>
      <c r="BP7" s="496">
        <f t="shared" si="26"/>
        <v>1956</v>
      </c>
      <c r="BQ7" s="496">
        <f t="shared" si="26"/>
        <v>1972</v>
      </c>
      <c r="BR7" s="2078">
        <f t="shared" si="26"/>
        <v>2006</v>
      </c>
      <c r="BS7" s="2045">
        <f t="shared" si="19"/>
        <v>2009.3333333333333</v>
      </c>
      <c r="BT7" s="3060">
        <f t="shared" ref="BT7:CE7" si="27">SUM(BT8:BT10)</f>
        <v>2037</v>
      </c>
      <c r="BU7" s="3060">
        <f t="shared" si="27"/>
        <v>2030</v>
      </c>
      <c r="BV7" s="3060">
        <f t="shared" si="27"/>
        <v>2044</v>
      </c>
      <c r="BW7" s="3060">
        <f t="shared" si="27"/>
        <v>2051</v>
      </c>
      <c r="BX7" s="3060">
        <f t="shared" si="27"/>
        <v>2047</v>
      </c>
      <c r="BY7" s="3060">
        <f t="shared" si="27"/>
        <v>2033</v>
      </c>
      <c r="BZ7" s="3060">
        <f t="shared" si="27"/>
        <v>2010</v>
      </c>
      <c r="CA7" s="3060">
        <f t="shared" si="27"/>
        <v>1985</v>
      </c>
      <c r="CB7" s="3060">
        <f t="shared" si="27"/>
        <v>1981</v>
      </c>
      <c r="CC7" s="3060">
        <f t="shared" si="27"/>
        <v>1958</v>
      </c>
      <c r="CD7" s="3060">
        <f t="shared" si="27"/>
        <v>1961</v>
      </c>
      <c r="CE7" s="3060">
        <f t="shared" si="27"/>
        <v>1975</v>
      </c>
      <c r="CF7" s="2045">
        <f t="shared" si="20"/>
        <v>1940.416666666667</v>
      </c>
      <c r="CG7" s="2037">
        <f t="shared" ref="CG7:CR7" si="28">SUM(CG8:CG10)</f>
        <v>1938.2</v>
      </c>
      <c r="CH7" s="2037">
        <f t="shared" si="28"/>
        <v>1930.5333333333333</v>
      </c>
      <c r="CI7" s="2037">
        <f t="shared" si="28"/>
        <v>1930.5333333333333</v>
      </c>
      <c r="CJ7" s="2037">
        <f t="shared" si="28"/>
        <v>1927.0666666666668</v>
      </c>
      <c r="CK7" s="2037">
        <f t="shared" si="28"/>
        <v>1935.4666666666667</v>
      </c>
      <c r="CL7" s="2037">
        <f t="shared" si="28"/>
        <v>1936.2</v>
      </c>
      <c r="CM7" s="2037">
        <f t="shared" si="28"/>
        <v>1944.6000000000001</v>
      </c>
      <c r="CN7" s="2037">
        <f t="shared" si="28"/>
        <v>1945.3333333333335</v>
      </c>
      <c r="CO7" s="2037">
        <f t="shared" si="28"/>
        <v>1953.7333333333336</v>
      </c>
      <c r="CP7" s="2037">
        <f t="shared" si="28"/>
        <v>1946.8</v>
      </c>
      <c r="CQ7" s="2037">
        <f t="shared" si="28"/>
        <v>1939.8666666666668</v>
      </c>
      <c r="CR7" s="2037">
        <f t="shared" si="28"/>
        <v>1956.6666666666667</v>
      </c>
    </row>
    <row r="8" spans="2:96">
      <c r="B8" s="3332"/>
      <c r="C8" s="3401"/>
      <c r="D8" s="174" t="s">
        <v>224</v>
      </c>
      <c r="E8" s="160"/>
      <c r="F8" s="183">
        <f t="shared" si="14"/>
        <v>1971.0833333333333</v>
      </c>
      <c r="G8" s="465">
        <v>1966</v>
      </c>
      <c r="H8" s="465">
        <v>1968</v>
      </c>
      <c r="I8" s="465">
        <v>1978</v>
      </c>
      <c r="J8" s="465">
        <v>2061</v>
      </c>
      <c r="K8" s="465">
        <v>2039</v>
      </c>
      <c r="L8" s="465">
        <v>2011</v>
      </c>
      <c r="M8" s="465">
        <v>1950</v>
      </c>
      <c r="N8" s="465">
        <v>1952</v>
      </c>
      <c r="O8" s="465">
        <v>1929</v>
      </c>
      <c r="P8" s="465">
        <v>1919</v>
      </c>
      <c r="Q8" s="465">
        <v>1928</v>
      </c>
      <c r="R8" s="465">
        <v>1952</v>
      </c>
      <c r="S8" s="183">
        <f t="shared" si="15"/>
        <v>1860.75</v>
      </c>
      <c r="T8" s="465">
        <v>1948</v>
      </c>
      <c r="U8" s="465">
        <v>1897</v>
      </c>
      <c r="V8" s="492">
        <v>1951</v>
      </c>
      <c r="W8" s="492">
        <v>1875</v>
      </c>
      <c r="X8" s="465">
        <v>1879</v>
      </c>
      <c r="Y8" s="465">
        <v>1847</v>
      </c>
      <c r="Z8" s="465">
        <v>1859</v>
      </c>
      <c r="AA8" s="465">
        <v>1821</v>
      </c>
      <c r="AB8" s="465">
        <v>1811</v>
      </c>
      <c r="AC8" s="465">
        <v>1827</v>
      </c>
      <c r="AD8" s="465">
        <v>1804</v>
      </c>
      <c r="AE8" s="465">
        <v>1810</v>
      </c>
      <c r="AF8" s="183">
        <f t="shared" si="16"/>
        <v>1808.5</v>
      </c>
      <c r="AG8" s="465">
        <v>1810</v>
      </c>
      <c r="AH8" s="465">
        <v>1808</v>
      </c>
      <c r="AI8" s="465">
        <v>1779</v>
      </c>
      <c r="AJ8" s="465">
        <v>1798</v>
      </c>
      <c r="AK8" s="465">
        <v>1809</v>
      </c>
      <c r="AL8" s="465">
        <v>1800</v>
      </c>
      <c r="AM8" s="465">
        <v>1821</v>
      </c>
      <c r="AN8" s="465">
        <v>1810</v>
      </c>
      <c r="AO8" s="465">
        <v>1798</v>
      </c>
      <c r="AP8" s="465">
        <v>1814</v>
      </c>
      <c r="AQ8" s="465">
        <v>1837</v>
      </c>
      <c r="AR8" s="493">
        <v>1818</v>
      </c>
      <c r="AS8" s="183">
        <f t="shared" si="17"/>
        <v>1794.0833333333333</v>
      </c>
      <c r="AT8" s="465">
        <f>+AT14+AT17+AT18</f>
        <v>1831</v>
      </c>
      <c r="AU8" s="465">
        <f t="shared" ref="AU8:BE8" si="29">+AU14+AU17+AU18</f>
        <v>1825</v>
      </c>
      <c r="AV8" s="465">
        <f t="shared" si="29"/>
        <v>1811</v>
      </c>
      <c r="AW8" s="465">
        <f t="shared" si="29"/>
        <v>1797</v>
      </c>
      <c r="AX8" s="465">
        <f t="shared" si="29"/>
        <v>1803</v>
      </c>
      <c r="AY8" s="465">
        <f t="shared" si="29"/>
        <v>1786</v>
      </c>
      <c r="AZ8" s="465">
        <f t="shared" si="29"/>
        <v>1786</v>
      </c>
      <c r="BA8" s="465">
        <f t="shared" si="29"/>
        <v>1782</v>
      </c>
      <c r="BB8" s="465">
        <f t="shared" si="29"/>
        <v>1782</v>
      </c>
      <c r="BC8" s="465">
        <f t="shared" si="29"/>
        <v>1782</v>
      </c>
      <c r="BD8" s="465">
        <f t="shared" si="29"/>
        <v>1772</v>
      </c>
      <c r="BE8" s="465">
        <f t="shared" si="29"/>
        <v>1772</v>
      </c>
      <c r="BF8" s="183">
        <f t="shared" si="18"/>
        <v>1809.9166666666667</v>
      </c>
      <c r="BG8" s="466">
        <f>BG14+BG17+BG18</f>
        <v>1743</v>
      </c>
      <c r="BH8" s="466">
        <f t="shared" ref="BH8:BR8" si="30">BH14+BH17+BH18</f>
        <v>1753</v>
      </c>
      <c r="BI8" s="466">
        <f t="shared" si="30"/>
        <v>1765</v>
      </c>
      <c r="BJ8" s="466">
        <f t="shared" si="30"/>
        <v>1799</v>
      </c>
      <c r="BK8" s="466">
        <f t="shared" si="30"/>
        <v>1804</v>
      </c>
      <c r="BL8" s="466">
        <f t="shared" si="30"/>
        <v>1793</v>
      </c>
      <c r="BM8" s="466">
        <f t="shared" si="30"/>
        <v>1811</v>
      </c>
      <c r="BN8" s="466">
        <f t="shared" si="30"/>
        <v>1805</v>
      </c>
      <c r="BO8" s="466">
        <f t="shared" si="30"/>
        <v>1829</v>
      </c>
      <c r="BP8" s="466">
        <f t="shared" si="30"/>
        <v>1861</v>
      </c>
      <c r="BQ8" s="466">
        <f t="shared" si="30"/>
        <v>1866</v>
      </c>
      <c r="BR8" s="2078">
        <f t="shared" si="30"/>
        <v>1890</v>
      </c>
      <c r="BS8" s="2045">
        <f t="shared" si="19"/>
        <v>1867.5833333333333</v>
      </c>
      <c r="BT8" s="3061">
        <f t="shared" ref="BT8:CE8" si="31">BT14+BT17+BT18</f>
        <v>1915</v>
      </c>
      <c r="BU8" s="3061">
        <f t="shared" si="31"/>
        <v>1904</v>
      </c>
      <c r="BV8" s="3061">
        <f t="shared" si="31"/>
        <v>1911</v>
      </c>
      <c r="BW8" s="3061">
        <f t="shared" si="31"/>
        <v>1908</v>
      </c>
      <c r="BX8" s="3061">
        <f t="shared" si="31"/>
        <v>1901</v>
      </c>
      <c r="BY8" s="3061">
        <f t="shared" si="31"/>
        <v>1886</v>
      </c>
      <c r="BZ8" s="3061">
        <f t="shared" si="31"/>
        <v>1860</v>
      </c>
      <c r="CA8" s="3061">
        <f t="shared" si="31"/>
        <v>1836</v>
      </c>
      <c r="CB8" s="3061">
        <f t="shared" si="31"/>
        <v>1833</v>
      </c>
      <c r="CC8" s="3061">
        <f t="shared" si="31"/>
        <v>1812</v>
      </c>
      <c r="CD8" s="3061">
        <f t="shared" si="31"/>
        <v>1815</v>
      </c>
      <c r="CE8" s="3060">
        <f t="shared" si="31"/>
        <v>1830</v>
      </c>
      <c r="CF8" s="2045">
        <f t="shared" si="20"/>
        <v>1793.416666666667</v>
      </c>
      <c r="CG8" s="2038">
        <f t="shared" ref="CG8:CR8" si="32">CG14+CG17+CG18</f>
        <v>1791.2</v>
      </c>
      <c r="CH8" s="2038">
        <f t="shared" si="32"/>
        <v>1783.5333333333333</v>
      </c>
      <c r="CI8" s="2038">
        <f t="shared" si="32"/>
        <v>1783.5333333333333</v>
      </c>
      <c r="CJ8" s="2038">
        <f t="shared" si="32"/>
        <v>1780.0666666666668</v>
      </c>
      <c r="CK8" s="2038">
        <f t="shared" si="32"/>
        <v>1788.4666666666667</v>
      </c>
      <c r="CL8" s="2038">
        <f t="shared" si="32"/>
        <v>1789.2</v>
      </c>
      <c r="CM8" s="2038">
        <f t="shared" si="32"/>
        <v>1797.6000000000001</v>
      </c>
      <c r="CN8" s="2038">
        <f t="shared" si="32"/>
        <v>1798.3333333333335</v>
      </c>
      <c r="CO8" s="2038">
        <f t="shared" si="32"/>
        <v>1806.7333333333336</v>
      </c>
      <c r="CP8" s="2038">
        <f t="shared" si="32"/>
        <v>1799.8</v>
      </c>
      <c r="CQ8" s="2038">
        <f t="shared" si="32"/>
        <v>1792.8666666666668</v>
      </c>
      <c r="CR8" s="2037">
        <f t="shared" si="32"/>
        <v>1809.6666666666667</v>
      </c>
    </row>
    <row r="9" spans="2:96">
      <c r="B9" s="3332"/>
      <c r="C9" s="3401"/>
      <c r="D9" s="174" t="s">
        <v>225</v>
      </c>
      <c r="E9" s="160"/>
      <c r="F9" s="183">
        <f t="shared" si="14"/>
        <v>43.5</v>
      </c>
      <c r="G9" s="466">
        <v>171</v>
      </c>
      <c r="H9" s="465">
        <f>G9</f>
        <v>171</v>
      </c>
      <c r="I9" s="465">
        <v>162</v>
      </c>
      <c r="J9" s="465">
        <v>16</v>
      </c>
      <c r="K9" s="465">
        <v>2</v>
      </c>
      <c r="L9" s="465">
        <v>0</v>
      </c>
      <c r="M9" s="465">
        <v>0</v>
      </c>
      <c r="N9" s="465">
        <v>0</v>
      </c>
      <c r="O9" s="465">
        <f t="shared" ref="O9:Q9" si="33">N9</f>
        <v>0</v>
      </c>
      <c r="P9" s="465">
        <f t="shared" si="33"/>
        <v>0</v>
      </c>
      <c r="Q9" s="465">
        <f t="shared" si="33"/>
        <v>0</v>
      </c>
      <c r="R9" s="465">
        <v>0</v>
      </c>
      <c r="S9" s="183">
        <f t="shared" si="15"/>
        <v>0</v>
      </c>
      <c r="T9" s="465"/>
      <c r="U9" s="465"/>
      <c r="V9" s="492"/>
      <c r="W9" s="492"/>
      <c r="X9" s="465"/>
      <c r="Y9" s="465"/>
      <c r="Z9" s="465">
        <f t="shared" ref="Z9:AE10" si="34">Y9</f>
        <v>0</v>
      </c>
      <c r="AA9" s="465">
        <f t="shared" si="34"/>
        <v>0</v>
      </c>
      <c r="AB9" s="465">
        <f t="shared" si="34"/>
        <v>0</v>
      </c>
      <c r="AC9" s="465">
        <f t="shared" si="34"/>
        <v>0</v>
      </c>
      <c r="AD9" s="465">
        <f t="shared" si="34"/>
        <v>0</v>
      </c>
      <c r="AE9" s="465">
        <f t="shared" si="34"/>
        <v>0</v>
      </c>
      <c r="AF9" s="183">
        <f t="shared" si="16"/>
        <v>4</v>
      </c>
      <c r="AG9" s="465">
        <v>0</v>
      </c>
      <c r="AH9" s="465">
        <v>0</v>
      </c>
      <c r="AI9" s="465">
        <v>0</v>
      </c>
      <c r="AJ9" s="465">
        <v>0</v>
      </c>
      <c r="AK9" s="465">
        <v>0</v>
      </c>
      <c r="AL9" s="465">
        <v>5</v>
      </c>
      <c r="AM9" s="465">
        <v>5</v>
      </c>
      <c r="AN9" s="465">
        <v>5</v>
      </c>
      <c r="AO9" s="465">
        <v>5</v>
      </c>
      <c r="AP9" s="465">
        <v>7</v>
      </c>
      <c r="AQ9" s="465">
        <v>10</v>
      </c>
      <c r="AR9" s="493">
        <v>11</v>
      </c>
      <c r="AS9" s="183">
        <f t="shared" si="17"/>
        <v>16.666666666666668</v>
      </c>
      <c r="AT9" s="465">
        <v>9</v>
      </c>
      <c r="AU9" s="465">
        <v>13</v>
      </c>
      <c r="AV9" s="465">
        <v>14</v>
      </c>
      <c r="AW9" s="465">
        <v>17</v>
      </c>
      <c r="AX9" s="465">
        <v>19</v>
      </c>
      <c r="AY9" s="465">
        <v>18</v>
      </c>
      <c r="AZ9" s="465">
        <v>18</v>
      </c>
      <c r="BA9" s="465">
        <v>18</v>
      </c>
      <c r="BB9" s="465">
        <v>18</v>
      </c>
      <c r="BC9" s="465">
        <v>18</v>
      </c>
      <c r="BD9" s="465">
        <v>19</v>
      </c>
      <c r="BE9" s="465">
        <v>19</v>
      </c>
      <c r="BF9" s="183"/>
      <c r="BG9" s="492"/>
      <c r="BH9" s="492"/>
      <c r="BI9" s="492"/>
      <c r="BJ9" s="492"/>
      <c r="BK9" s="492"/>
      <c r="BL9" s="492"/>
      <c r="BM9" s="492"/>
      <c r="BN9" s="492"/>
      <c r="BO9" s="492"/>
      <c r="BP9" s="492"/>
      <c r="BQ9" s="492"/>
      <c r="BR9" s="2077"/>
      <c r="BS9" s="2045">
        <f>IFERROR(AVERAGE(BT9:CE9),0)</f>
        <v>0</v>
      </c>
      <c r="BT9" s="3059"/>
      <c r="BU9" s="3059"/>
      <c r="BV9" s="3059"/>
      <c r="BW9" s="3059"/>
      <c r="BX9" s="3059"/>
      <c r="BY9" s="3059"/>
      <c r="BZ9" s="3059"/>
      <c r="CA9" s="3059"/>
      <c r="CB9" s="3059"/>
      <c r="CC9" s="3059"/>
      <c r="CD9" s="3059"/>
      <c r="CE9" s="3059"/>
      <c r="CF9" s="2045">
        <f>IFERROR(AVERAGE(CG9:CR9),0)</f>
        <v>0</v>
      </c>
      <c r="CG9" s="2044"/>
      <c r="CH9" s="2044"/>
      <c r="CI9" s="2044"/>
      <c r="CJ9" s="2044"/>
      <c r="CK9" s="2044"/>
      <c r="CL9" s="2044"/>
      <c r="CM9" s="2044"/>
      <c r="CN9" s="2044"/>
      <c r="CO9" s="2044"/>
      <c r="CP9" s="2044"/>
      <c r="CQ9" s="2044"/>
      <c r="CR9" s="2044"/>
    </row>
    <row r="10" spans="2:96">
      <c r="B10" s="3332"/>
      <c r="C10" s="3401"/>
      <c r="D10" s="174" t="s">
        <v>226</v>
      </c>
      <c r="E10" s="160"/>
      <c r="F10" s="183">
        <f t="shared" si="14"/>
        <v>146.16666666666666</v>
      </c>
      <c r="G10" s="466">
        <v>152</v>
      </c>
      <c r="H10" s="465">
        <v>150</v>
      </c>
      <c r="I10" s="465">
        <f t="shared" ref="I10:K10" si="35">H10</f>
        <v>150</v>
      </c>
      <c r="J10" s="465">
        <v>148</v>
      </c>
      <c r="K10" s="465">
        <f t="shared" si="35"/>
        <v>148</v>
      </c>
      <c r="L10" s="465">
        <v>147</v>
      </c>
      <c r="M10" s="465">
        <v>147</v>
      </c>
      <c r="N10" s="465">
        <v>145</v>
      </c>
      <c r="O10" s="465">
        <v>145</v>
      </c>
      <c r="P10" s="465">
        <v>141</v>
      </c>
      <c r="Q10" s="465">
        <v>141</v>
      </c>
      <c r="R10" s="465">
        <v>140</v>
      </c>
      <c r="S10" s="183">
        <f t="shared" si="15"/>
        <v>139.08333333333334</v>
      </c>
      <c r="T10" s="465">
        <v>139</v>
      </c>
      <c r="U10" s="465">
        <v>139</v>
      </c>
      <c r="V10" s="492">
        <v>141</v>
      </c>
      <c r="W10" s="492">
        <v>138</v>
      </c>
      <c r="X10" s="465">
        <v>140</v>
      </c>
      <c r="Y10" s="465">
        <v>140</v>
      </c>
      <c r="Z10" s="465">
        <v>140</v>
      </c>
      <c r="AA10" s="465">
        <v>141</v>
      </c>
      <c r="AB10" s="465">
        <v>139</v>
      </c>
      <c r="AC10" s="465">
        <f t="shared" si="34"/>
        <v>139</v>
      </c>
      <c r="AD10" s="465">
        <v>138</v>
      </c>
      <c r="AE10" s="465">
        <v>135</v>
      </c>
      <c r="AF10" s="183">
        <f t="shared" si="16"/>
        <v>129.08333333333334</v>
      </c>
      <c r="AG10" s="465">
        <v>134</v>
      </c>
      <c r="AH10" s="465">
        <v>129</v>
      </c>
      <c r="AI10" s="465">
        <v>128</v>
      </c>
      <c r="AJ10" s="465">
        <v>129</v>
      </c>
      <c r="AK10" s="465">
        <v>128</v>
      </c>
      <c r="AL10" s="465">
        <v>130</v>
      </c>
      <c r="AM10" s="465">
        <v>130</v>
      </c>
      <c r="AN10" s="465">
        <v>132</v>
      </c>
      <c r="AO10" s="465">
        <v>131</v>
      </c>
      <c r="AP10" s="465">
        <v>129</v>
      </c>
      <c r="AQ10" s="465">
        <v>125</v>
      </c>
      <c r="AR10" s="493">
        <v>124</v>
      </c>
      <c r="AS10" s="183">
        <f t="shared" si="17"/>
        <v>120.41666666666667</v>
      </c>
      <c r="AT10" s="465">
        <v>124</v>
      </c>
      <c r="AU10" s="465">
        <v>121</v>
      </c>
      <c r="AV10" s="465">
        <v>121</v>
      </c>
      <c r="AW10" s="465">
        <v>121</v>
      </c>
      <c r="AX10" s="465">
        <v>120</v>
      </c>
      <c r="AY10" s="465">
        <v>120</v>
      </c>
      <c r="AZ10" s="465">
        <v>120</v>
      </c>
      <c r="BA10" s="465">
        <v>120</v>
      </c>
      <c r="BB10" s="465">
        <v>120</v>
      </c>
      <c r="BC10" s="465">
        <v>120</v>
      </c>
      <c r="BD10" s="465">
        <v>119</v>
      </c>
      <c r="BE10" s="465">
        <v>119</v>
      </c>
      <c r="BF10" s="183">
        <f t="shared" si="18"/>
        <v>112.91666666666667</v>
      </c>
      <c r="BG10" s="492">
        <v>123</v>
      </c>
      <c r="BH10" s="492">
        <v>122</v>
      </c>
      <c r="BI10" s="492">
        <v>119</v>
      </c>
      <c r="BJ10" s="492">
        <v>116</v>
      </c>
      <c r="BK10" s="492">
        <v>116</v>
      </c>
      <c r="BL10" s="492">
        <v>118</v>
      </c>
      <c r="BM10" s="492">
        <v>108</v>
      </c>
      <c r="BN10" s="492">
        <v>114</v>
      </c>
      <c r="BO10" s="492">
        <v>102</v>
      </c>
      <c r="BP10" s="492">
        <v>95</v>
      </c>
      <c r="BQ10" s="492">
        <v>106</v>
      </c>
      <c r="BR10" s="2077">
        <v>116</v>
      </c>
      <c r="BS10" s="2045">
        <f t="shared" si="19"/>
        <v>141.75</v>
      </c>
      <c r="BT10" s="3059">
        <v>122</v>
      </c>
      <c r="BU10" s="3059">
        <v>126</v>
      </c>
      <c r="BV10" s="3059">
        <v>133</v>
      </c>
      <c r="BW10" s="3059">
        <v>143</v>
      </c>
      <c r="BX10" s="3059">
        <v>146</v>
      </c>
      <c r="BY10" s="3059">
        <v>147</v>
      </c>
      <c r="BZ10" s="3059">
        <v>150</v>
      </c>
      <c r="CA10" s="3059">
        <v>149</v>
      </c>
      <c r="CB10" s="3059">
        <v>148</v>
      </c>
      <c r="CC10" s="3059">
        <v>146</v>
      </c>
      <c r="CD10" s="3059">
        <v>146</v>
      </c>
      <c r="CE10" s="3059">
        <v>145</v>
      </c>
      <c r="CF10" s="2045">
        <f t="shared" ref="CF10:CF18" si="36">AVERAGE(CG10:CR10)</f>
        <v>147</v>
      </c>
      <c r="CG10" s="2552">
        <v>147</v>
      </c>
      <c r="CH10" s="2552">
        <v>147</v>
      </c>
      <c r="CI10" s="2552">
        <v>147</v>
      </c>
      <c r="CJ10" s="2552">
        <v>147</v>
      </c>
      <c r="CK10" s="2552">
        <v>147</v>
      </c>
      <c r="CL10" s="2552">
        <v>147</v>
      </c>
      <c r="CM10" s="2552">
        <v>147</v>
      </c>
      <c r="CN10" s="2552">
        <v>147</v>
      </c>
      <c r="CO10" s="2552">
        <v>147</v>
      </c>
      <c r="CP10" s="2552">
        <v>147</v>
      </c>
      <c r="CQ10" s="2552">
        <v>147</v>
      </c>
      <c r="CR10" s="2552">
        <v>147</v>
      </c>
    </row>
    <row r="11" spans="2:96">
      <c r="B11" s="3332"/>
      <c r="C11" s="3401"/>
      <c r="D11" s="1916" t="s">
        <v>229</v>
      </c>
      <c r="E11" s="161"/>
      <c r="F11" s="184">
        <f t="shared" si="14"/>
        <v>106.91666666666667</v>
      </c>
      <c r="G11" s="467">
        <f t="shared" ref="G11:L11" si="37">SUM(G19:G23)</f>
        <v>121</v>
      </c>
      <c r="H11" s="467">
        <f t="shared" si="37"/>
        <v>110</v>
      </c>
      <c r="I11" s="467">
        <f t="shared" si="37"/>
        <v>109</v>
      </c>
      <c r="J11" s="467">
        <f t="shared" si="37"/>
        <v>109</v>
      </c>
      <c r="K11" s="467">
        <f t="shared" si="37"/>
        <v>109</v>
      </c>
      <c r="L11" s="467">
        <f t="shared" si="37"/>
        <v>111</v>
      </c>
      <c r="M11" s="467">
        <v>109</v>
      </c>
      <c r="N11" s="467">
        <v>109</v>
      </c>
      <c r="O11" s="467">
        <v>109</v>
      </c>
      <c r="P11" s="467">
        <v>97</v>
      </c>
      <c r="Q11" s="467">
        <f t="shared" ref="Q11" si="38">SUM(Q19:Q23)</f>
        <v>95</v>
      </c>
      <c r="R11" s="2216">
        <f t="shared" ref="R11" si="39">SUM(R19:R23)</f>
        <v>95</v>
      </c>
      <c r="S11" s="184">
        <f t="shared" si="15"/>
        <v>111</v>
      </c>
      <c r="T11" s="127">
        <f>L11</f>
        <v>111</v>
      </c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84" t="e">
        <f t="shared" si="16"/>
        <v>#DIV/0!</v>
      </c>
      <c r="AG11" s="467"/>
      <c r="AH11" s="467"/>
      <c r="AI11" s="467"/>
      <c r="AJ11" s="467"/>
      <c r="AK11" s="467"/>
      <c r="AL11" s="467"/>
      <c r="AM11" s="467"/>
      <c r="AN11" s="467"/>
      <c r="AO11" s="467"/>
      <c r="AP11" s="467"/>
      <c r="AQ11" s="467"/>
      <c r="AR11" s="467"/>
      <c r="AS11" s="184">
        <f t="shared" si="17"/>
        <v>9.4166666666666661</v>
      </c>
      <c r="AT11" s="467">
        <v>9</v>
      </c>
      <c r="AU11" s="467">
        <v>10</v>
      </c>
      <c r="AV11" s="467">
        <v>10</v>
      </c>
      <c r="AW11" s="467">
        <v>9</v>
      </c>
      <c r="AX11" s="467">
        <v>10</v>
      </c>
      <c r="AY11" s="467">
        <v>9</v>
      </c>
      <c r="AZ11" s="467">
        <v>9</v>
      </c>
      <c r="BA11" s="467">
        <v>9</v>
      </c>
      <c r="BB11" s="467">
        <v>9</v>
      </c>
      <c r="BC11" s="467">
        <v>9</v>
      </c>
      <c r="BD11" s="467">
        <v>10</v>
      </c>
      <c r="BE11" s="793">
        <v>10</v>
      </c>
      <c r="BF11" s="184">
        <f t="shared" si="18"/>
        <v>12.166666666666666</v>
      </c>
      <c r="BG11" s="467">
        <v>12</v>
      </c>
      <c r="BH11" s="467">
        <v>12</v>
      </c>
      <c r="BI11" s="467">
        <v>14</v>
      </c>
      <c r="BJ11" s="467">
        <v>12</v>
      </c>
      <c r="BK11" s="467">
        <v>12</v>
      </c>
      <c r="BL11" s="467">
        <v>12</v>
      </c>
      <c r="BM11" s="467">
        <v>12</v>
      </c>
      <c r="BN11" s="467">
        <v>12</v>
      </c>
      <c r="BO11" s="467">
        <v>12</v>
      </c>
      <c r="BP11" s="467">
        <v>12</v>
      </c>
      <c r="BQ11" s="467">
        <v>12</v>
      </c>
      <c r="BR11" s="2079">
        <v>12</v>
      </c>
      <c r="BS11" s="184">
        <f t="shared" si="19"/>
        <v>0</v>
      </c>
      <c r="BT11" s="2216">
        <v>0</v>
      </c>
      <c r="BU11" s="2216">
        <v>0</v>
      </c>
      <c r="BV11" s="2216">
        <v>0</v>
      </c>
      <c r="BW11" s="2216">
        <v>0</v>
      </c>
      <c r="BX11" s="2216">
        <v>0</v>
      </c>
      <c r="BY11" s="2216">
        <v>0</v>
      </c>
      <c r="BZ11" s="2216">
        <v>0</v>
      </c>
      <c r="CA11" s="2216">
        <v>0</v>
      </c>
      <c r="CB11" s="2216">
        <v>0</v>
      </c>
      <c r="CC11" s="2216">
        <v>0</v>
      </c>
      <c r="CD11" s="2216">
        <v>0</v>
      </c>
      <c r="CE11" s="3062">
        <v>0</v>
      </c>
      <c r="CF11" s="184">
        <f t="shared" si="36"/>
        <v>0</v>
      </c>
      <c r="CG11" s="127">
        <v>0</v>
      </c>
      <c r="CH11" s="127">
        <v>0</v>
      </c>
      <c r="CI11" s="127">
        <v>0</v>
      </c>
      <c r="CJ11" s="127">
        <v>0</v>
      </c>
      <c r="CK11" s="127">
        <v>0</v>
      </c>
      <c r="CL11" s="127">
        <v>0</v>
      </c>
      <c r="CM11" s="127">
        <v>0</v>
      </c>
      <c r="CN11" s="127">
        <v>0</v>
      </c>
      <c r="CO11" s="127">
        <v>0</v>
      </c>
      <c r="CP11" s="127">
        <v>0</v>
      </c>
      <c r="CQ11" s="127">
        <v>0</v>
      </c>
      <c r="CR11" s="2546">
        <v>0</v>
      </c>
    </row>
    <row r="12" spans="2:96">
      <c r="B12" s="3332"/>
      <c r="C12" s="3401"/>
      <c r="D12" s="3407" t="s">
        <v>291</v>
      </c>
      <c r="E12" s="161" t="s">
        <v>292</v>
      </c>
      <c r="F12" s="184">
        <f t="shared" si="14"/>
        <v>23.083333333333332</v>
      </c>
      <c r="G12" s="467">
        <v>24</v>
      </c>
      <c r="H12" s="467">
        <v>23</v>
      </c>
      <c r="I12" s="467">
        <v>23</v>
      </c>
      <c r="J12" s="467">
        <v>23</v>
      </c>
      <c r="K12" s="467">
        <v>23</v>
      </c>
      <c r="L12" s="467">
        <v>23</v>
      </c>
      <c r="M12" s="467">
        <v>23</v>
      </c>
      <c r="N12" s="467">
        <v>23</v>
      </c>
      <c r="O12" s="467">
        <v>23</v>
      </c>
      <c r="P12" s="467">
        <v>23</v>
      </c>
      <c r="Q12" s="467">
        <v>23</v>
      </c>
      <c r="R12" s="2216">
        <f t="shared" ref="R12:R13" si="40">Q12</f>
        <v>23</v>
      </c>
      <c r="S12" s="184">
        <f t="shared" si="15"/>
        <v>9.3333333333333339</v>
      </c>
      <c r="T12" s="467">
        <v>10</v>
      </c>
      <c r="U12" s="467">
        <v>10</v>
      </c>
      <c r="V12" s="467">
        <v>10</v>
      </c>
      <c r="W12" s="467">
        <v>10</v>
      </c>
      <c r="X12" s="467">
        <v>9</v>
      </c>
      <c r="Y12" s="467">
        <v>9</v>
      </c>
      <c r="Z12" s="467">
        <v>9</v>
      </c>
      <c r="AA12" s="467">
        <v>9</v>
      </c>
      <c r="AB12" s="467">
        <v>9</v>
      </c>
      <c r="AC12" s="467">
        <f t="shared" ref="AC12:AE12" si="41">AB12</f>
        <v>9</v>
      </c>
      <c r="AD12" s="467">
        <f t="shared" si="41"/>
        <v>9</v>
      </c>
      <c r="AE12" s="467">
        <f t="shared" si="41"/>
        <v>9</v>
      </c>
      <c r="AF12" s="184">
        <f t="shared" si="16"/>
        <v>10</v>
      </c>
      <c r="AG12" s="467">
        <v>10</v>
      </c>
      <c r="AH12" s="467">
        <v>10</v>
      </c>
      <c r="AI12" s="467">
        <v>10</v>
      </c>
      <c r="AJ12" s="467">
        <v>10</v>
      </c>
      <c r="AK12" s="467">
        <v>10</v>
      </c>
      <c r="AL12" s="467">
        <v>10</v>
      </c>
      <c r="AM12" s="467">
        <v>10</v>
      </c>
      <c r="AN12" s="467">
        <v>10</v>
      </c>
      <c r="AO12" s="467">
        <v>10</v>
      </c>
      <c r="AP12" s="467">
        <v>10</v>
      </c>
      <c r="AQ12" s="467">
        <v>10</v>
      </c>
      <c r="AR12" s="793">
        <f t="shared" ref="AR12:AR17" si="42">AQ12</f>
        <v>10</v>
      </c>
      <c r="AS12" s="184">
        <f t="shared" si="17"/>
        <v>8.3333333333333339</v>
      </c>
      <c r="AT12" s="467">
        <v>9</v>
      </c>
      <c r="AU12" s="467">
        <v>10</v>
      </c>
      <c r="AV12" s="467">
        <v>10</v>
      </c>
      <c r="AW12" s="467">
        <v>8</v>
      </c>
      <c r="AX12" s="467">
        <v>8</v>
      </c>
      <c r="AY12" s="467">
        <v>8</v>
      </c>
      <c r="AZ12" s="467">
        <v>8</v>
      </c>
      <c r="BA12" s="467">
        <v>8</v>
      </c>
      <c r="BB12" s="467">
        <v>8</v>
      </c>
      <c r="BC12" s="467">
        <v>8</v>
      </c>
      <c r="BD12" s="467">
        <v>8</v>
      </c>
      <c r="BE12" s="793">
        <v>7</v>
      </c>
      <c r="BF12" s="184">
        <f t="shared" si="18"/>
        <v>7</v>
      </c>
      <c r="BG12" s="467">
        <v>7</v>
      </c>
      <c r="BH12" s="467">
        <v>7</v>
      </c>
      <c r="BI12" s="467">
        <v>7</v>
      </c>
      <c r="BJ12" s="467">
        <v>7</v>
      </c>
      <c r="BK12" s="467">
        <v>7</v>
      </c>
      <c r="BL12" s="467">
        <v>7</v>
      </c>
      <c r="BM12" s="467">
        <v>7</v>
      </c>
      <c r="BN12" s="467">
        <v>7</v>
      </c>
      <c r="BO12" s="467">
        <v>7</v>
      </c>
      <c r="BP12" s="467">
        <v>7</v>
      </c>
      <c r="BQ12" s="467">
        <v>7</v>
      </c>
      <c r="BR12" s="2079">
        <v>7</v>
      </c>
      <c r="BS12" s="184">
        <f t="shared" si="19"/>
        <v>2</v>
      </c>
      <c r="BT12" s="2216">
        <v>2</v>
      </c>
      <c r="BU12" s="2216">
        <v>2</v>
      </c>
      <c r="BV12" s="2216">
        <v>2</v>
      </c>
      <c r="BW12" s="2216">
        <v>2</v>
      </c>
      <c r="BX12" s="2216">
        <v>2</v>
      </c>
      <c r="BY12" s="2216">
        <v>2</v>
      </c>
      <c r="BZ12" s="2216">
        <v>2</v>
      </c>
      <c r="CA12" s="2216">
        <v>2</v>
      </c>
      <c r="CB12" s="2216">
        <v>2</v>
      </c>
      <c r="CC12" s="2216">
        <v>2</v>
      </c>
      <c r="CD12" s="2216">
        <v>2</v>
      </c>
      <c r="CE12" s="3062">
        <v>2</v>
      </c>
      <c r="CF12" s="184">
        <f t="shared" si="36"/>
        <v>2</v>
      </c>
      <c r="CG12" s="127">
        <v>2</v>
      </c>
      <c r="CH12" s="127">
        <v>2</v>
      </c>
      <c r="CI12" s="127">
        <v>2</v>
      </c>
      <c r="CJ12" s="127">
        <v>2</v>
      </c>
      <c r="CK12" s="127">
        <v>2</v>
      </c>
      <c r="CL12" s="127">
        <v>2</v>
      </c>
      <c r="CM12" s="127">
        <v>2</v>
      </c>
      <c r="CN12" s="127">
        <v>2</v>
      </c>
      <c r="CO12" s="127">
        <v>2</v>
      </c>
      <c r="CP12" s="127">
        <v>2</v>
      </c>
      <c r="CQ12" s="127">
        <v>2</v>
      </c>
      <c r="CR12" s="2546">
        <v>2</v>
      </c>
    </row>
    <row r="13" spans="2:96">
      <c r="B13" s="3332"/>
      <c r="C13" s="3406"/>
      <c r="D13" s="3408"/>
      <c r="E13" s="161" t="s">
        <v>293</v>
      </c>
      <c r="F13" s="184">
        <f t="shared" si="14"/>
        <v>5.916666666666667</v>
      </c>
      <c r="G13" s="467">
        <v>16</v>
      </c>
      <c r="H13" s="467">
        <v>5</v>
      </c>
      <c r="I13" s="467">
        <v>5</v>
      </c>
      <c r="J13" s="467">
        <v>5</v>
      </c>
      <c r="K13" s="467">
        <v>5</v>
      </c>
      <c r="L13" s="467">
        <v>5</v>
      </c>
      <c r="M13" s="467">
        <v>5</v>
      </c>
      <c r="N13" s="467">
        <v>5</v>
      </c>
      <c r="O13" s="467">
        <v>5</v>
      </c>
      <c r="P13" s="467">
        <v>5</v>
      </c>
      <c r="Q13" s="467">
        <v>5</v>
      </c>
      <c r="R13" s="2216">
        <f t="shared" si="40"/>
        <v>5</v>
      </c>
      <c r="S13" s="184">
        <f t="shared" si="15"/>
        <v>1.5</v>
      </c>
      <c r="T13" s="467">
        <v>1</v>
      </c>
      <c r="U13" s="467">
        <v>1</v>
      </c>
      <c r="V13" s="467">
        <v>1</v>
      </c>
      <c r="W13" s="467">
        <v>1</v>
      </c>
      <c r="X13" s="467">
        <v>1</v>
      </c>
      <c r="Y13" s="467">
        <v>1</v>
      </c>
      <c r="Z13" s="467">
        <v>2</v>
      </c>
      <c r="AA13" s="467">
        <v>2</v>
      </c>
      <c r="AB13" s="467">
        <v>2</v>
      </c>
      <c r="AC13" s="467">
        <f t="shared" ref="AC13:AE13" si="43">AB13</f>
        <v>2</v>
      </c>
      <c r="AD13" s="467">
        <f t="shared" si="43"/>
        <v>2</v>
      </c>
      <c r="AE13" s="467">
        <f t="shared" si="43"/>
        <v>2</v>
      </c>
      <c r="AF13" s="184">
        <f t="shared" si="16"/>
        <v>2.75</v>
      </c>
      <c r="AG13" s="467">
        <v>3</v>
      </c>
      <c r="AH13" s="467">
        <v>3</v>
      </c>
      <c r="AI13" s="467">
        <v>3</v>
      </c>
      <c r="AJ13" s="467">
        <v>3</v>
      </c>
      <c r="AK13" s="467">
        <v>3</v>
      </c>
      <c r="AL13" s="467">
        <v>3</v>
      </c>
      <c r="AM13" s="467">
        <v>3</v>
      </c>
      <c r="AN13" s="467">
        <v>3</v>
      </c>
      <c r="AO13" s="467">
        <v>3</v>
      </c>
      <c r="AP13" s="467">
        <v>2</v>
      </c>
      <c r="AQ13" s="467">
        <v>2</v>
      </c>
      <c r="AR13" s="793">
        <f t="shared" si="42"/>
        <v>2</v>
      </c>
      <c r="AS13" s="184">
        <f t="shared" si="17"/>
        <v>0.83333333333333337</v>
      </c>
      <c r="AT13" s="467">
        <v>2</v>
      </c>
      <c r="AU13" s="467">
        <v>2</v>
      </c>
      <c r="AV13" s="467">
        <v>2</v>
      </c>
      <c r="AW13" s="467">
        <v>1</v>
      </c>
      <c r="AX13" s="467">
        <v>1</v>
      </c>
      <c r="AY13" s="467">
        <v>1</v>
      </c>
      <c r="AZ13" s="467">
        <v>1</v>
      </c>
      <c r="BA13" s="467">
        <v>0</v>
      </c>
      <c r="BB13" s="467">
        <v>0</v>
      </c>
      <c r="BC13" s="467">
        <v>0</v>
      </c>
      <c r="BD13" s="467">
        <v>0</v>
      </c>
      <c r="BE13" s="793">
        <v>0</v>
      </c>
      <c r="BF13" s="184">
        <f t="shared" si="18"/>
        <v>0</v>
      </c>
      <c r="BG13" s="467">
        <v>0</v>
      </c>
      <c r="BH13" s="467">
        <v>0</v>
      </c>
      <c r="BI13" s="467">
        <v>0</v>
      </c>
      <c r="BJ13" s="467">
        <v>0</v>
      </c>
      <c r="BK13" s="467">
        <v>0</v>
      </c>
      <c r="BL13" s="467">
        <v>0</v>
      </c>
      <c r="BM13" s="467">
        <v>0</v>
      </c>
      <c r="BN13" s="467">
        <v>0</v>
      </c>
      <c r="BO13" s="467">
        <v>0</v>
      </c>
      <c r="BP13" s="467">
        <v>0</v>
      </c>
      <c r="BQ13" s="467"/>
      <c r="BR13" s="2079"/>
      <c r="BS13" s="184">
        <f t="shared" si="19"/>
        <v>0</v>
      </c>
      <c r="BT13" s="2216">
        <f>BR13</f>
        <v>0</v>
      </c>
      <c r="BU13" s="2216">
        <f t="shared" ref="BU13:CE13" si="44">BT13</f>
        <v>0</v>
      </c>
      <c r="BV13" s="2216">
        <f t="shared" si="44"/>
        <v>0</v>
      </c>
      <c r="BW13" s="2216">
        <f t="shared" si="44"/>
        <v>0</v>
      </c>
      <c r="BX13" s="2216">
        <f t="shared" si="44"/>
        <v>0</v>
      </c>
      <c r="BY13" s="2216">
        <f t="shared" si="44"/>
        <v>0</v>
      </c>
      <c r="BZ13" s="2216">
        <f t="shared" si="44"/>
        <v>0</v>
      </c>
      <c r="CA13" s="2216">
        <f t="shared" si="44"/>
        <v>0</v>
      </c>
      <c r="CB13" s="2216">
        <f t="shared" si="44"/>
        <v>0</v>
      </c>
      <c r="CC13" s="2216">
        <f t="shared" si="44"/>
        <v>0</v>
      </c>
      <c r="CD13" s="2216">
        <f t="shared" si="44"/>
        <v>0</v>
      </c>
      <c r="CE13" s="3062">
        <f t="shared" si="44"/>
        <v>0</v>
      </c>
      <c r="CF13" s="184">
        <f t="shared" si="36"/>
        <v>0</v>
      </c>
      <c r="CG13" s="2046">
        <f>CE13</f>
        <v>0</v>
      </c>
      <c r="CH13" s="2046">
        <f t="shared" ref="CH13" si="45">CG13</f>
        <v>0</v>
      </c>
      <c r="CI13" s="2046">
        <f t="shared" ref="CI13" si="46">CH13</f>
        <v>0</v>
      </c>
      <c r="CJ13" s="2046">
        <f t="shared" ref="CJ13" si="47">CI13</f>
        <v>0</v>
      </c>
      <c r="CK13" s="2046">
        <f t="shared" ref="CK13" si="48">CJ13</f>
        <v>0</v>
      </c>
      <c r="CL13" s="2046">
        <f t="shared" ref="CL13" si="49">CK13</f>
        <v>0</v>
      </c>
      <c r="CM13" s="2046">
        <f t="shared" ref="CM13" si="50">CL13</f>
        <v>0</v>
      </c>
      <c r="CN13" s="2046">
        <f t="shared" ref="CN13" si="51">CM13</f>
        <v>0</v>
      </c>
      <c r="CO13" s="2046">
        <f t="shared" ref="CO13" si="52">CN13</f>
        <v>0</v>
      </c>
      <c r="CP13" s="2046">
        <f t="shared" ref="CP13" si="53">CO13</f>
        <v>0</v>
      </c>
      <c r="CQ13" s="2046">
        <f t="shared" ref="CQ13" si="54">CP13</f>
        <v>0</v>
      </c>
      <c r="CR13" s="2125">
        <f t="shared" ref="CR13" si="55">CQ13</f>
        <v>0</v>
      </c>
    </row>
    <row r="14" spans="2:96">
      <c r="B14" s="3332"/>
      <c r="C14" s="3400" t="s">
        <v>30</v>
      </c>
      <c r="D14" s="272" t="s">
        <v>282</v>
      </c>
      <c r="E14" s="273" t="s">
        <v>220</v>
      </c>
      <c r="F14" s="274">
        <f t="shared" si="14"/>
        <v>1175.0833333333333</v>
      </c>
      <c r="G14" s="494">
        <v>1125</v>
      </c>
      <c r="H14" s="494">
        <v>1129</v>
      </c>
      <c r="I14" s="468">
        <v>1145</v>
      </c>
      <c r="J14" s="468">
        <v>1272</v>
      </c>
      <c r="K14" s="468">
        <v>1237</v>
      </c>
      <c r="L14" s="468">
        <v>1229</v>
      </c>
      <c r="M14" s="468">
        <v>1198</v>
      </c>
      <c r="N14" s="468">
        <v>1157</v>
      </c>
      <c r="O14" s="468">
        <v>1151</v>
      </c>
      <c r="P14" s="468">
        <v>1144</v>
      </c>
      <c r="Q14" s="468">
        <v>1163</v>
      </c>
      <c r="R14" s="2217">
        <v>1151</v>
      </c>
      <c r="S14" s="274">
        <f t="shared" ref="S14:S23" si="56">AVERAGE(T14:AE14)</f>
        <v>1100.4166666666667</v>
      </c>
      <c r="T14" s="468">
        <v>1159</v>
      </c>
      <c r="U14" s="494">
        <v>1149</v>
      </c>
      <c r="V14" s="468">
        <v>1134</v>
      </c>
      <c r="W14" s="468">
        <v>1116</v>
      </c>
      <c r="X14" s="468">
        <v>1107</v>
      </c>
      <c r="Y14" s="468">
        <v>1104</v>
      </c>
      <c r="Z14" s="468">
        <v>1101</v>
      </c>
      <c r="AA14" s="468">
        <v>1079</v>
      </c>
      <c r="AB14" s="468">
        <v>1059</v>
      </c>
      <c r="AC14" s="468">
        <v>1051</v>
      </c>
      <c r="AD14" s="468">
        <v>1076</v>
      </c>
      <c r="AE14" s="468">
        <v>1070</v>
      </c>
      <c r="AF14" s="274">
        <f t="shared" si="16"/>
        <v>1092.5833333333333</v>
      </c>
      <c r="AG14" s="468">
        <v>1075</v>
      </c>
      <c r="AH14" s="468">
        <v>1080</v>
      </c>
      <c r="AI14" s="468">
        <v>1063</v>
      </c>
      <c r="AJ14" s="468">
        <v>1068</v>
      </c>
      <c r="AK14" s="468">
        <v>1092</v>
      </c>
      <c r="AL14" s="468">
        <v>1082</v>
      </c>
      <c r="AM14" s="468">
        <v>1088</v>
      </c>
      <c r="AN14" s="468">
        <v>1084</v>
      </c>
      <c r="AO14" s="468">
        <v>1100</v>
      </c>
      <c r="AP14" s="468">
        <v>1113</v>
      </c>
      <c r="AQ14" s="468">
        <v>1133</v>
      </c>
      <c r="AR14" s="494">
        <f t="shared" si="42"/>
        <v>1133</v>
      </c>
      <c r="AS14" s="274">
        <f t="shared" si="17"/>
        <v>1121.25</v>
      </c>
      <c r="AT14" s="468">
        <f>AT15+AT16</f>
        <v>1133</v>
      </c>
      <c r="AU14" s="468">
        <f t="shared" ref="AU14:AZ14" si="57">AU15+AU16</f>
        <v>1124</v>
      </c>
      <c r="AV14" s="468">
        <f t="shared" si="57"/>
        <v>1120</v>
      </c>
      <c r="AW14" s="468">
        <f t="shared" si="57"/>
        <v>1113</v>
      </c>
      <c r="AX14" s="468">
        <f t="shared" si="57"/>
        <v>1131</v>
      </c>
      <c r="AY14" s="468">
        <f t="shared" si="57"/>
        <v>1122</v>
      </c>
      <c r="AZ14" s="468">
        <f t="shared" si="57"/>
        <v>1122</v>
      </c>
      <c r="BA14" s="468">
        <f t="shared" ref="BA14:BE14" si="58">BA15+BA16</f>
        <v>1122</v>
      </c>
      <c r="BB14" s="468">
        <f t="shared" si="58"/>
        <v>1122</v>
      </c>
      <c r="BC14" s="468">
        <f t="shared" si="58"/>
        <v>1122</v>
      </c>
      <c r="BD14" s="468">
        <f t="shared" si="58"/>
        <v>1112</v>
      </c>
      <c r="BE14" s="468">
        <f t="shared" si="58"/>
        <v>1112</v>
      </c>
      <c r="BF14" s="274">
        <f t="shared" si="18"/>
        <v>1168.8333333333333</v>
      </c>
      <c r="BG14" s="468">
        <f>BG15+BG16</f>
        <v>1102</v>
      </c>
      <c r="BH14" s="468">
        <f t="shared" ref="BH14:BR14" si="59">BH15+BH16</f>
        <v>1113</v>
      </c>
      <c r="BI14" s="468">
        <f t="shared" si="59"/>
        <v>1121</v>
      </c>
      <c r="BJ14" s="468">
        <f t="shared" si="59"/>
        <v>1161</v>
      </c>
      <c r="BK14" s="468">
        <f t="shared" si="59"/>
        <v>1167</v>
      </c>
      <c r="BL14" s="468">
        <f t="shared" si="59"/>
        <v>1168</v>
      </c>
      <c r="BM14" s="468">
        <f t="shared" si="59"/>
        <v>1178</v>
      </c>
      <c r="BN14" s="468">
        <f t="shared" si="59"/>
        <v>1172</v>
      </c>
      <c r="BO14" s="468">
        <f t="shared" si="59"/>
        <v>1185</v>
      </c>
      <c r="BP14" s="468">
        <f t="shared" si="59"/>
        <v>1212</v>
      </c>
      <c r="BQ14" s="468">
        <f t="shared" si="59"/>
        <v>1219</v>
      </c>
      <c r="BR14" s="2080">
        <f t="shared" si="59"/>
        <v>1228</v>
      </c>
      <c r="BS14" s="274">
        <f t="shared" si="19"/>
        <v>1189.25</v>
      </c>
      <c r="BT14" s="2217">
        <f>BT15+BT16</f>
        <v>1236</v>
      </c>
      <c r="BU14" s="2217">
        <f t="shared" ref="BU14:CD14" si="60">BU15+BU16</f>
        <v>1230</v>
      </c>
      <c r="BV14" s="2217">
        <f t="shared" si="60"/>
        <v>1239</v>
      </c>
      <c r="BW14" s="2217">
        <f t="shared" si="60"/>
        <v>1228</v>
      </c>
      <c r="BX14" s="2217">
        <f t="shared" si="60"/>
        <v>1213</v>
      </c>
      <c r="BY14" s="2217">
        <f t="shared" si="60"/>
        <v>1207</v>
      </c>
      <c r="BZ14" s="2217">
        <f t="shared" si="60"/>
        <v>1178</v>
      </c>
      <c r="CA14" s="2217">
        <f t="shared" si="60"/>
        <v>1162</v>
      </c>
      <c r="CB14" s="2217">
        <f t="shared" si="60"/>
        <v>1162</v>
      </c>
      <c r="CC14" s="2217">
        <f t="shared" si="60"/>
        <v>1142</v>
      </c>
      <c r="CD14" s="2217">
        <f t="shared" si="60"/>
        <v>1141</v>
      </c>
      <c r="CE14" s="3063">
        <f>CE15+CE16</f>
        <v>1133</v>
      </c>
      <c r="CF14" s="274">
        <f t="shared" si="36"/>
        <v>1141.25</v>
      </c>
      <c r="CG14" s="3082">
        <f>CG15+CG16</f>
        <v>1112.2</v>
      </c>
      <c r="CH14" s="3082">
        <f t="shared" ref="CH14:CQ14" si="61">CH15+CH16</f>
        <v>1112.2</v>
      </c>
      <c r="CI14" s="3082">
        <f t="shared" si="61"/>
        <v>1112.2</v>
      </c>
      <c r="CJ14" s="3082">
        <f t="shared" si="61"/>
        <v>1116.4000000000001</v>
      </c>
      <c r="CK14" s="3082">
        <f t="shared" si="61"/>
        <v>1124.8</v>
      </c>
      <c r="CL14" s="3082">
        <f t="shared" si="61"/>
        <v>1133.2</v>
      </c>
      <c r="CM14" s="3082">
        <f t="shared" si="61"/>
        <v>1141.6000000000001</v>
      </c>
      <c r="CN14" s="3082">
        <f t="shared" si="61"/>
        <v>1150</v>
      </c>
      <c r="CO14" s="3082">
        <f t="shared" si="61"/>
        <v>1158.4000000000001</v>
      </c>
      <c r="CP14" s="3082">
        <f t="shared" si="61"/>
        <v>1166.8</v>
      </c>
      <c r="CQ14" s="3082">
        <f t="shared" si="61"/>
        <v>1175.2</v>
      </c>
      <c r="CR14" s="3083">
        <f>CR15+CR16</f>
        <v>1192</v>
      </c>
    </row>
    <row r="15" spans="2:96">
      <c r="B15" s="3332"/>
      <c r="C15" s="3401"/>
      <c r="D15" s="173" t="s">
        <v>411</v>
      </c>
      <c r="E15" s="769"/>
      <c r="F15" s="185"/>
      <c r="G15" s="495"/>
      <c r="H15" s="495"/>
      <c r="I15" s="469"/>
      <c r="J15" s="469"/>
      <c r="K15" s="469"/>
      <c r="L15" s="469"/>
      <c r="M15" s="469"/>
      <c r="N15" s="469"/>
      <c r="O15" s="469"/>
      <c r="P15" s="469"/>
      <c r="Q15" s="469"/>
      <c r="R15" s="2218"/>
      <c r="S15" s="185"/>
      <c r="T15" s="469"/>
      <c r="U15" s="495"/>
      <c r="V15" s="469"/>
      <c r="W15" s="469"/>
      <c r="X15" s="469"/>
      <c r="Y15" s="469"/>
      <c r="Z15" s="469"/>
      <c r="AA15" s="469"/>
      <c r="AB15" s="469"/>
      <c r="AC15" s="469"/>
      <c r="AD15" s="469"/>
      <c r="AE15" s="495"/>
      <c r="AF15" s="185">
        <f t="shared" si="16"/>
        <v>993.41666666666663</v>
      </c>
      <c r="AG15" s="469">
        <f>AG14-AG16</f>
        <v>975</v>
      </c>
      <c r="AH15" s="469">
        <f t="shared" ref="AH15:AQ15" si="62">AH14-AH16</f>
        <v>980</v>
      </c>
      <c r="AI15" s="469">
        <f t="shared" si="62"/>
        <v>963</v>
      </c>
      <c r="AJ15" s="469">
        <f t="shared" si="62"/>
        <v>968</v>
      </c>
      <c r="AK15" s="469">
        <f t="shared" si="62"/>
        <v>992</v>
      </c>
      <c r="AL15" s="469">
        <f t="shared" si="62"/>
        <v>982</v>
      </c>
      <c r="AM15" s="469">
        <f t="shared" si="62"/>
        <v>988</v>
      </c>
      <c r="AN15" s="469">
        <f t="shared" si="62"/>
        <v>984</v>
      </c>
      <c r="AO15" s="469">
        <f t="shared" si="62"/>
        <v>999</v>
      </c>
      <c r="AP15" s="469">
        <f t="shared" si="62"/>
        <v>1016</v>
      </c>
      <c r="AQ15" s="469">
        <f t="shared" si="62"/>
        <v>1037</v>
      </c>
      <c r="AR15" s="495">
        <f t="shared" si="42"/>
        <v>1037</v>
      </c>
      <c r="AS15" s="185">
        <f t="shared" si="17"/>
        <v>984.25</v>
      </c>
      <c r="AT15" s="469">
        <v>1008</v>
      </c>
      <c r="AU15" s="469">
        <v>999</v>
      </c>
      <c r="AV15" s="469">
        <v>993</v>
      </c>
      <c r="AW15" s="469">
        <v>983</v>
      </c>
      <c r="AX15" s="469">
        <v>999</v>
      </c>
      <c r="AY15" s="469">
        <v>987</v>
      </c>
      <c r="AZ15" s="469">
        <v>977</v>
      </c>
      <c r="BA15" s="495">
        <v>977</v>
      </c>
      <c r="BB15" s="495">
        <v>977</v>
      </c>
      <c r="BC15" s="495">
        <v>977</v>
      </c>
      <c r="BD15" s="495">
        <v>967</v>
      </c>
      <c r="BE15" s="495">
        <v>967</v>
      </c>
      <c r="BF15" s="185">
        <f t="shared" si="18"/>
        <v>1071.9166666666667</v>
      </c>
      <c r="BG15" s="495">
        <v>1022</v>
      </c>
      <c r="BH15" s="495">
        <v>1036</v>
      </c>
      <c r="BI15" s="495">
        <v>1038</v>
      </c>
      <c r="BJ15" s="495">
        <v>1067</v>
      </c>
      <c r="BK15" s="495">
        <v>1069</v>
      </c>
      <c r="BL15" s="495">
        <v>1065</v>
      </c>
      <c r="BM15" s="495">
        <v>1075</v>
      </c>
      <c r="BN15" s="495">
        <v>1072</v>
      </c>
      <c r="BO15" s="495">
        <v>1084</v>
      </c>
      <c r="BP15" s="495">
        <v>1107</v>
      </c>
      <c r="BQ15" s="495">
        <v>1111</v>
      </c>
      <c r="BR15" s="2081">
        <v>1117</v>
      </c>
      <c r="BS15" s="185">
        <f t="shared" si="19"/>
        <v>1081.1666666666667</v>
      </c>
      <c r="BT15" s="3064">
        <v>1126</v>
      </c>
      <c r="BU15" s="3064">
        <v>1105</v>
      </c>
      <c r="BV15" s="3064">
        <v>1107</v>
      </c>
      <c r="BW15" s="3064">
        <v>1099</v>
      </c>
      <c r="BX15" s="3064">
        <v>1087</v>
      </c>
      <c r="BY15" s="3064">
        <v>1084</v>
      </c>
      <c r="BZ15" s="3064">
        <v>1073</v>
      </c>
      <c r="CA15" s="3064">
        <v>1060</v>
      </c>
      <c r="CB15" s="3064">
        <v>1061</v>
      </c>
      <c r="CC15" s="3064">
        <v>1048</v>
      </c>
      <c r="CD15" s="3064">
        <v>1049</v>
      </c>
      <c r="CE15" s="3064">
        <v>1075</v>
      </c>
      <c r="CF15" s="185">
        <f t="shared" si="36"/>
        <v>1083.25</v>
      </c>
      <c r="CG15" s="114">
        <f>CG48*인프라!CF6</f>
        <v>1054.2</v>
      </c>
      <c r="CH15" s="114">
        <f>CH48*인프라!CG6</f>
        <v>1054.2</v>
      </c>
      <c r="CI15" s="114">
        <f>CI48*인프라!CH6</f>
        <v>1054.2</v>
      </c>
      <c r="CJ15" s="114">
        <f>CJ48*인프라!CI6</f>
        <v>1058.4000000000001</v>
      </c>
      <c r="CK15" s="114">
        <f>CK48*인프라!CJ6</f>
        <v>1066.8</v>
      </c>
      <c r="CL15" s="114">
        <f>CL48*인프라!CK6</f>
        <v>1075.2</v>
      </c>
      <c r="CM15" s="114">
        <f>CM48*인프라!CL6</f>
        <v>1083.6000000000001</v>
      </c>
      <c r="CN15" s="114">
        <f>CN48*인프라!CM6</f>
        <v>1092</v>
      </c>
      <c r="CO15" s="114">
        <f>CO48*인프라!CN6</f>
        <v>1100.4000000000001</v>
      </c>
      <c r="CP15" s="114">
        <f>CP48*인프라!CO6</f>
        <v>1108.8</v>
      </c>
      <c r="CQ15" s="114">
        <f>CQ48*인프라!CP6</f>
        <v>1117.2</v>
      </c>
      <c r="CR15" s="114">
        <f>CR48*인프라!CQ6</f>
        <v>1134</v>
      </c>
    </row>
    <row r="16" spans="2:96">
      <c r="B16" s="3332"/>
      <c r="C16" s="3401"/>
      <c r="D16" s="173" t="s">
        <v>410</v>
      </c>
      <c r="E16" s="769"/>
      <c r="F16" s="185"/>
      <c r="G16" s="495"/>
      <c r="H16" s="495"/>
      <c r="I16" s="469"/>
      <c r="J16" s="469"/>
      <c r="K16" s="469"/>
      <c r="L16" s="469"/>
      <c r="M16" s="469"/>
      <c r="N16" s="469"/>
      <c r="O16" s="469"/>
      <c r="P16" s="469"/>
      <c r="Q16" s="469"/>
      <c r="R16" s="2218"/>
      <c r="S16" s="185"/>
      <c r="T16" s="469"/>
      <c r="U16" s="495"/>
      <c r="V16" s="469"/>
      <c r="W16" s="469"/>
      <c r="X16" s="469"/>
      <c r="Y16" s="469"/>
      <c r="Z16" s="469"/>
      <c r="AA16" s="469"/>
      <c r="AB16" s="469"/>
      <c r="AC16" s="469"/>
      <c r="AD16" s="469"/>
      <c r="AE16" s="495"/>
      <c r="AF16" s="185">
        <f t="shared" si="16"/>
        <v>99.166666666666671</v>
      </c>
      <c r="AG16" s="469">
        <v>100</v>
      </c>
      <c r="AH16" s="469">
        <f>AG16</f>
        <v>100</v>
      </c>
      <c r="AI16" s="469">
        <f t="shared" ref="AI16:AN16" si="63">AH16</f>
        <v>100</v>
      </c>
      <c r="AJ16" s="469">
        <f t="shared" si="63"/>
        <v>100</v>
      </c>
      <c r="AK16" s="469">
        <f t="shared" si="63"/>
        <v>100</v>
      </c>
      <c r="AL16" s="469">
        <f t="shared" si="63"/>
        <v>100</v>
      </c>
      <c r="AM16" s="469">
        <f t="shared" si="63"/>
        <v>100</v>
      </c>
      <c r="AN16" s="469">
        <f t="shared" si="63"/>
        <v>100</v>
      </c>
      <c r="AO16" s="469">
        <v>101</v>
      </c>
      <c r="AP16" s="469">
        <v>97</v>
      </c>
      <c r="AQ16" s="469">
        <v>96</v>
      </c>
      <c r="AR16" s="495">
        <f t="shared" si="42"/>
        <v>96</v>
      </c>
      <c r="AS16" s="185">
        <f t="shared" si="17"/>
        <v>137</v>
      </c>
      <c r="AT16" s="469">
        <v>125</v>
      </c>
      <c r="AU16" s="469">
        <v>125</v>
      </c>
      <c r="AV16" s="469">
        <v>127</v>
      </c>
      <c r="AW16" s="469">
        <v>130</v>
      </c>
      <c r="AX16" s="469">
        <v>132</v>
      </c>
      <c r="AY16" s="469">
        <v>135</v>
      </c>
      <c r="AZ16" s="469">
        <v>145</v>
      </c>
      <c r="BA16" s="469">
        <v>145</v>
      </c>
      <c r="BB16" s="469">
        <v>145</v>
      </c>
      <c r="BC16" s="469">
        <v>145</v>
      </c>
      <c r="BD16" s="469">
        <v>145</v>
      </c>
      <c r="BE16" s="469">
        <v>145</v>
      </c>
      <c r="BF16" s="185">
        <f t="shared" si="18"/>
        <v>96.916666666666671</v>
      </c>
      <c r="BG16" s="469">
        <v>80</v>
      </c>
      <c r="BH16" s="469">
        <v>77</v>
      </c>
      <c r="BI16" s="469">
        <v>83</v>
      </c>
      <c r="BJ16" s="469">
        <v>94</v>
      </c>
      <c r="BK16" s="469">
        <v>98</v>
      </c>
      <c r="BL16" s="469">
        <v>103</v>
      </c>
      <c r="BM16" s="469">
        <v>103</v>
      </c>
      <c r="BN16" s="469">
        <v>100</v>
      </c>
      <c r="BO16" s="469">
        <v>101</v>
      </c>
      <c r="BP16" s="469">
        <v>105</v>
      </c>
      <c r="BQ16" s="469">
        <v>108</v>
      </c>
      <c r="BR16" s="2081">
        <v>111</v>
      </c>
      <c r="BS16" s="185">
        <f t="shared" si="19"/>
        <v>108.08333333333333</v>
      </c>
      <c r="BT16" s="2218">
        <v>110</v>
      </c>
      <c r="BU16" s="2218">
        <v>125</v>
      </c>
      <c r="BV16" s="2218">
        <v>132</v>
      </c>
      <c r="BW16" s="2218">
        <v>129</v>
      </c>
      <c r="BX16" s="2218">
        <v>126</v>
      </c>
      <c r="BY16" s="2218">
        <v>123</v>
      </c>
      <c r="BZ16" s="2218">
        <v>105</v>
      </c>
      <c r="CA16" s="2218">
        <v>102</v>
      </c>
      <c r="CB16" s="2218">
        <v>101</v>
      </c>
      <c r="CC16" s="2218">
        <v>94</v>
      </c>
      <c r="CD16" s="2218">
        <v>92</v>
      </c>
      <c r="CE16" s="3064">
        <v>58</v>
      </c>
      <c r="CF16" s="185">
        <f t="shared" si="36"/>
        <v>58</v>
      </c>
      <c r="CG16" s="113">
        <v>58</v>
      </c>
      <c r="CH16" s="113">
        <v>58</v>
      </c>
      <c r="CI16" s="113">
        <v>58</v>
      </c>
      <c r="CJ16" s="113">
        <v>58</v>
      </c>
      <c r="CK16" s="113">
        <v>58</v>
      </c>
      <c r="CL16" s="113">
        <v>58</v>
      </c>
      <c r="CM16" s="113">
        <v>58</v>
      </c>
      <c r="CN16" s="113">
        <v>58</v>
      </c>
      <c r="CO16" s="113">
        <v>58</v>
      </c>
      <c r="CP16" s="113">
        <v>58</v>
      </c>
      <c r="CQ16" s="113">
        <v>58</v>
      </c>
      <c r="CR16" s="114">
        <v>58</v>
      </c>
    </row>
    <row r="17" spans="2:99">
      <c r="B17" s="3332"/>
      <c r="C17" s="3401"/>
      <c r="D17" s="173" t="s">
        <v>287</v>
      </c>
      <c r="E17" s="769"/>
      <c r="F17" s="185"/>
      <c r="G17" s="495"/>
      <c r="H17" s="495"/>
      <c r="I17" s="469"/>
      <c r="J17" s="469"/>
      <c r="K17" s="469"/>
      <c r="L17" s="469"/>
      <c r="M17" s="469"/>
      <c r="N17" s="469"/>
      <c r="O17" s="469"/>
      <c r="P17" s="469"/>
      <c r="Q17" s="469"/>
      <c r="R17" s="2218"/>
      <c r="S17" s="185"/>
      <c r="T17" s="469"/>
      <c r="U17" s="495"/>
      <c r="V17" s="469"/>
      <c r="W17" s="469"/>
      <c r="X17" s="469"/>
      <c r="Y17" s="469"/>
      <c r="Z17" s="469"/>
      <c r="AA17" s="469"/>
      <c r="AB17" s="469"/>
      <c r="AC17" s="469"/>
      <c r="AD17" s="469"/>
      <c r="AE17" s="495"/>
      <c r="AF17" s="185">
        <f t="shared" si="16"/>
        <v>392.5</v>
      </c>
      <c r="AG17" s="753">
        <v>404</v>
      </c>
      <c r="AH17" s="753">
        <v>402</v>
      </c>
      <c r="AI17" s="753">
        <v>397</v>
      </c>
      <c r="AJ17" s="753">
        <v>397</v>
      </c>
      <c r="AK17" s="753">
        <v>393</v>
      </c>
      <c r="AL17" s="753">
        <v>391</v>
      </c>
      <c r="AM17" s="753">
        <v>399</v>
      </c>
      <c r="AN17" s="753">
        <v>393</v>
      </c>
      <c r="AO17" s="753">
        <v>383</v>
      </c>
      <c r="AP17" s="753">
        <v>385</v>
      </c>
      <c r="AQ17" s="753">
        <v>383</v>
      </c>
      <c r="AR17" s="754">
        <f t="shared" si="42"/>
        <v>383</v>
      </c>
      <c r="AS17" s="185">
        <f t="shared" si="17"/>
        <v>349.91666666666669</v>
      </c>
      <c r="AT17" s="469">
        <v>360</v>
      </c>
      <c r="AU17" s="469">
        <v>362</v>
      </c>
      <c r="AV17" s="469">
        <v>359</v>
      </c>
      <c r="AW17" s="469">
        <v>352</v>
      </c>
      <c r="AX17" s="469">
        <v>348</v>
      </c>
      <c r="AY17" s="469">
        <v>347</v>
      </c>
      <c r="AZ17" s="469">
        <v>347</v>
      </c>
      <c r="BA17" s="469">
        <v>343</v>
      </c>
      <c r="BB17" s="469">
        <v>343</v>
      </c>
      <c r="BC17" s="469">
        <v>346</v>
      </c>
      <c r="BD17" s="469">
        <v>346</v>
      </c>
      <c r="BE17" s="469">
        <v>346</v>
      </c>
      <c r="BF17" s="185">
        <f t="shared" si="18"/>
        <v>334.41666666666669</v>
      </c>
      <c r="BG17" s="469">
        <v>337</v>
      </c>
      <c r="BH17" s="469">
        <v>341</v>
      </c>
      <c r="BI17" s="469">
        <v>338</v>
      </c>
      <c r="BJ17" s="469">
        <v>343</v>
      </c>
      <c r="BK17" s="469">
        <v>339</v>
      </c>
      <c r="BL17" s="469">
        <v>333</v>
      </c>
      <c r="BM17" s="469">
        <v>326</v>
      </c>
      <c r="BN17" s="469">
        <v>325</v>
      </c>
      <c r="BO17" s="469">
        <v>325</v>
      </c>
      <c r="BP17" s="469">
        <v>333</v>
      </c>
      <c r="BQ17" s="469">
        <v>333</v>
      </c>
      <c r="BR17" s="2081">
        <v>340</v>
      </c>
      <c r="BS17" s="185">
        <f t="shared" si="19"/>
        <v>327.91666666666669</v>
      </c>
      <c r="BT17" s="2218">
        <v>342</v>
      </c>
      <c r="BU17" s="2218">
        <v>341</v>
      </c>
      <c r="BV17" s="2218">
        <v>345</v>
      </c>
      <c r="BW17" s="2218">
        <v>334</v>
      </c>
      <c r="BX17" s="2218">
        <v>328</v>
      </c>
      <c r="BY17" s="2218">
        <v>322</v>
      </c>
      <c r="BZ17" s="2218">
        <v>325</v>
      </c>
      <c r="CA17" s="2218">
        <v>321</v>
      </c>
      <c r="CB17" s="2218">
        <v>316</v>
      </c>
      <c r="CC17" s="2218">
        <v>315</v>
      </c>
      <c r="CD17" s="2218">
        <v>322</v>
      </c>
      <c r="CE17" s="3064">
        <v>324</v>
      </c>
      <c r="CF17" s="185">
        <f t="shared" si="36"/>
        <v>295.16666666666669</v>
      </c>
      <c r="CG17" s="113">
        <f>CG54*인프라!CF5</f>
        <v>322</v>
      </c>
      <c r="CH17" s="113">
        <f>CH54*인프라!CG5</f>
        <v>314.33333333333337</v>
      </c>
      <c r="CI17" s="113">
        <f>CI54*인프라!CH5</f>
        <v>314.33333333333337</v>
      </c>
      <c r="CJ17" s="113">
        <f>CJ54*인프라!CI5</f>
        <v>306.66666666666669</v>
      </c>
      <c r="CK17" s="113">
        <f>CK54*인프라!CJ5</f>
        <v>306.66666666666669</v>
      </c>
      <c r="CL17" s="113">
        <f>CL54*인프라!CK5</f>
        <v>299</v>
      </c>
      <c r="CM17" s="113">
        <f>CM54*인프라!CL5</f>
        <v>299</v>
      </c>
      <c r="CN17" s="113">
        <f>CN54*인프라!CM5</f>
        <v>291.33333333333337</v>
      </c>
      <c r="CO17" s="113">
        <f>CO54*인프라!CN5</f>
        <v>291.33333333333337</v>
      </c>
      <c r="CP17" s="113">
        <f>CP54*인프라!CO5</f>
        <v>276</v>
      </c>
      <c r="CQ17" s="113">
        <f>CQ54*인프라!CP5</f>
        <v>260.66666666666669</v>
      </c>
      <c r="CR17" s="114">
        <f>CR54*인프라!CQ5</f>
        <v>260.66666666666669</v>
      </c>
    </row>
    <row r="18" spans="2:99">
      <c r="B18" s="3332"/>
      <c r="C18" s="3402"/>
      <c r="D18" s="3079" t="s">
        <v>22</v>
      </c>
      <c r="E18" s="751"/>
      <c r="F18" s="752">
        <f t="shared" si="14"/>
        <v>416.66666666666669</v>
      </c>
      <c r="G18" s="753">
        <v>428</v>
      </c>
      <c r="H18" s="753">
        <v>437</v>
      </c>
      <c r="I18" s="753">
        <v>433</v>
      </c>
      <c r="J18" s="753">
        <v>437</v>
      </c>
      <c r="K18" s="753">
        <v>427</v>
      </c>
      <c r="L18" s="753">
        <v>416</v>
      </c>
      <c r="M18" s="753">
        <v>411</v>
      </c>
      <c r="N18" s="753">
        <v>401</v>
      </c>
      <c r="O18" s="753">
        <v>405</v>
      </c>
      <c r="P18" s="753">
        <v>402</v>
      </c>
      <c r="Q18" s="753">
        <v>404</v>
      </c>
      <c r="R18" s="2219">
        <v>399</v>
      </c>
      <c r="S18" s="752">
        <f t="shared" si="56"/>
        <v>398.58333333333331</v>
      </c>
      <c r="T18" s="753">
        <v>400</v>
      </c>
      <c r="U18" s="753">
        <v>404</v>
      </c>
      <c r="V18" s="753">
        <v>406</v>
      </c>
      <c r="W18" s="753">
        <v>409</v>
      </c>
      <c r="X18" s="753">
        <v>401</v>
      </c>
      <c r="Y18" s="753">
        <v>393</v>
      </c>
      <c r="Z18" s="753">
        <v>391</v>
      </c>
      <c r="AA18" s="753">
        <v>396</v>
      </c>
      <c r="AB18" s="753">
        <v>388</v>
      </c>
      <c r="AC18" s="753">
        <v>387</v>
      </c>
      <c r="AD18" s="753">
        <v>399</v>
      </c>
      <c r="AE18" s="754">
        <v>409</v>
      </c>
      <c r="AF18" s="752">
        <f t="shared" si="16"/>
        <v>323.41666666666669</v>
      </c>
      <c r="AG18" s="753">
        <f>AG8-AG14-AG17</f>
        <v>331</v>
      </c>
      <c r="AH18" s="753">
        <f t="shared" ref="AH18:AR18" si="64">AH8-AH14-AH17</f>
        <v>326</v>
      </c>
      <c r="AI18" s="753">
        <f t="shared" si="64"/>
        <v>319</v>
      </c>
      <c r="AJ18" s="753">
        <f t="shared" si="64"/>
        <v>333</v>
      </c>
      <c r="AK18" s="753">
        <f t="shared" si="64"/>
        <v>324</v>
      </c>
      <c r="AL18" s="753">
        <f t="shared" si="64"/>
        <v>327</v>
      </c>
      <c r="AM18" s="753">
        <f t="shared" si="64"/>
        <v>334</v>
      </c>
      <c r="AN18" s="753">
        <f t="shared" si="64"/>
        <v>333</v>
      </c>
      <c r="AO18" s="753">
        <f t="shared" si="64"/>
        <v>315</v>
      </c>
      <c r="AP18" s="753">
        <f t="shared" si="64"/>
        <v>316</v>
      </c>
      <c r="AQ18" s="753">
        <f t="shared" si="64"/>
        <v>321</v>
      </c>
      <c r="AR18" s="753">
        <f t="shared" si="64"/>
        <v>302</v>
      </c>
      <c r="AS18" s="752">
        <f t="shared" si="17"/>
        <v>322.91666666666669</v>
      </c>
      <c r="AT18" s="1590">
        <v>338</v>
      </c>
      <c r="AU18" s="1590">
        <v>339</v>
      </c>
      <c r="AV18" s="1590">
        <v>332</v>
      </c>
      <c r="AW18" s="1590">
        <v>332</v>
      </c>
      <c r="AX18" s="1590">
        <v>324</v>
      </c>
      <c r="AY18" s="1590">
        <v>317</v>
      </c>
      <c r="AZ18" s="1590">
        <v>317</v>
      </c>
      <c r="BA18" s="753">
        <v>317</v>
      </c>
      <c r="BB18" s="753">
        <v>317</v>
      </c>
      <c r="BC18" s="753">
        <v>314</v>
      </c>
      <c r="BD18" s="753">
        <v>314</v>
      </c>
      <c r="BE18" s="1591">
        <v>314</v>
      </c>
      <c r="BF18" s="752">
        <f t="shared" si="18"/>
        <v>306.66666666666669</v>
      </c>
      <c r="BG18" s="753">
        <v>304</v>
      </c>
      <c r="BH18" s="753">
        <v>299</v>
      </c>
      <c r="BI18" s="753">
        <v>306</v>
      </c>
      <c r="BJ18" s="753">
        <v>295</v>
      </c>
      <c r="BK18" s="753">
        <v>298</v>
      </c>
      <c r="BL18" s="753">
        <v>292</v>
      </c>
      <c r="BM18" s="753">
        <v>307</v>
      </c>
      <c r="BN18" s="753">
        <v>308</v>
      </c>
      <c r="BO18" s="753">
        <v>319</v>
      </c>
      <c r="BP18" s="753">
        <v>316</v>
      </c>
      <c r="BQ18" s="753">
        <v>314</v>
      </c>
      <c r="BR18" s="2082">
        <v>322</v>
      </c>
      <c r="BS18" s="185">
        <f t="shared" si="19"/>
        <v>350.41666666666669</v>
      </c>
      <c r="BT18" s="2218">
        <v>337</v>
      </c>
      <c r="BU18" s="2218">
        <v>333</v>
      </c>
      <c r="BV18" s="2218">
        <v>327</v>
      </c>
      <c r="BW18" s="2218">
        <v>346</v>
      </c>
      <c r="BX18" s="2218">
        <v>360</v>
      </c>
      <c r="BY18" s="2218">
        <v>357</v>
      </c>
      <c r="BZ18" s="2218">
        <v>357</v>
      </c>
      <c r="CA18" s="2218">
        <v>353</v>
      </c>
      <c r="CB18" s="2218">
        <v>355</v>
      </c>
      <c r="CC18" s="2218">
        <v>355</v>
      </c>
      <c r="CD18" s="2218">
        <v>352</v>
      </c>
      <c r="CE18" s="3064">
        <v>373</v>
      </c>
      <c r="CF18" s="185">
        <f t="shared" si="36"/>
        <v>357</v>
      </c>
      <c r="CG18" s="113">
        <v>357</v>
      </c>
      <c r="CH18" s="113">
        <v>357</v>
      </c>
      <c r="CI18" s="113">
        <v>357</v>
      </c>
      <c r="CJ18" s="113">
        <v>357</v>
      </c>
      <c r="CK18" s="113">
        <v>357</v>
      </c>
      <c r="CL18" s="113">
        <v>357</v>
      </c>
      <c r="CM18" s="113">
        <v>357</v>
      </c>
      <c r="CN18" s="113">
        <v>357</v>
      </c>
      <c r="CO18" s="113">
        <v>357</v>
      </c>
      <c r="CP18" s="113">
        <v>357</v>
      </c>
      <c r="CQ18" s="113">
        <v>357</v>
      </c>
      <c r="CR18" s="114">
        <v>357</v>
      </c>
    </row>
    <row r="19" spans="2:99">
      <c r="B19" s="3332"/>
      <c r="C19" s="3397" t="s">
        <v>312</v>
      </c>
      <c r="D19" s="173" t="s">
        <v>313</v>
      </c>
      <c r="E19" s="160"/>
      <c r="F19" s="185">
        <f t="shared" si="14"/>
        <v>7.583333333333333</v>
      </c>
      <c r="G19" s="469">
        <v>9</v>
      </c>
      <c r="H19" s="469">
        <v>9</v>
      </c>
      <c r="I19" s="469">
        <v>8</v>
      </c>
      <c r="J19" s="469">
        <v>8</v>
      </c>
      <c r="K19" s="469">
        <v>8</v>
      </c>
      <c r="L19" s="469">
        <v>9</v>
      </c>
      <c r="M19" s="469">
        <v>7</v>
      </c>
      <c r="N19" s="469">
        <v>7</v>
      </c>
      <c r="O19" s="469">
        <v>7</v>
      </c>
      <c r="P19" s="469">
        <v>7</v>
      </c>
      <c r="Q19" s="469">
        <v>6</v>
      </c>
      <c r="R19" s="2218">
        <v>6</v>
      </c>
      <c r="S19" s="185">
        <f t="shared" si="56"/>
        <v>6</v>
      </c>
      <c r="T19" s="113">
        <f>R19</f>
        <v>6</v>
      </c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4"/>
      <c r="AF19" s="185">
        <f>IFERROR(AVERAGE(AG19:AR19),0)</f>
        <v>0</v>
      </c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4"/>
      <c r="AS19" s="185">
        <f>IFERROR(AVERAGE(AT19:BE19),0)</f>
        <v>0</v>
      </c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4"/>
      <c r="BF19" s="185">
        <f>IFERROR(AVERAGE(BG19:BR19),0)</f>
        <v>0</v>
      </c>
      <c r="BG19" s="113"/>
      <c r="BH19" s="113"/>
      <c r="BI19" s="113"/>
      <c r="BJ19" s="113"/>
      <c r="BK19" s="113"/>
      <c r="BL19" s="113"/>
      <c r="BM19" s="113"/>
      <c r="BN19" s="113"/>
      <c r="BO19" s="113"/>
      <c r="BP19" s="113"/>
      <c r="BQ19" s="113"/>
      <c r="BR19" s="1428"/>
      <c r="BS19" s="2049">
        <f>IFERROR(AVERAGE(BT19:CE19),0)</f>
        <v>0</v>
      </c>
      <c r="BT19" s="2050"/>
      <c r="BU19" s="2050"/>
      <c r="BV19" s="2050"/>
      <c r="BW19" s="2050"/>
      <c r="BX19" s="2050"/>
      <c r="BY19" s="2050"/>
      <c r="BZ19" s="2050"/>
      <c r="CA19" s="2050"/>
      <c r="CB19" s="2050"/>
      <c r="CC19" s="2050"/>
      <c r="CD19" s="2050"/>
      <c r="CE19" s="2126"/>
      <c r="CF19" s="2049">
        <f>IFERROR(AVERAGE(CG19:CR19),0)</f>
        <v>0</v>
      </c>
      <c r="CG19" s="2050"/>
      <c r="CH19" s="2050"/>
      <c r="CI19" s="2050"/>
      <c r="CJ19" s="2050"/>
      <c r="CK19" s="2050"/>
      <c r="CL19" s="2050"/>
      <c r="CM19" s="2050"/>
      <c r="CN19" s="2050"/>
      <c r="CO19" s="2050"/>
      <c r="CP19" s="2050"/>
      <c r="CQ19" s="2050"/>
      <c r="CR19" s="2126"/>
    </row>
    <row r="20" spans="2:99">
      <c r="B20" s="3332"/>
      <c r="C20" s="3397"/>
      <c r="D20" s="173" t="s">
        <v>314</v>
      </c>
      <c r="E20" s="160"/>
      <c r="F20" s="185">
        <f t="shared" si="14"/>
        <v>41.583333333333336</v>
      </c>
      <c r="G20" s="469">
        <v>39</v>
      </c>
      <c r="H20" s="469">
        <v>43</v>
      </c>
      <c r="I20" s="469">
        <v>43</v>
      </c>
      <c r="J20" s="469">
        <v>43</v>
      </c>
      <c r="K20" s="469">
        <v>43</v>
      </c>
      <c r="L20" s="469">
        <v>44</v>
      </c>
      <c r="M20" s="469">
        <v>44</v>
      </c>
      <c r="N20" s="469">
        <v>44</v>
      </c>
      <c r="O20" s="469">
        <v>44</v>
      </c>
      <c r="P20" s="469">
        <v>38</v>
      </c>
      <c r="Q20" s="469">
        <v>37</v>
      </c>
      <c r="R20" s="2218">
        <v>37</v>
      </c>
      <c r="S20" s="185">
        <f t="shared" si="56"/>
        <v>37</v>
      </c>
      <c r="T20" s="113">
        <f t="shared" ref="T20:T23" si="65">R20</f>
        <v>37</v>
      </c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4"/>
      <c r="AF20" s="185">
        <f t="shared" ref="AF20:AF23" si="66">IFERROR(AVERAGE(AG20:AR20),0)</f>
        <v>0</v>
      </c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4"/>
      <c r="AS20" s="185">
        <f t="shared" ref="AS20:AS23" si="67">IFERROR(AVERAGE(AT20:BE20),0)</f>
        <v>0</v>
      </c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4"/>
      <c r="BF20" s="185">
        <f t="shared" ref="BF20:BF23" si="68">IFERROR(AVERAGE(BG20:BR20),0)</f>
        <v>0</v>
      </c>
      <c r="BG20" s="113"/>
      <c r="BH20" s="113"/>
      <c r="BI20" s="113"/>
      <c r="BJ20" s="113"/>
      <c r="BK20" s="113"/>
      <c r="BL20" s="113"/>
      <c r="BM20" s="113"/>
      <c r="BN20" s="113"/>
      <c r="BO20" s="113"/>
      <c r="BP20" s="113"/>
      <c r="BQ20" s="113"/>
      <c r="BR20" s="1428"/>
      <c r="BS20" s="185">
        <f>IFERROR(AVERAGE(BT20:CE20),0)</f>
        <v>0</v>
      </c>
      <c r="BT20" s="2048"/>
      <c r="BU20" s="2048"/>
      <c r="BV20" s="2048"/>
      <c r="BW20" s="2048"/>
      <c r="BX20" s="2048"/>
      <c r="BY20" s="2048"/>
      <c r="BZ20" s="2048"/>
      <c r="CA20" s="2048"/>
      <c r="CB20" s="2048"/>
      <c r="CC20" s="2048"/>
      <c r="CD20" s="2048"/>
      <c r="CE20" s="2047"/>
      <c r="CF20" s="185">
        <f>IFERROR(AVERAGE(CG20:CR20),0)</f>
        <v>0</v>
      </c>
      <c r="CG20" s="2048"/>
      <c r="CH20" s="2048"/>
      <c r="CI20" s="2048"/>
      <c r="CJ20" s="2048"/>
      <c r="CK20" s="2048"/>
      <c r="CL20" s="2048"/>
      <c r="CM20" s="2048"/>
      <c r="CN20" s="2048"/>
      <c r="CO20" s="2048"/>
      <c r="CP20" s="2048"/>
      <c r="CQ20" s="2048"/>
      <c r="CR20" s="2047"/>
    </row>
    <row r="21" spans="2:99">
      <c r="B21" s="3332"/>
      <c r="C21" s="3397"/>
      <c r="D21" s="173" t="s">
        <v>315</v>
      </c>
      <c r="E21" s="160"/>
      <c r="F21" s="185">
        <f t="shared" si="14"/>
        <v>0</v>
      </c>
      <c r="G21" s="469">
        <v>0</v>
      </c>
      <c r="H21" s="469">
        <v>0</v>
      </c>
      <c r="I21" s="469">
        <v>0</v>
      </c>
      <c r="J21" s="469">
        <v>0</v>
      </c>
      <c r="K21" s="469">
        <v>0</v>
      </c>
      <c r="L21" s="469">
        <v>0</v>
      </c>
      <c r="M21" s="469">
        <v>0</v>
      </c>
      <c r="N21" s="469">
        <v>0</v>
      </c>
      <c r="O21" s="469">
        <v>0</v>
      </c>
      <c r="P21" s="469">
        <v>0</v>
      </c>
      <c r="Q21" s="469">
        <v>0</v>
      </c>
      <c r="R21" s="2218">
        <v>0</v>
      </c>
      <c r="S21" s="185">
        <f t="shared" si="56"/>
        <v>0</v>
      </c>
      <c r="T21" s="113">
        <f t="shared" si="65"/>
        <v>0</v>
      </c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4"/>
      <c r="AF21" s="185">
        <f t="shared" si="66"/>
        <v>0</v>
      </c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4"/>
      <c r="AS21" s="185">
        <f t="shared" si="67"/>
        <v>0</v>
      </c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4"/>
      <c r="BF21" s="185">
        <f t="shared" si="68"/>
        <v>0</v>
      </c>
      <c r="BG21" s="113"/>
      <c r="BH21" s="113"/>
      <c r="BI21" s="113"/>
      <c r="BJ21" s="113"/>
      <c r="BK21" s="113"/>
      <c r="BL21" s="113"/>
      <c r="BM21" s="113"/>
      <c r="BN21" s="113"/>
      <c r="BO21" s="113"/>
      <c r="BP21" s="113"/>
      <c r="BQ21" s="113"/>
      <c r="BR21" s="1428"/>
      <c r="BS21" s="185">
        <f>IFERROR(AVERAGE(BT21:CE21),0)</f>
        <v>0</v>
      </c>
      <c r="BT21" s="2048"/>
      <c r="BU21" s="2048"/>
      <c r="BV21" s="2048"/>
      <c r="BW21" s="2048"/>
      <c r="BX21" s="2048"/>
      <c r="BY21" s="2048"/>
      <c r="BZ21" s="2048"/>
      <c r="CA21" s="2048"/>
      <c r="CB21" s="2048"/>
      <c r="CC21" s="2048"/>
      <c r="CD21" s="2048"/>
      <c r="CE21" s="2047"/>
      <c r="CF21" s="185">
        <f>IFERROR(AVERAGE(CG21:CR21),0)</f>
        <v>0</v>
      </c>
      <c r="CG21" s="2048"/>
      <c r="CH21" s="2048"/>
      <c r="CI21" s="2048"/>
      <c r="CJ21" s="2048"/>
      <c r="CK21" s="2048"/>
      <c r="CL21" s="2048"/>
      <c r="CM21" s="2048"/>
      <c r="CN21" s="2048"/>
      <c r="CO21" s="2048"/>
      <c r="CP21" s="2048"/>
      <c r="CQ21" s="2048"/>
      <c r="CR21" s="2047"/>
    </row>
    <row r="22" spans="2:99">
      <c r="B22" s="3332"/>
      <c r="C22" s="3397"/>
      <c r="D22" s="173" t="s">
        <v>316</v>
      </c>
      <c r="E22" s="160"/>
      <c r="F22" s="185">
        <f t="shared" si="14"/>
        <v>0</v>
      </c>
      <c r="G22" s="469">
        <v>0</v>
      </c>
      <c r="H22" s="469">
        <v>0</v>
      </c>
      <c r="I22" s="469">
        <v>0</v>
      </c>
      <c r="J22" s="469">
        <v>0</v>
      </c>
      <c r="K22" s="469">
        <v>0</v>
      </c>
      <c r="L22" s="469">
        <v>0</v>
      </c>
      <c r="M22" s="469">
        <v>0</v>
      </c>
      <c r="N22" s="469">
        <v>0</v>
      </c>
      <c r="O22" s="469">
        <v>0</v>
      </c>
      <c r="P22" s="469">
        <v>0</v>
      </c>
      <c r="Q22" s="469">
        <v>0</v>
      </c>
      <c r="R22" s="2218">
        <v>0</v>
      </c>
      <c r="S22" s="185">
        <f t="shared" si="56"/>
        <v>0</v>
      </c>
      <c r="T22" s="113">
        <f t="shared" si="65"/>
        <v>0</v>
      </c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4"/>
      <c r="AF22" s="185">
        <f t="shared" si="66"/>
        <v>0</v>
      </c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4"/>
      <c r="AS22" s="185">
        <f t="shared" si="67"/>
        <v>0</v>
      </c>
      <c r="AT22" s="788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4"/>
      <c r="BF22" s="185">
        <f t="shared" si="68"/>
        <v>0</v>
      </c>
      <c r="BG22" s="788"/>
      <c r="BH22" s="113"/>
      <c r="BI22" s="113"/>
      <c r="BJ22" s="113"/>
      <c r="BK22" s="113"/>
      <c r="BL22" s="113"/>
      <c r="BM22" s="113"/>
      <c r="BN22" s="113"/>
      <c r="BO22" s="113"/>
      <c r="BP22" s="113"/>
      <c r="BQ22" s="113"/>
      <c r="BR22" s="1428"/>
      <c r="BS22" s="185">
        <f>IFERROR(AVERAGE(BT22:CE22),0)</f>
        <v>0</v>
      </c>
      <c r="BT22" s="788"/>
      <c r="BU22" s="2048"/>
      <c r="BV22" s="2048"/>
      <c r="BW22" s="2048"/>
      <c r="BX22" s="2048"/>
      <c r="BY22" s="2048"/>
      <c r="BZ22" s="2048"/>
      <c r="CA22" s="2048"/>
      <c r="CB22" s="788"/>
      <c r="CC22" s="2048"/>
      <c r="CD22" s="2048"/>
      <c r="CE22" s="2047"/>
      <c r="CF22" s="185">
        <f>IFERROR(AVERAGE(CG22:CR22),0)</f>
        <v>0</v>
      </c>
      <c r="CG22" s="788"/>
      <c r="CH22" s="2048"/>
      <c r="CI22" s="2048"/>
      <c r="CJ22" s="2048"/>
      <c r="CK22" s="2048"/>
      <c r="CL22" s="2048"/>
      <c r="CM22" s="2048"/>
      <c r="CN22" s="2048"/>
      <c r="CO22" s="788"/>
      <c r="CP22" s="2048"/>
      <c r="CQ22" s="2048"/>
      <c r="CR22" s="2047"/>
    </row>
    <row r="23" spans="2:99">
      <c r="B23" s="3378"/>
      <c r="C23" s="3398"/>
      <c r="D23" s="173" t="s">
        <v>317</v>
      </c>
      <c r="E23" s="160"/>
      <c r="F23" s="185">
        <f t="shared" si="14"/>
        <v>57.75</v>
      </c>
      <c r="G23" s="469">
        <v>73</v>
      </c>
      <c r="H23" s="469">
        <v>58</v>
      </c>
      <c r="I23" s="469">
        <v>58</v>
      </c>
      <c r="J23" s="469">
        <v>58</v>
      </c>
      <c r="K23" s="469">
        <v>58</v>
      </c>
      <c r="L23" s="469">
        <v>58</v>
      </c>
      <c r="M23" s="469">
        <v>58</v>
      </c>
      <c r="N23" s="469">
        <v>58</v>
      </c>
      <c r="O23" s="469">
        <v>58</v>
      </c>
      <c r="P23" s="469">
        <v>52</v>
      </c>
      <c r="Q23" s="469">
        <v>52</v>
      </c>
      <c r="R23" s="2218">
        <v>52</v>
      </c>
      <c r="S23" s="185">
        <f t="shared" si="56"/>
        <v>52</v>
      </c>
      <c r="T23" s="113">
        <f t="shared" si="65"/>
        <v>52</v>
      </c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4"/>
      <c r="AF23" s="185">
        <f t="shared" si="66"/>
        <v>0</v>
      </c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4"/>
      <c r="AS23" s="185">
        <f t="shared" si="67"/>
        <v>0</v>
      </c>
      <c r="AT23" s="788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4"/>
      <c r="BF23" s="185">
        <f t="shared" si="68"/>
        <v>0</v>
      </c>
      <c r="BG23" s="788"/>
      <c r="BH23" s="113"/>
      <c r="BI23" s="113"/>
      <c r="BJ23" s="113"/>
      <c r="BK23" s="113"/>
      <c r="BL23" s="113"/>
      <c r="BM23" s="113"/>
      <c r="BN23" s="113"/>
      <c r="BO23" s="113"/>
      <c r="BP23" s="113"/>
      <c r="BQ23" s="113"/>
      <c r="BR23" s="1428"/>
      <c r="BS23" s="2051">
        <f>IFERROR(AVERAGE(BT23:CE23),0)</f>
        <v>0</v>
      </c>
      <c r="BT23" s="2052"/>
      <c r="BU23" s="2053"/>
      <c r="BV23" s="2053"/>
      <c r="BW23" s="2053"/>
      <c r="BX23" s="2053"/>
      <c r="BY23" s="2053"/>
      <c r="BZ23" s="2053"/>
      <c r="CA23" s="2053"/>
      <c r="CB23" s="788"/>
      <c r="CC23" s="2053"/>
      <c r="CD23" s="2053"/>
      <c r="CE23" s="2127"/>
      <c r="CF23" s="2051">
        <f>IFERROR(AVERAGE(CG23:CR23),0)</f>
        <v>0</v>
      </c>
      <c r="CG23" s="2052"/>
      <c r="CH23" s="2053"/>
      <c r="CI23" s="2053"/>
      <c r="CJ23" s="2053"/>
      <c r="CK23" s="2053"/>
      <c r="CL23" s="2053"/>
      <c r="CM23" s="2053"/>
      <c r="CN23" s="2053"/>
      <c r="CO23" s="788"/>
      <c r="CP23" s="2053"/>
      <c r="CQ23" s="2053"/>
      <c r="CR23" s="2127"/>
    </row>
    <row r="24" spans="2:99">
      <c r="B24" s="3340" t="s">
        <v>31</v>
      </c>
      <c r="C24" s="3341"/>
      <c r="D24" s="172" t="s">
        <v>32</v>
      </c>
      <c r="E24" s="163" t="s">
        <v>52</v>
      </c>
      <c r="F24" s="186">
        <f>SUM(G24:R24)</f>
        <v>27.318717040751118</v>
      </c>
      <c r="G24" s="152">
        <f t="shared" ref="G24:L24" si="69">G28/(G6+G7)</f>
        <v>2.5178526247987119</v>
      </c>
      <c r="H24" s="152">
        <f t="shared" si="69"/>
        <v>2.5280334031413614</v>
      </c>
      <c r="I24" s="152">
        <f t="shared" si="69"/>
        <v>3.5188461929118011</v>
      </c>
      <c r="J24" s="152">
        <f t="shared" si="69"/>
        <v>2.5891270186335404</v>
      </c>
      <c r="K24" s="152">
        <f t="shared" si="69"/>
        <v>2.5565248717948719</v>
      </c>
      <c r="L24" s="152">
        <f t="shared" si="69"/>
        <v>3.4691822484022152</v>
      </c>
      <c r="M24" s="152">
        <v>2.5258025601750549</v>
      </c>
      <c r="N24" s="152">
        <v>2.5377827069645202</v>
      </c>
      <c r="O24" s="152">
        <v>2.5377827069645202</v>
      </c>
      <c r="P24" s="152">
        <v>2.5377827069645202</v>
      </c>
      <c r="Q24" s="152"/>
      <c r="R24" s="155"/>
      <c r="S24" s="186">
        <f>SUM(T24:AE24)</f>
        <v>35.312287232492857</v>
      </c>
      <c r="T24" s="705">
        <f t="shared" ref="T24:AE24" si="70">T28/(T5-T12-T13)</f>
        <v>2.8354791963732864</v>
      </c>
      <c r="U24" s="705">
        <f t="shared" si="70"/>
        <v>3.0021089199095026</v>
      </c>
      <c r="V24" s="705">
        <f t="shared" si="70"/>
        <v>2.8140372608120034</v>
      </c>
      <c r="W24" s="705">
        <f t="shared" si="70"/>
        <v>3.0021785503202199</v>
      </c>
      <c r="X24" s="705">
        <f t="shared" si="70"/>
        <v>2.9378967609489051</v>
      </c>
      <c r="Y24" s="705">
        <f t="shared" si="70"/>
        <v>2.9566067222222223</v>
      </c>
      <c r="Z24" s="705">
        <f t="shared" si="70"/>
        <v>2.894673541704857</v>
      </c>
      <c r="AA24" s="705">
        <f t="shared" si="70"/>
        <v>2.9627717058823526</v>
      </c>
      <c r="AB24" s="705">
        <f t="shared" si="70"/>
        <v>2.9902611761390325</v>
      </c>
      <c r="AC24" s="705">
        <f t="shared" si="70"/>
        <v>2.9289006411572553</v>
      </c>
      <c r="AD24" s="705">
        <f t="shared" si="70"/>
        <v>2.9577066181474483</v>
      </c>
      <c r="AE24" s="705">
        <f t="shared" si="70"/>
        <v>3.0296661388757671</v>
      </c>
      <c r="AF24" s="186">
        <f>SUM(AG24:AR24)</f>
        <v>38.461427212538389</v>
      </c>
      <c r="AG24" s="705">
        <f t="shared" ref="AG24:AN24" si="71">AG28/(AG5-AG12-AG13)</f>
        <v>2.9817255799432356</v>
      </c>
      <c r="AH24" s="705">
        <f t="shared" si="71"/>
        <v>3.0323252093023254</v>
      </c>
      <c r="AI24" s="705">
        <f t="shared" si="71"/>
        <v>2.8980980086705199</v>
      </c>
      <c r="AJ24" s="705">
        <f t="shared" si="71"/>
        <v>3.0167405415869979</v>
      </c>
      <c r="AK24" s="705">
        <f t="shared" si="71"/>
        <v>2.9808764252601705</v>
      </c>
      <c r="AL24" s="705">
        <f t="shared" si="71"/>
        <v>2.9945622678994783</v>
      </c>
      <c r="AM24" s="705">
        <f t="shared" si="71"/>
        <v>2.9425767505871305</v>
      </c>
      <c r="AN24" s="705">
        <f t="shared" si="71"/>
        <v>2.984491308962264</v>
      </c>
      <c r="AO24" s="705">
        <f t="shared" ref="AO24:AR24" si="72">AO28/(AO5-AO12-AO13)</f>
        <v>3.0171855932605602</v>
      </c>
      <c r="AP24" s="705">
        <f t="shared" si="72"/>
        <v>2.9814041781338356</v>
      </c>
      <c r="AQ24" s="705">
        <f t="shared" si="72"/>
        <v>5.0807025235650958</v>
      </c>
      <c r="AR24" s="705">
        <f t="shared" si="72"/>
        <v>3.5507388253667767</v>
      </c>
      <c r="AS24" s="186">
        <f>SUM(AT24:BE24)</f>
        <v>40.388799361396572</v>
      </c>
      <c r="AT24" s="705">
        <f t="shared" ref="AT24:BE24" si="73">AT28/(AT5-AT12-AT13)</f>
        <v>3.1377871545326439</v>
      </c>
      <c r="AU24" s="705">
        <f t="shared" si="73"/>
        <v>3.1731918071664311</v>
      </c>
      <c r="AV24" s="705">
        <f t="shared" si="73"/>
        <v>3.0567656750474379</v>
      </c>
      <c r="AW24" s="705">
        <f t="shared" si="73"/>
        <v>3.2874297100000001</v>
      </c>
      <c r="AX24" s="705">
        <f t="shared" si="73"/>
        <v>3.1909839421252366</v>
      </c>
      <c r="AY24" s="705">
        <f t="shared" si="73"/>
        <v>3.2085845999041682</v>
      </c>
      <c r="AZ24" s="705">
        <f t="shared" si="73"/>
        <v>3.3165802558696691</v>
      </c>
      <c r="BA24" s="705">
        <f t="shared" si="73"/>
        <v>3.1997721118012419</v>
      </c>
      <c r="BB24" s="705">
        <f t="shared" si="73"/>
        <v>3.1702311944577155</v>
      </c>
      <c r="BC24" s="705">
        <f t="shared" si="73"/>
        <v>3.1697843764930718</v>
      </c>
      <c r="BD24" s="705">
        <f t="shared" si="73"/>
        <v>4.9324761838306062</v>
      </c>
      <c r="BE24" s="705">
        <f t="shared" si="73"/>
        <v>3.545212350168351</v>
      </c>
      <c r="BF24" s="186">
        <f>SUM(BG24:BR24)</f>
        <v>41.956421082280649</v>
      </c>
      <c r="BG24" s="705">
        <f t="shared" ref="BG24:BR24" si="74">BG28/(BG5-BG12-BG13)</f>
        <v>3.3688625149877147</v>
      </c>
      <c r="BH24" s="705">
        <f t="shared" si="74"/>
        <v>3.4260046682998531</v>
      </c>
      <c r="BI24" s="705">
        <f t="shared" si="74"/>
        <v>3.0620748136585365</v>
      </c>
      <c r="BJ24" s="705">
        <f t="shared" si="74"/>
        <v>3.3849915526695527</v>
      </c>
      <c r="BK24" s="705">
        <f t="shared" si="74"/>
        <v>3.3709500038387716</v>
      </c>
      <c r="BL24" s="705">
        <f t="shared" si="74"/>
        <v>3.6379518524904215</v>
      </c>
      <c r="BM24" s="705">
        <f t="shared" si="74"/>
        <v>3.301702463961814</v>
      </c>
      <c r="BN24" s="705">
        <f t="shared" si="74"/>
        <v>3.3497185078758949</v>
      </c>
      <c r="BO24" s="705">
        <f t="shared" si="74"/>
        <v>4.1543213070716662</v>
      </c>
      <c r="BP24" s="705">
        <f t="shared" si="74"/>
        <v>4.0031751495546182</v>
      </c>
      <c r="BQ24" s="705">
        <f t="shared" si="74"/>
        <v>3.3319933584729986</v>
      </c>
      <c r="BR24" s="2083">
        <f t="shared" si="74"/>
        <v>3.5646748893988072</v>
      </c>
      <c r="BS24" s="186">
        <f>SUM(BT24:CE24)</f>
        <v>43.779117526163326</v>
      </c>
      <c r="BT24" s="3065">
        <f t="shared" ref="BT24:BY24" si="75">BT28/(BT5-BT12-BT13)</f>
        <v>3.3372475774266364</v>
      </c>
      <c r="BU24" s="3065">
        <f t="shared" si="75"/>
        <v>3.4213241402080512</v>
      </c>
      <c r="BV24" s="3065">
        <f t="shared" si="75"/>
        <v>3.5672677629329725</v>
      </c>
      <c r="BW24" s="3065">
        <f t="shared" si="75"/>
        <v>3.4232789121076235</v>
      </c>
      <c r="BX24" s="3065">
        <f t="shared" si="75"/>
        <v>3.3815108912848149</v>
      </c>
      <c r="BY24" s="3065">
        <f t="shared" si="75"/>
        <v>3.3886712133815542</v>
      </c>
      <c r="BZ24" s="3065">
        <f t="shared" ref="BZ24:CE24" si="76">BZ28/(BZ5-BZ12-BZ13)</f>
        <v>3.4113081325411336</v>
      </c>
      <c r="CA24" s="3065">
        <f t="shared" si="76"/>
        <v>3.4168673695352045</v>
      </c>
      <c r="CB24" s="3065">
        <f t="shared" si="76"/>
        <v>4.7607656383763839</v>
      </c>
      <c r="CC24" s="3065">
        <f t="shared" si="76"/>
        <v>4.2768738060606069</v>
      </c>
      <c r="CD24" s="3065">
        <f t="shared" si="76"/>
        <v>3.4969546154562385</v>
      </c>
      <c r="CE24" s="3066">
        <f t="shared" si="76"/>
        <v>3.8970474668521087</v>
      </c>
      <c r="CF24" s="186">
        <f>SUM(CG24:CR24)</f>
        <v>46.408266574122663</v>
      </c>
      <c r="CG24" s="152">
        <f t="shared" ref="CG24:CR24" si="77">CG28/(CG5-CG12-CG13)</f>
        <v>3.5899888767882659</v>
      </c>
      <c r="CH24" s="152">
        <f t="shared" si="77"/>
        <v>3.5967077687582272</v>
      </c>
      <c r="CI24" s="152">
        <f t="shared" si="77"/>
        <v>3.7790112196472898</v>
      </c>
      <c r="CJ24" s="152">
        <f t="shared" si="77"/>
        <v>3.6120441020905441</v>
      </c>
      <c r="CK24" s="152">
        <f t="shared" si="77"/>
        <v>3.5993637445434628</v>
      </c>
      <c r="CL24" s="152">
        <f t="shared" si="77"/>
        <v>3.6095706752479124</v>
      </c>
      <c r="CM24" s="152">
        <f t="shared" si="77"/>
        <v>3.6405166069008956</v>
      </c>
      <c r="CN24" s="152">
        <f t="shared" si="77"/>
        <v>3.6324038041067834</v>
      </c>
      <c r="CO24" s="152">
        <f t="shared" si="77"/>
        <v>5.8211523230047035</v>
      </c>
      <c r="CP24" s="152">
        <f t="shared" si="77"/>
        <v>3.7399234918057216</v>
      </c>
      <c r="CQ24" s="152">
        <f t="shared" si="77"/>
        <v>3.6758656589366954</v>
      </c>
      <c r="CR24" s="155">
        <f t="shared" si="77"/>
        <v>4.11171830229216</v>
      </c>
    </row>
    <row r="25" spans="2:99">
      <c r="B25" s="3332"/>
      <c r="C25" s="3333"/>
      <c r="D25" s="173" t="s">
        <v>29</v>
      </c>
      <c r="E25" s="160" t="s">
        <v>51</v>
      </c>
      <c r="F25" s="187">
        <f>SUM(G25:R25)</f>
        <v>78.87206800212067</v>
      </c>
      <c r="G25" s="437">
        <f t="shared" ref="G25:R25" si="78">G29/(G6-G12)</f>
        <v>4.2831551461988306</v>
      </c>
      <c r="H25" s="437">
        <f t="shared" si="78"/>
        <v>4.634892807017545</v>
      </c>
      <c r="I25" s="437">
        <f t="shared" si="78"/>
        <v>10.960478335294118</v>
      </c>
      <c r="J25" s="437">
        <f t="shared" si="78"/>
        <v>4.6826508383233536</v>
      </c>
      <c r="K25" s="437">
        <f t="shared" si="78"/>
        <v>4.7628894610778456</v>
      </c>
      <c r="L25" s="437">
        <f t="shared" si="78"/>
        <v>9.4827837168674698</v>
      </c>
      <c r="M25" s="437">
        <f t="shared" si="78"/>
        <v>4.7412506666666676</v>
      </c>
      <c r="N25" s="437">
        <f t="shared" si="78"/>
        <v>4.7140788957055229</v>
      </c>
      <c r="O25" s="437">
        <f t="shared" si="78"/>
        <v>9.7355826503067497</v>
      </c>
      <c r="P25" s="437">
        <f t="shared" si="78"/>
        <v>4.7067790184049088</v>
      </c>
      <c r="Q25" s="437">
        <f t="shared" si="78"/>
        <v>4.8001877914110436</v>
      </c>
      <c r="R25" s="437">
        <f t="shared" si="78"/>
        <v>11.367338674846623</v>
      </c>
      <c r="S25" s="187">
        <f>SUM(T25:AE25)</f>
        <v>76.560594819304498</v>
      </c>
      <c r="T25" s="437">
        <f t="shared" ref="T25:AE25" si="79">T29/(T6-T12)</f>
        <v>6.2366420571428574</v>
      </c>
      <c r="U25" s="437">
        <f t="shared" si="79"/>
        <v>6.4830102285714277</v>
      </c>
      <c r="V25" s="437">
        <f t="shared" si="79"/>
        <v>5.6814286857142848</v>
      </c>
      <c r="W25" s="437">
        <f t="shared" si="79"/>
        <v>6.3352601724137934</v>
      </c>
      <c r="X25" s="437">
        <f t="shared" si="79"/>
        <v>6.3753515517241386</v>
      </c>
      <c r="Y25" s="437">
        <f t="shared" si="79"/>
        <v>6.2638356896551723</v>
      </c>
      <c r="Z25" s="437">
        <f t="shared" si="79"/>
        <v>5.6949751783783782</v>
      </c>
      <c r="AA25" s="437">
        <f t="shared" si="79"/>
        <v>5.9965724395604409</v>
      </c>
      <c r="AB25" s="437">
        <f t="shared" si="79"/>
        <v>6.2715895248618798</v>
      </c>
      <c r="AC25" s="437">
        <f t="shared" si="79"/>
        <v>6.1428486815642467</v>
      </c>
      <c r="AD25" s="437">
        <f t="shared" si="79"/>
        <v>6.3583169545454545</v>
      </c>
      <c r="AE25" s="437">
        <f t="shared" si="79"/>
        <v>8.7207636551724157</v>
      </c>
      <c r="AF25" s="187">
        <f>SUM(AG25:AR25)</f>
        <v>78.195762032931711</v>
      </c>
      <c r="AG25" s="437">
        <f t="shared" ref="AG25:AN26" si="80">AG29/(AG6-AG12)</f>
        <v>6.453973791907516</v>
      </c>
      <c r="AH25" s="437">
        <f t="shared" si="80"/>
        <v>6.3773138497109816</v>
      </c>
      <c r="AI25" s="437">
        <f t="shared" si="80"/>
        <v>4.0664747441860465</v>
      </c>
      <c r="AJ25" s="437">
        <f t="shared" si="80"/>
        <v>6.5345655714285709</v>
      </c>
      <c r="AK25" s="437">
        <f t="shared" si="80"/>
        <v>6.1350368666666659</v>
      </c>
      <c r="AL25" s="437">
        <f t="shared" si="80"/>
        <v>6.2635254011299439</v>
      </c>
      <c r="AM25" s="437">
        <f t="shared" si="80"/>
        <v>6.0742083465909085</v>
      </c>
      <c r="AN25" s="437">
        <f t="shared" si="80"/>
        <v>6.1491311988636363</v>
      </c>
      <c r="AO25" s="437">
        <f t="shared" ref="AO25:AR25" si="81">AO29/(AO6-AO12)</f>
        <v>6.253238698863635</v>
      </c>
      <c r="AP25" s="437">
        <f t="shared" si="81"/>
        <v>6.1699364999999986</v>
      </c>
      <c r="AQ25" s="437">
        <f t="shared" si="81"/>
        <v>8.5556872312138719</v>
      </c>
      <c r="AR25" s="437">
        <f t="shared" si="81"/>
        <v>9.1626698323699429</v>
      </c>
      <c r="AS25" s="187">
        <f>SUM(AT25:BE25)</f>
        <v>88.920188535302188</v>
      </c>
      <c r="AT25" s="437">
        <f>AT29/(AT6-AT12)</f>
        <v>6.9195331137724549</v>
      </c>
      <c r="AU25" s="437">
        <f t="shared" ref="AU25:AZ26" si="82">AU29/(AU6-AU12)</f>
        <v>7.0424307926829268</v>
      </c>
      <c r="AV25" s="437">
        <f t="shared" si="82"/>
        <v>5.4643996341463428</v>
      </c>
      <c r="AW25" s="437">
        <f t="shared" si="82"/>
        <v>6.9750995783132543</v>
      </c>
      <c r="AX25" s="437">
        <f t="shared" si="82"/>
        <v>7.0514874850299405</v>
      </c>
      <c r="AY25" s="437">
        <f t="shared" si="82"/>
        <v>7.1312028658536573</v>
      </c>
      <c r="AZ25" s="437">
        <f t="shared" si="82"/>
        <v>8.8967617317073149</v>
      </c>
      <c r="BA25" s="437">
        <f t="shared" ref="BA25:BE25" si="83">BA29/(BA6-BA12)</f>
        <v>6.807325260115606</v>
      </c>
      <c r="BB25" s="437">
        <f t="shared" si="83"/>
        <v>6.9094506936416176</v>
      </c>
      <c r="BC25" s="437">
        <f t="shared" si="83"/>
        <v>6.8334178034682092</v>
      </c>
      <c r="BD25" s="437">
        <f t="shared" si="83"/>
        <v>7.70932244047619</v>
      </c>
      <c r="BE25" s="437">
        <f t="shared" si="83"/>
        <v>11.179757136094675</v>
      </c>
      <c r="BF25" s="187">
        <f>SUM(BG25:BR25)</f>
        <v>86.009245198020082</v>
      </c>
      <c r="BG25" s="437">
        <f>BG29/(BG6-BG12)</f>
        <v>7.8385284497041416</v>
      </c>
      <c r="BH25" s="437">
        <f t="shared" ref="BH25:BR25" si="84">BH29/(BH6-BH12)</f>
        <v>8.139894385542167</v>
      </c>
      <c r="BI25" s="437">
        <f t="shared" si="84"/>
        <v>4.147432879518071</v>
      </c>
      <c r="BJ25" s="437">
        <f t="shared" si="84"/>
        <v>7.9797357804878049</v>
      </c>
      <c r="BK25" s="437">
        <f t="shared" si="84"/>
        <v>8.0017807195121957</v>
      </c>
      <c r="BL25" s="437">
        <f t="shared" si="84"/>
        <v>7.3836959209039561</v>
      </c>
      <c r="BM25" s="437">
        <f t="shared" si="84"/>
        <v>6.9042393295454536</v>
      </c>
      <c r="BN25" s="437">
        <f t="shared" si="84"/>
        <v>6.9782509318181836</v>
      </c>
      <c r="BO25" s="437">
        <f t="shared" si="84"/>
        <v>7.0571425227272719</v>
      </c>
      <c r="BP25" s="437">
        <f t="shared" si="84"/>
        <v>8.1758426214689273</v>
      </c>
      <c r="BQ25" s="437">
        <f t="shared" si="84"/>
        <v>6.626807125</v>
      </c>
      <c r="BR25" s="2084">
        <f t="shared" si="84"/>
        <v>6.7758945317919075</v>
      </c>
      <c r="BS25" s="187">
        <f>BS29/(BS6-BS12)</f>
        <v>96.357667747252762</v>
      </c>
      <c r="BT25" s="3067">
        <f>BT29/(BT6-BT12)</f>
        <v>7.0699217078651682</v>
      </c>
      <c r="BU25" s="3067">
        <f t="shared" ref="BU25:BY25" si="85">BU29/(BU6-BU12)</f>
        <v>7.245842839779006</v>
      </c>
      <c r="BV25" s="3067">
        <f t="shared" si="85"/>
        <v>9.3024986256983233</v>
      </c>
      <c r="BW25" s="3067">
        <f t="shared" si="85"/>
        <v>7.4425943798882672</v>
      </c>
      <c r="BX25" s="3067">
        <f t="shared" si="85"/>
        <v>7.3776275083798879</v>
      </c>
      <c r="BY25" s="3067">
        <f t="shared" si="85"/>
        <v>7.4492593519553063</v>
      </c>
      <c r="BZ25" s="3067">
        <f t="shared" ref="BZ25:CE25" si="86">BZ29/(BZ6-BZ12)</f>
        <v>7.6028929438202271</v>
      </c>
      <c r="CA25" s="3067">
        <f t="shared" si="86"/>
        <v>7.070362468085106</v>
      </c>
      <c r="CB25" s="3067">
        <f t="shared" si="86"/>
        <v>7.2582958502673778</v>
      </c>
      <c r="CC25" s="3067">
        <f t="shared" si="86"/>
        <v>8.8834789518716573</v>
      </c>
      <c r="CD25" s="3067">
        <f t="shared" si="86"/>
        <v>7.4248700213903751</v>
      </c>
      <c r="CE25" s="3068">
        <f t="shared" si="86"/>
        <v>12.232207945054945</v>
      </c>
      <c r="CF25" s="187">
        <f>CF29/(CF6-CF12)</f>
        <v>98.247780580165141</v>
      </c>
      <c r="CG25" s="2279">
        <v>7.2820193591011231</v>
      </c>
      <c r="CH25" s="2279">
        <v>7.4632181249723759</v>
      </c>
      <c r="CI25" s="2279">
        <v>9.5815735844692735</v>
      </c>
      <c r="CJ25" s="2279">
        <v>7.6658722112849151</v>
      </c>
      <c r="CK25" s="2279">
        <v>7.5989563336312846</v>
      </c>
      <c r="CL25" s="2279">
        <v>7.6727371325139657</v>
      </c>
      <c r="CM25" s="2279">
        <v>7.6727371325139657</v>
      </c>
      <c r="CN25" s="2279">
        <v>7.6727371325139657</v>
      </c>
      <c r="CO25" s="2279">
        <v>8.3018907646944964</v>
      </c>
      <c r="CP25" s="2279">
        <v>7.3232767157203069</v>
      </c>
      <c r="CQ25" s="2279">
        <v>7.2801353544637628</v>
      </c>
      <c r="CR25" s="2280">
        <v>7.3232767157203069</v>
      </c>
    </row>
    <row r="26" spans="2:99">
      <c r="B26" s="3332"/>
      <c r="C26" s="3333"/>
      <c r="D26" s="173" t="s">
        <v>30</v>
      </c>
      <c r="E26" s="160" t="s">
        <v>53</v>
      </c>
      <c r="F26" s="187">
        <f>SUM(G26:R26)</f>
        <v>31.234198519054171</v>
      </c>
      <c r="G26" s="437">
        <f t="shared" ref="G26:R26" si="87">G30/(G7-G13)</f>
        <v>2.4293560888693353</v>
      </c>
      <c r="H26" s="437">
        <f t="shared" si="87"/>
        <v>2.401287333625219</v>
      </c>
      <c r="I26" s="437">
        <f t="shared" si="87"/>
        <v>3.0083211291028453</v>
      </c>
      <c r="J26" s="437">
        <f t="shared" si="87"/>
        <v>2.4642968738738737</v>
      </c>
      <c r="K26" s="437">
        <f t="shared" si="87"/>
        <v>2.4205907188644691</v>
      </c>
      <c r="L26" s="437">
        <f t="shared" si="87"/>
        <v>3.0506403344170923</v>
      </c>
      <c r="M26" s="437">
        <f t="shared" si="87"/>
        <v>2.384872127151052</v>
      </c>
      <c r="N26" s="437">
        <f t="shared" si="87"/>
        <v>2.4021811950286804</v>
      </c>
      <c r="O26" s="437">
        <f t="shared" si="87"/>
        <v>3.0675332044465926</v>
      </c>
      <c r="P26" s="437">
        <f t="shared" si="87"/>
        <v>2.3933106666666668</v>
      </c>
      <c r="Q26" s="437">
        <f t="shared" si="87"/>
        <v>2.3912705959302327</v>
      </c>
      <c r="R26" s="437">
        <f t="shared" si="87"/>
        <v>2.8205382510781036</v>
      </c>
      <c r="S26" s="187">
        <f>SUM(T26:AE26)</f>
        <v>31.65614492213621</v>
      </c>
      <c r="T26" s="437">
        <f t="shared" ref="T26:AE26" si="88">T30/(T7-T13)</f>
        <v>2.5501467416107384</v>
      </c>
      <c r="U26" s="437">
        <f t="shared" si="88"/>
        <v>2.7027685125307128</v>
      </c>
      <c r="V26" s="437">
        <f t="shared" si="88"/>
        <v>2.5740594992826398</v>
      </c>
      <c r="W26" s="437">
        <f t="shared" si="88"/>
        <v>2.7139299408548712</v>
      </c>
      <c r="X26" s="437">
        <f t="shared" si="88"/>
        <v>2.6415057135778</v>
      </c>
      <c r="Y26" s="437">
        <f t="shared" si="88"/>
        <v>2.666849501510574</v>
      </c>
      <c r="Z26" s="437">
        <f t="shared" si="88"/>
        <v>2.6352565147721578</v>
      </c>
      <c r="AA26" s="437">
        <f t="shared" si="88"/>
        <v>2.6810616377551013</v>
      </c>
      <c r="AB26" s="437">
        <f t="shared" si="88"/>
        <v>2.685373891170431</v>
      </c>
      <c r="AC26" s="437">
        <f t="shared" si="88"/>
        <v>2.6359797148676161</v>
      </c>
      <c r="AD26" s="437">
        <f t="shared" si="88"/>
        <v>2.6491976391752581</v>
      </c>
      <c r="AE26" s="437">
        <f t="shared" si="88"/>
        <v>2.5200156150283064</v>
      </c>
      <c r="AF26" s="187">
        <f>SUM(AG26:AR26)</f>
        <v>33.95886721812996</v>
      </c>
      <c r="AG26" s="437">
        <f t="shared" si="80"/>
        <v>2.6722464760432767</v>
      </c>
      <c r="AH26" s="437">
        <f t="shared" si="80"/>
        <v>2.7331095760082729</v>
      </c>
      <c r="AI26" s="437">
        <f t="shared" si="80"/>
        <v>2.7925513707983192</v>
      </c>
      <c r="AJ26" s="437">
        <f t="shared" si="80"/>
        <v>2.7095707884615385</v>
      </c>
      <c r="AK26" s="437">
        <f t="shared" si="80"/>
        <v>2.6873144400206828</v>
      </c>
      <c r="AL26" s="437">
        <f t="shared" si="80"/>
        <v>2.6950765150103519</v>
      </c>
      <c r="AM26" s="437">
        <f t="shared" si="80"/>
        <v>2.6603611024065539</v>
      </c>
      <c r="AN26" s="437">
        <f t="shared" si="80"/>
        <v>2.6979807016460904</v>
      </c>
      <c r="AO26" s="437">
        <f t="shared" ref="AO26:AR26" si="89">AO30/(AO7-AO13)</f>
        <v>2.7222372004142934</v>
      </c>
      <c r="AP26" s="437">
        <f t="shared" si="89"/>
        <v>2.6965968762833672</v>
      </c>
      <c r="AQ26" s="437">
        <f t="shared" si="89"/>
        <v>3.8415287395939091</v>
      </c>
      <c r="AR26" s="437">
        <f t="shared" si="89"/>
        <v>3.0502934314432983</v>
      </c>
      <c r="AS26" s="187">
        <f>SUM(AT26:BE26)</f>
        <v>34.931212905938693</v>
      </c>
      <c r="AT26" s="437">
        <f>AT30/(AT7-AT13)</f>
        <v>2.8158954240570844</v>
      </c>
      <c r="AU26" s="437">
        <f t="shared" si="82"/>
        <v>2.8489428579458358</v>
      </c>
      <c r="AV26" s="437">
        <f t="shared" si="82"/>
        <v>2.8536525221193414</v>
      </c>
      <c r="AW26" s="437">
        <f t="shared" si="82"/>
        <v>2.97090789089969</v>
      </c>
      <c r="AX26" s="437">
        <f t="shared" si="82"/>
        <v>2.8588334569809373</v>
      </c>
      <c r="AY26" s="437">
        <f t="shared" si="82"/>
        <v>2.8740503328133125</v>
      </c>
      <c r="AZ26" s="437">
        <f t="shared" si="82"/>
        <v>2.8406833437337489</v>
      </c>
      <c r="BA26" s="437">
        <f t="shared" ref="BA26:BE26" si="90">BA30/(BA7-BA13)</f>
        <v>2.874716541666666</v>
      </c>
      <c r="BB26" s="437">
        <f t="shared" si="90"/>
        <v>2.8333119374999991</v>
      </c>
      <c r="BC26" s="437">
        <f t="shared" si="90"/>
        <v>2.8396757395833325</v>
      </c>
      <c r="BD26" s="437">
        <f t="shared" si="90"/>
        <v>3.4508478219895289</v>
      </c>
      <c r="BE26" s="437">
        <f t="shared" si="90"/>
        <v>2.8696950366492153</v>
      </c>
      <c r="BF26" s="187">
        <f>SUM(BG26:BR26)</f>
        <v>36.802353985391122</v>
      </c>
      <c r="BG26" s="437">
        <f>BG30/(BG7-BG13)</f>
        <v>2.9640535423365484</v>
      </c>
      <c r="BH26" s="437">
        <f t="shared" ref="BH26:BR26" si="91">BH30/(BH7-BH13)</f>
        <v>3.0086682986666666</v>
      </c>
      <c r="BI26" s="437">
        <f t="shared" si="91"/>
        <v>2.9664434766454351</v>
      </c>
      <c r="BJ26" s="437">
        <f t="shared" si="91"/>
        <v>2.991499096605744</v>
      </c>
      <c r="BK26" s="437">
        <f t="shared" si="91"/>
        <v>2.9753998802083337</v>
      </c>
      <c r="BL26" s="437">
        <f t="shared" si="91"/>
        <v>2.9883460439560441</v>
      </c>
      <c r="BM26" s="437">
        <f t="shared" si="91"/>
        <v>2.9712978322042729</v>
      </c>
      <c r="BN26" s="437">
        <f t="shared" si="91"/>
        <v>3.016929708181344</v>
      </c>
      <c r="BO26" s="437">
        <f t="shared" si="91"/>
        <v>2.9684608544795443</v>
      </c>
      <c r="BP26" s="437">
        <f t="shared" si="91"/>
        <v>3.6255871421267893</v>
      </c>
      <c r="BQ26" s="437">
        <f t="shared" si="91"/>
        <v>3.0379329006085198</v>
      </c>
      <c r="BR26" s="2084">
        <f t="shared" si="91"/>
        <v>3.2877352093718848</v>
      </c>
      <c r="BS26" s="187">
        <f>BS30/(BS7-BS13)</f>
        <v>37.530511021731918</v>
      </c>
      <c r="BT26" s="3067">
        <f>BT30/(BT7-BT13)</f>
        <v>3.0110737947962689</v>
      </c>
      <c r="BU26" s="3067">
        <f t="shared" ref="BU26:BY26" si="92">BU30/(BU7-BU13)</f>
        <v>3.0803202561576359</v>
      </c>
      <c r="BV26" s="3067">
        <f t="shared" si="92"/>
        <v>3.0650141795499017</v>
      </c>
      <c r="BW26" s="3067">
        <f t="shared" si="92"/>
        <v>3.0724951633349589</v>
      </c>
      <c r="BX26" s="3067">
        <f t="shared" si="92"/>
        <v>3.0320703077674636</v>
      </c>
      <c r="BY26" s="3067">
        <f t="shared" si="92"/>
        <v>3.0311477127397923</v>
      </c>
      <c r="BZ26" s="3067">
        <f t="shared" ref="BZ26:CF26" si="93">BZ30/(BZ7-BZ13)</f>
        <v>3.0401130597014925</v>
      </c>
      <c r="CA26" s="3067">
        <f t="shared" si="93"/>
        <v>3.0708436523929468</v>
      </c>
      <c r="CB26" s="3067">
        <f t="shared" si="93"/>
        <v>3.0636237152953054</v>
      </c>
      <c r="CC26" s="3067">
        <f t="shared" si="93"/>
        <v>3.8361510469867217</v>
      </c>
      <c r="CD26" s="3067">
        <f t="shared" si="93"/>
        <v>3.1223905252422233</v>
      </c>
      <c r="CE26" s="3068">
        <f t="shared" si="93"/>
        <v>3.128946602531645</v>
      </c>
      <c r="CF26" s="187">
        <f t="shared" si="93"/>
        <v>39.743590065586474</v>
      </c>
      <c r="CG26" s="2279">
        <v>3.1014060086401569</v>
      </c>
      <c r="CH26" s="2279">
        <v>3.1727298638423651</v>
      </c>
      <c r="CI26" s="2279">
        <v>3.1569646049363986</v>
      </c>
      <c r="CJ26" s="2279">
        <v>3.1646700182350078</v>
      </c>
      <c r="CK26" s="2279">
        <v>3.1230324170004873</v>
      </c>
      <c r="CL26" s="2279">
        <v>3.1220821441219861</v>
      </c>
      <c r="CM26" s="2279">
        <v>3.1569646049363986</v>
      </c>
      <c r="CN26" s="2279">
        <v>3.1569646049363986</v>
      </c>
      <c r="CO26" s="2279">
        <v>4.0364375935800982</v>
      </c>
      <c r="CP26" s="2279">
        <v>3.3553707422181813</v>
      </c>
      <c r="CQ26" s="2279">
        <v>3.4083325358285488</v>
      </c>
      <c r="CR26" s="2280">
        <v>3.4390509017315711</v>
      </c>
      <c r="CT26" s="2947"/>
    </row>
    <row r="27" spans="2:99">
      <c r="B27" s="3378"/>
      <c r="C27" s="3379"/>
      <c r="D27" s="3080" t="s">
        <v>229</v>
      </c>
      <c r="E27" s="275"/>
      <c r="F27" s="3513">
        <f>SUM(G27:R27)</f>
        <v>37.03031538525272</v>
      </c>
      <c r="G27" s="438">
        <f t="shared" ref="G27:R27" si="94">G33/G11</f>
        <v>2.7553758677685951</v>
      </c>
      <c r="H27" s="438">
        <f t="shared" si="94"/>
        <v>2.8799912727272727</v>
      </c>
      <c r="I27" s="438">
        <f t="shared" si="94"/>
        <v>2.8469238532110093</v>
      </c>
      <c r="J27" s="438">
        <f t="shared" si="94"/>
        <v>2.8071993577981651</v>
      </c>
      <c r="K27" s="438">
        <f t="shared" si="94"/>
        <v>2.78668495412844</v>
      </c>
      <c r="L27" s="438">
        <f t="shared" si="94"/>
        <v>2.9899444144144143</v>
      </c>
      <c r="M27" s="438">
        <f t="shared" si="94"/>
        <v>3.0020816513761468</v>
      </c>
      <c r="N27" s="438">
        <f t="shared" si="94"/>
        <v>3.0899798165137615</v>
      </c>
      <c r="O27" s="438">
        <f t="shared" si="94"/>
        <v>2.9929218348623854</v>
      </c>
      <c r="P27" s="438">
        <f t="shared" si="94"/>
        <v>3.3118927835051548</v>
      </c>
      <c r="Q27" s="438">
        <f t="shared" si="94"/>
        <v>3.4494842105263159</v>
      </c>
      <c r="R27" s="438">
        <f t="shared" si="94"/>
        <v>4.1178353684210531</v>
      </c>
      <c r="S27" s="276"/>
      <c r="T27" s="438">
        <f t="shared" ref="T27:AE27" si="95">T33/T11</f>
        <v>2.7931536036036038</v>
      </c>
      <c r="U27" s="438" t="e">
        <f t="shared" si="95"/>
        <v>#DIV/0!</v>
      </c>
      <c r="V27" s="438" t="e">
        <f t="shared" si="95"/>
        <v>#DIV/0!</v>
      </c>
      <c r="W27" s="438" t="e">
        <f t="shared" si="95"/>
        <v>#DIV/0!</v>
      </c>
      <c r="X27" s="438" t="e">
        <f t="shared" si="95"/>
        <v>#DIV/0!</v>
      </c>
      <c r="Y27" s="438" t="e">
        <f t="shared" si="95"/>
        <v>#DIV/0!</v>
      </c>
      <c r="Z27" s="438" t="e">
        <f t="shared" si="95"/>
        <v>#DIV/0!</v>
      </c>
      <c r="AA27" s="438" t="e">
        <f t="shared" si="95"/>
        <v>#DIV/0!</v>
      </c>
      <c r="AB27" s="438" t="e">
        <f t="shared" si="95"/>
        <v>#DIV/0!</v>
      </c>
      <c r="AC27" s="438" t="e">
        <f t="shared" si="95"/>
        <v>#DIV/0!</v>
      </c>
      <c r="AD27" s="438" t="e">
        <f t="shared" si="95"/>
        <v>#DIV/0!</v>
      </c>
      <c r="AE27" s="438" t="e">
        <f t="shared" si="95"/>
        <v>#DIV/0!</v>
      </c>
      <c r="AF27" s="3513">
        <f>SUM(AG27:AR27)</f>
        <v>0</v>
      </c>
      <c r="AG27" s="510"/>
      <c r="AH27" s="510"/>
      <c r="AI27" s="510"/>
      <c r="AJ27" s="510"/>
      <c r="AK27" s="510"/>
      <c r="AL27" s="510"/>
      <c r="AM27" s="510"/>
      <c r="AN27" s="510"/>
      <c r="AO27" s="510"/>
      <c r="AP27" s="510"/>
      <c r="AQ27" s="510"/>
      <c r="AR27" s="511"/>
      <c r="AS27" s="3513">
        <f>SUM(AT27:BE27)</f>
        <v>0</v>
      </c>
      <c r="AT27" s="510"/>
      <c r="AU27" s="510"/>
      <c r="AV27" s="510"/>
      <c r="AW27" s="510"/>
      <c r="AX27" s="510"/>
      <c r="AY27" s="510"/>
      <c r="AZ27" s="510"/>
      <c r="BA27" s="510"/>
      <c r="BB27" s="510"/>
      <c r="BC27" s="510"/>
      <c r="BD27" s="510"/>
      <c r="BE27" s="511"/>
      <c r="BF27" s="3513">
        <f>SUM(BG27:BR27)</f>
        <v>0</v>
      </c>
      <c r="BG27" s="510"/>
      <c r="BH27" s="510"/>
      <c r="BI27" s="510"/>
      <c r="BJ27" s="510"/>
      <c r="BK27" s="510"/>
      <c r="BL27" s="510"/>
      <c r="BM27" s="510"/>
      <c r="BN27" s="510"/>
      <c r="BO27" s="510"/>
      <c r="BP27" s="510"/>
      <c r="BQ27" s="510"/>
      <c r="BR27" s="1429"/>
      <c r="BS27" s="276">
        <f>SUM(BT27:CE27)</f>
        <v>0</v>
      </c>
      <c r="BT27" s="2054"/>
      <c r="BU27" s="2054"/>
      <c r="BV27" s="2054"/>
      <c r="BW27" s="2054"/>
      <c r="BX27" s="2054"/>
      <c r="BY27" s="2054"/>
      <c r="BZ27" s="2054"/>
      <c r="CA27" s="2054"/>
      <c r="CB27" s="2054"/>
      <c r="CC27" s="2054"/>
      <c r="CD27" s="2054"/>
      <c r="CE27" s="2128"/>
      <c r="CF27" s="276">
        <f>SUM(CG27:CR27)</f>
        <v>0</v>
      </c>
      <c r="CG27" s="2054"/>
      <c r="CH27" s="2054"/>
      <c r="CI27" s="2054"/>
      <c r="CJ27" s="2054"/>
      <c r="CK27" s="2054"/>
      <c r="CL27" s="2054"/>
      <c r="CM27" s="2054"/>
      <c r="CN27" s="2054"/>
      <c r="CO27" s="2054"/>
      <c r="CP27" s="2054"/>
      <c r="CQ27" s="2054"/>
      <c r="CR27" s="2128"/>
    </row>
    <row r="28" spans="2:99">
      <c r="B28" s="3340" t="s">
        <v>33</v>
      </c>
      <c r="C28" s="3341"/>
      <c r="D28" s="176" t="s">
        <v>318</v>
      </c>
      <c r="E28" s="163"/>
      <c r="F28" s="188">
        <f t="shared" ref="F28:AK28" si="96">SUM(F29:F32)</f>
        <v>80387.287110000005</v>
      </c>
      <c r="G28" s="153">
        <f t="shared" si="96"/>
        <v>6254.3459199999998</v>
      </c>
      <c r="H28" s="153">
        <f t="shared" si="96"/>
        <v>6277.1069400000006</v>
      </c>
      <c r="I28" s="153">
        <f t="shared" si="96"/>
        <v>8737.295097000002</v>
      </c>
      <c r="J28" s="153">
        <f t="shared" si="96"/>
        <v>6252.7417500000001</v>
      </c>
      <c r="K28" s="153">
        <f t="shared" si="96"/>
        <v>6081.9726700000001</v>
      </c>
      <c r="L28" s="153">
        <f t="shared" si="96"/>
        <v>8142.1707369999995</v>
      </c>
      <c r="M28" s="153">
        <f t="shared" si="96"/>
        <v>5771.4588500000009</v>
      </c>
      <c r="N28" s="153">
        <f t="shared" si="96"/>
        <v>5793.75792</v>
      </c>
      <c r="O28" s="154">
        <f t="shared" si="96"/>
        <v>7933.6261720000002</v>
      </c>
      <c r="P28" s="154">
        <f t="shared" si="96"/>
        <v>5685.4584000000004</v>
      </c>
      <c r="Q28" s="153">
        <f t="shared" si="96"/>
        <v>5718.0131200000005</v>
      </c>
      <c r="R28" s="154">
        <f t="shared" si="96"/>
        <v>7739.3395340000025</v>
      </c>
      <c r="S28" s="188">
        <f t="shared" si="96"/>
        <v>76788.835339999991</v>
      </c>
      <c r="T28" s="154">
        <f t="shared" si="96"/>
        <v>6411.0184630000003</v>
      </c>
      <c r="U28" s="154">
        <f t="shared" si="96"/>
        <v>6634.6607130000002</v>
      </c>
      <c r="V28" s="154">
        <f t="shared" si="96"/>
        <v>6376.6084329999994</v>
      </c>
      <c r="W28" s="154">
        <f t="shared" si="96"/>
        <v>6562.7623110000004</v>
      </c>
      <c r="X28" s="154">
        <f t="shared" si="96"/>
        <v>6439.8697000000002</v>
      </c>
      <c r="Y28" s="154">
        <f t="shared" si="96"/>
        <v>6386.27052</v>
      </c>
      <c r="Z28" s="154">
        <f t="shared" si="96"/>
        <v>6316.1776679999984</v>
      </c>
      <c r="AA28" s="154">
        <f t="shared" si="96"/>
        <v>6346.2569939999994</v>
      </c>
      <c r="AB28" s="154">
        <f t="shared" si="96"/>
        <v>6366.266044</v>
      </c>
      <c r="AC28" s="154">
        <f t="shared" si="96"/>
        <v>6276.6340739999978</v>
      </c>
      <c r="AD28" s="154">
        <f t="shared" si="96"/>
        <v>6258.5072040000005</v>
      </c>
      <c r="AE28" s="154">
        <f t="shared" si="96"/>
        <v>6413.8032159999993</v>
      </c>
      <c r="AF28" s="188">
        <f t="shared" si="96"/>
        <v>81303.328190999993</v>
      </c>
      <c r="AG28" s="154">
        <f t="shared" si="96"/>
        <v>6303.3678760000003</v>
      </c>
      <c r="AH28" s="154">
        <f t="shared" si="96"/>
        <v>6389.1092159999998</v>
      </c>
      <c r="AI28" s="154">
        <f t="shared" si="96"/>
        <v>6016.4514659999995</v>
      </c>
      <c r="AJ28" s="154">
        <f t="shared" si="96"/>
        <v>6311.021213</v>
      </c>
      <c r="AK28" s="154">
        <f t="shared" si="96"/>
        <v>6301.5727630000001</v>
      </c>
      <c r="AL28" s="154">
        <f t="shared" ref="AL28:BF28" si="97">SUM(AL29:AL32)</f>
        <v>6315.5318229999993</v>
      </c>
      <c r="AM28" s="154">
        <f t="shared" si="97"/>
        <v>6264.7459020000006</v>
      </c>
      <c r="AN28" s="154">
        <f t="shared" si="97"/>
        <v>6327.1215750000001</v>
      </c>
      <c r="AO28" s="154">
        <f t="shared" si="97"/>
        <v>6357.2100450000007</v>
      </c>
      <c r="AP28" s="154">
        <f t="shared" si="97"/>
        <v>6326.5396659999988</v>
      </c>
      <c r="AQ28" s="154">
        <f t="shared" si="97"/>
        <v>10887.945508000001</v>
      </c>
      <c r="AR28" s="154">
        <f t="shared" si="97"/>
        <v>7502.7111379999988</v>
      </c>
      <c r="AS28" s="188">
        <f t="shared" si="97"/>
        <v>84689.523918999985</v>
      </c>
      <c r="AT28" s="154">
        <f t="shared" si="97"/>
        <v>6680.3488519999992</v>
      </c>
      <c r="AU28" s="154">
        <f t="shared" si="97"/>
        <v>6730.3398230000003</v>
      </c>
      <c r="AV28" s="154">
        <f t="shared" si="97"/>
        <v>6443.6620429999994</v>
      </c>
      <c r="AW28" s="154">
        <f t="shared" si="97"/>
        <v>6903.6023910000004</v>
      </c>
      <c r="AX28" s="154">
        <f t="shared" si="97"/>
        <v>6726.594149999999</v>
      </c>
      <c r="AY28" s="154">
        <f t="shared" si="97"/>
        <v>6696.3160599999992</v>
      </c>
      <c r="AZ28" s="154">
        <f t="shared" si="97"/>
        <v>6921.7029939999993</v>
      </c>
      <c r="BA28" s="154">
        <f t="shared" si="97"/>
        <v>6697.1230299999988</v>
      </c>
      <c r="BB28" s="154">
        <f t="shared" si="97"/>
        <v>6635.2938899999981</v>
      </c>
      <c r="BC28" s="154">
        <f t="shared" si="97"/>
        <v>6634.3586999999989</v>
      </c>
      <c r="BD28" s="154">
        <f t="shared" si="97"/>
        <v>10249.685509999999</v>
      </c>
      <c r="BE28" s="154">
        <f t="shared" si="97"/>
        <v>7370.4964760000021</v>
      </c>
      <c r="BF28" s="188">
        <f t="shared" si="97"/>
        <v>87935.067669999989</v>
      </c>
      <c r="BG28" s="154">
        <f t="shared" ref="BG28:BR28" si="98">SUM(BG29:BG32)</f>
        <v>6855.6352179999994</v>
      </c>
      <c r="BH28" s="154">
        <f t="shared" si="98"/>
        <v>6992.4755279999999</v>
      </c>
      <c r="BI28" s="154">
        <f t="shared" si="98"/>
        <v>6277.2533679999997</v>
      </c>
      <c r="BJ28" s="154">
        <f t="shared" si="98"/>
        <v>7037.397438</v>
      </c>
      <c r="BK28" s="154">
        <f t="shared" si="98"/>
        <v>7025.059808</v>
      </c>
      <c r="BL28" s="154">
        <f t="shared" si="98"/>
        <v>7596.0434679999998</v>
      </c>
      <c r="BM28" s="154">
        <f t="shared" si="98"/>
        <v>6917.0666620000002</v>
      </c>
      <c r="BN28" s="154">
        <f t="shared" si="98"/>
        <v>7017.6602739999998</v>
      </c>
      <c r="BO28" s="154">
        <f t="shared" si="98"/>
        <v>8753.1549940000004</v>
      </c>
      <c r="BP28" s="154">
        <f t="shared" si="98"/>
        <v>8538.772594</v>
      </c>
      <c r="BQ28" s="154">
        <f t="shared" si="98"/>
        <v>7157.1217340000012</v>
      </c>
      <c r="BR28" s="1430">
        <f t="shared" si="98"/>
        <v>7767.4265840000007</v>
      </c>
      <c r="BS28" s="188">
        <f t="shared" ref="BS28:CE28" si="99">SUM(BS29:BS32)</f>
        <v>95844.902343000009</v>
      </c>
      <c r="BT28" s="154">
        <f t="shared" si="99"/>
        <v>7392.0033839999996</v>
      </c>
      <c r="BU28" s="154">
        <f t="shared" si="99"/>
        <v>7564.5476740000013</v>
      </c>
      <c r="BV28" s="154">
        <f t="shared" si="99"/>
        <v>7930.0362369999984</v>
      </c>
      <c r="BW28" s="154">
        <f t="shared" si="99"/>
        <v>7633.9119740000006</v>
      </c>
      <c r="BX28" s="154">
        <f t="shared" si="99"/>
        <v>7527.2432439999975</v>
      </c>
      <c r="BY28" s="154">
        <f t="shared" si="99"/>
        <v>7495.7407239999975</v>
      </c>
      <c r="BZ28" s="154">
        <f t="shared" si="99"/>
        <v>7463.9421940000002</v>
      </c>
      <c r="CA28" s="154">
        <f t="shared" si="99"/>
        <v>7424.8527939999994</v>
      </c>
      <c r="CB28" s="154">
        <f t="shared" si="99"/>
        <v>10321.339904</v>
      </c>
      <c r="CC28" s="154">
        <f t="shared" si="99"/>
        <v>9173.894314000001</v>
      </c>
      <c r="CD28" s="154">
        <f t="shared" si="99"/>
        <v>7511.4585139999999</v>
      </c>
      <c r="CE28" s="154">
        <f t="shared" si="99"/>
        <v>8405.9313859999984</v>
      </c>
      <c r="CF28" s="188">
        <f t="shared" ref="CF28:CR28" si="100">SUM(CF29:CF32)</f>
        <v>99031.822318113555</v>
      </c>
      <c r="CG28" s="154">
        <f t="shared" si="100"/>
        <v>7643.8043164575756</v>
      </c>
      <c r="CH28" s="154">
        <f t="shared" si="100"/>
        <v>7630.5354216795376</v>
      </c>
      <c r="CI28" s="154">
        <f t="shared" si="100"/>
        <v>8005.9612358634386</v>
      </c>
      <c r="CJ28" s="154">
        <f t="shared" si="100"/>
        <v>7639.7140788616398</v>
      </c>
      <c r="CK28" s="154">
        <f t="shared" si="100"/>
        <v>7643.1289327465583</v>
      </c>
      <c r="CL28" s="154">
        <f t="shared" si="100"/>
        <v>7667.4500283616153</v>
      </c>
      <c r="CM28" s="154">
        <f t="shared" si="100"/>
        <v>7792.8898487320585</v>
      </c>
      <c r="CN28" s="154">
        <f t="shared" si="100"/>
        <v>7778.1873458606597</v>
      </c>
      <c r="CO28" s="154">
        <f t="shared" si="100"/>
        <v>12513.92518717398</v>
      </c>
      <c r="CP28" s="154">
        <f t="shared" si="100"/>
        <v>8013.9080582413008</v>
      </c>
      <c r="CQ28" s="154">
        <f t="shared" si="100"/>
        <v>7851.1589320675903</v>
      </c>
      <c r="CR28" s="154">
        <f t="shared" si="100"/>
        <v>8851.1589320675903</v>
      </c>
    </row>
    <row r="29" spans="2:99" ht="17" customHeight="1">
      <c r="B29" s="3332"/>
      <c r="C29" s="3333"/>
      <c r="D29" s="173" t="s">
        <v>29</v>
      </c>
      <c r="E29" s="160"/>
      <c r="F29" s="185">
        <f>SUM(G29:R29)</f>
        <v>13079.927830000002</v>
      </c>
      <c r="G29" s="469">
        <v>732.41953000000001</v>
      </c>
      <c r="H29" s="469">
        <v>792.56667000000016</v>
      </c>
      <c r="I29" s="469">
        <v>1863.2813169999999</v>
      </c>
      <c r="J29" s="469">
        <v>782.00269000000003</v>
      </c>
      <c r="K29" s="469">
        <v>795.40254000000016</v>
      </c>
      <c r="L29" s="469">
        <v>1574.1420969999999</v>
      </c>
      <c r="M29" s="469">
        <v>782.30636000000015</v>
      </c>
      <c r="N29" s="469">
        <v>768.39486000000022</v>
      </c>
      <c r="O29" s="495">
        <v>1586.8999720000002</v>
      </c>
      <c r="P29" s="495">
        <v>767.20498000000009</v>
      </c>
      <c r="Q29" s="469">
        <v>782.43061000000012</v>
      </c>
      <c r="R29" s="495">
        <v>1852.8762039999997</v>
      </c>
      <c r="S29" s="185">
        <f>SUM(T29:AE29)</f>
        <v>13537.893889999999</v>
      </c>
      <c r="T29" s="495">
        <v>1091.41236</v>
      </c>
      <c r="U29" s="495">
        <v>1134.5267899999999</v>
      </c>
      <c r="V29" s="495">
        <v>994.25001999999984</v>
      </c>
      <c r="W29" s="495">
        <v>1102.33527</v>
      </c>
      <c r="X29" s="495">
        <v>1109.3111700000002</v>
      </c>
      <c r="Y29" s="495">
        <v>1089.90741</v>
      </c>
      <c r="Z29" s="495">
        <v>1053.570408</v>
      </c>
      <c r="AA29" s="495">
        <v>1091.3761840000002</v>
      </c>
      <c r="AB29" s="495">
        <v>1135.1577040000002</v>
      </c>
      <c r="AC29" s="495">
        <v>1099.5699140000002</v>
      </c>
      <c r="AD29" s="495">
        <v>1119.0637839999999</v>
      </c>
      <c r="AE29" s="495">
        <v>1517.4128760000003</v>
      </c>
      <c r="AF29" s="185">
        <f>SUM(AG29:AR29)</f>
        <v>13620.726559999997</v>
      </c>
      <c r="AG29" s="495">
        <v>1116.5374660000002</v>
      </c>
      <c r="AH29" s="495">
        <v>1103.2752959999998</v>
      </c>
      <c r="AI29" s="495">
        <v>699.43365600000004</v>
      </c>
      <c r="AJ29" s="495">
        <v>1097.807016</v>
      </c>
      <c r="AK29" s="495">
        <v>1104.3066359999998</v>
      </c>
      <c r="AL29" s="495">
        <v>1108.643996</v>
      </c>
      <c r="AM29" s="495">
        <v>1069.060669</v>
      </c>
      <c r="AN29" s="495">
        <v>1082.247091</v>
      </c>
      <c r="AO29" s="495">
        <v>1100.5700109999998</v>
      </c>
      <c r="AP29" s="495">
        <v>1073.5689509999997</v>
      </c>
      <c r="AQ29" s="495">
        <v>1480.1338909999999</v>
      </c>
      <c r="AR29" s="495">
        <v>1585.141881</v>
      </c>
      <c r="AS29" s="185">
        <f>SUM(AT29:BE29)</f>
        <v>14910.462000000001</v>
      </c>
      <c r="AT29" s="495">
        <v>1155.56203</v>
      </c>
      <c r="AU29" s="495">
        <v>1154.95865</v>
      </c>
      <c r="AV29" s="495">
        <v>896.16154000000017</v>
      </c>
      <c r="AW29" s="495">
        <v>1157.8665300000002</v>
      </c>
      <c r="AX29" s="495">
        <v>1177.5984100000001</v>
      </c>
      <c r="AY29" s="495">
        <v>1169.5172699999998</v>
      </c>
      <c r="AZ29" s="495">
        <v>1459.0689239999997</v>
      </c>
      <c r="BA29" s="495">
        <v>1177.6672699999999</v>
      </c>
      <c r="BB29" s="495">
        <v>1195.3349699999999</v>
      </c>
      <c r="BC29" s="495">
        <v>1182.1812800000002</v>
      </c>
      <c r="BD29" s="495">
        <v>1295.16617</v>
      </c>
      <c r="BE29" s="495">
        <v>1889.3789560000002</v>
      </c>
      <c r="BF29" s="185">
        <f t="shared" ref="BF29:BF34" si="101">SUM(BG29:BR29)</f>
        <v>14763.337839999997</v>
      </c>
      <c r="BG29" s="495">
        <v>1324.7113079999999</v>
      </c>
      <c r="BH29" s="495">
        <v>1351.2224679999997</v>
      </c>
      <c r="BI29" s="495">
        <v>688.47385799999984</v>
      </c>
      <c r="BJ29" s="495">
        <v>1308.6766680000001</v>
      </c>
      <c r="BK29" s="495">
        <v>1312.292038</v>
      </c>
      <c r="BL29" s="495">
        <v>1306.9141780000002</v>
      </c>
      <c r="BM29" s="495">
        <v>1215.1461219999999</v>
      </c>
      <c r="BN29" s="495">
        <v>1228.1721640000003</v>
      </c>
      <c r="BO29" s="495">
        <v>1242.0570839999998</v>
      </c>
      <c r="BP29" s="495">
        <v>1447.1241440000001</v>
      </c>
      <c r="BQ29" s="495">
        <v>1166.3180540000001</v>
      </c>
      <c r="BR29" s="2081">
        <v>1172.229754</v>
      </c>
      <c r="BS29" s="185">
        <f t="shared" ref="BS29:BS34" si="102">SUM(BT29:CE29)</f>
        <v>17537.095530000002</v>
      </c>
      <c r="BT29" s="3064">
        <v>1258.446064</v>
      </c>
      <c r="BU29" s="3064">
        <v>1311.497554</v>
      </c>
      <c r="BV29" s="3064">
        <v>1665.147254</v>
      </c>
      <c r="BW29" s="3064">
        <v>1332.2243939999998</v>
      </c>
      <c r="BX29" s="3064">
        <v>1320.5953239999999</v>
      </c>
      <c r="BY29" s="3064">
        <v>1333.4174239999998</v>
      </c>
      <c r="BZ29" s="3064">
        <v>1353.3149440000004</v>
      </c>
      <c r="CA29" s="3064">
        <v>1329.2281439999999</v>
      </c>
      <c r="CB29" s="3064">
        <v>1357.3013239999996</v>
      </c>
      <c r="CC29" s="3064">
        <v>1661.2105639999997</v>
      </c>
      <c r="CD29" s="3064">
        <v>1388.4506940000001</v>
      </c>
      <c r="CE29" s="3064">
        <v>2226.2618459999999</v>
      </c>
      <c r="CF29" s="185">
        <f t="shared" ref="CF29:CF34" si="103">SUM(CG29:CR29)</f>
        <v>18912.697761681789</v>
      </c>
      <c r="CG29" s="114">
        <f t="shared" ref="CG29:CL29" si="104">(CG6-CG12)*CG25</f>
        <v>1390.8656975883146</v>
      </c>
      <c r="CH29" s="114">
        <f t="shared" si="104"/>
        <v>1425.4746618697238</v>
      </c>
      <c r="CI29" s="114">
        <f t="shared" si="104"/>
        <v>1801.3358338802234</v>
      </c>
      <c r="CJ29" s="114">
        <f t="shared" si="104"/>
        <v>1441.1839757215641</v>
      </c>
      <c r="CK29" s="114">
        <f t="shared" si="104"/>
        <v>1428.6037907226814</v>
      </c>
      <c r="CL29" s="114">
        <f t="shared" si="104"/>
        <v>1442.4745809126255</v>
      </c>
      <c r="CM29" s="114">
        <f>((CM6-CM12)*CM25)</f>
        <v>1503.8564779727374</v>
      </c>
      <c r="CN29" s="114">
        <f t="shared" ref="CN29" si="105">(CN6-CN12)*CN25</f>
        <v>1503.8564779727374</v>
      </c>
      <c r="CO29" s="114">
        <v>1603.47683112296</v>
      </c>
      <c r="CP29" s="114">
        <v>1523.8564779727401</v>
      </c>
      <c r="CQ29" s="114">
        <v>1423.8564779727401</v>
      </c>
      <c r="CR29" s="114">
        <f>1423.85647797274+1000</f>
        <v>2423.8564779727403</v>
      </c>
      <c r="CS29" s="610"/>
      <c r="CU29" s="610"/>
    </row>
    <row r="30" spans="2:99" ht="17" customHeight="1">
      <c r="B30" s="3332"/>
      <c r="C30" s="3333"/>
      <c r="D30" s="173" t="s">
        <v>30</v>
      </c>
      <c r="E30" s="160"/>
      <c r="F30" s="185">
        <f>SUM(G30:R30)</f>
        <v>67307.359280000004</v>
      </c>
      <c r="G30" s="469">
        <v>5521.9263899999996</v>
      </c>
      <c r="H30" s="469">
        <v>5484.5402700000004</v>
      </c>
      <c r="I30" s="469">
        <v>6874.0137800000011</v>
      </c>
      <c r="J30" s="469">
        <v>5470.7390599999999</v>
      </c>
      <c r="K30" s="469">
        <v>5286.5701300000001</v>
      </c>
      <c r="L30" s="469">
        <v>6568.0286399999995</v>
      </c>
      <c r="M30" s="469">
        <v>4989.1524900000004</v>
      </c>
      <c r="N30" s="469">
        <v>5025.3630599999997</v>
      </c>
      <c r="O30" s="495">
        <v>6346.7262000000001</v>
      </c>
      <c r="P30" s="495">
        <v>4918.25342</v>
      </c>
      <c r="Q30" s="469">
        <v>4935.5825100000002</v>
      </c>
      <c r="R30" s="495">
        <v>5886.4633300000023</v>
      </c>
      <c r="S30" s="185">
        <f>SUM(T30:AE30)</f>
        <v>63250.941449999991</v>
      </c>
      <c r="T30" s="495">
        <v>5319.6061030000001</v>
      </c>
      <c r="U30" s="495">
        <v>5500.1339230000003</v>
      </c>
      <c r="V30" s="495">
        <v>5382.3584129999999</v>
      </c>
      <c r="W30" s="495">
        <v>5460.4270410000008</v>
      </c>
      <c r="X30" s="495">
        <v>5330.5585300000002</v>
      </c>
      <c r="Y30" s="495">
        <v>5296.3631100000002</v>
      </c>
      <c r="Z30" s="495">
        <v>5262.6072599999989</v>
      </c>
      <c r="AA30" s="495">
        <v>5254.8808099999987</v>
      </c>
      <c r="AB30" s="495">
        <v>5231.1083399999998</v>
      </c>
      <c r="AC30" s="495">
        <v>5177.0641599999981</v>
      </c>
      <c r="AD30" s="495">
        <v>5139.4434200000005</v>
      </c>
      <c r="AE30" s="495">
        <v>4896.390339999999</v>
      </c>
      <c r="AF30" s="185">
        <f>SUM(AG30:AR30)</f>
        <v>65842.601630999998</v>
      </c>
      <c r="AG30" s="495">
        <v>5186.8304100000005</v>
      </c>
      <c r="AH30" s="495">
        <v>5285.83392</v>
      </c>
      <c r="AI30" s="495">
        <v>5317.0178099999994</v>
      </c>
      <c r="AJ30" s="495">
        <v>5213.2141970000002</v>
      </c>
      <c r="AK30" s="495">
        <v>5197.2661270000008</v>
      </c>
      <c r="AL30" s="495">
        <v>5206.8878269999996</v>
      </c>
      <c r="AM30" s="495">
        <v>5195.6852330000002</v>
      </c>
      <c r="AN30" s="495">
        <v>5244.8744839999999</v>
      </c>
      <c r="AO30" s="495">
        <v>5256.6400340000009</v>
      </c>
      <c r="AP30" s="495">
        <v>5252.9707149999995</v>
      </c>
      <c r="AQ30" s="495">
        <v>7567.8116170000012</v>
      </c>
      <c r="AR30" s="495">
        <v>5917.5692569999992</v>
      </c>
      <c r="AS30" s="185">
        <f>SUM(AT30:BE30)</f>
        <v>67415.661918999991</v>
      </c>
      <c r="AT30" s="495">
        <v>5524.7868219999991</v>
      </c>
      <c r="AU30" s="495">
        <v>5575.3811730000007</v>
      </c>
      <c r="AV30" s="495">
        <v>5547.5005029999993</v>
      </c>
      <c r="AW30" s="495">
        <v>5745.7358610000001</v>
      </c>
      <c r="AX30" s="495">
        <v>5548.9957399999994</v>
      </c>
      <c r="AY30" s="495">
        <v>5526.7987899999998</v>
      </c>
      <c r="AZ30" s="495">
        <v>5462.6340699999992</v>
      </c>
      <c r="BA30" s="495">
        <v>5519.4557599999989</v>
      </c>
      <c r="BB30" s="495">
        <v>5439.9589199999982</v>
      </c>
      <c r="BC30" s="495">
        <v>5452.1774199999982</v>
      </c>
      <c r="BD30" s="495">
        <v>6591.1193400000002</v>
      </c>
      <c r="BE30" s="495">
        <v>5481.1175200000016</v>
      </c>
      <c r="BF30" s="185">
        <f t="shared" si="101"/>
        <v>70814.329830000002</v>
      </c>
      <c r="BG30" s="495">
        <v>5530.9239099999995</v>
      </c>
      <c r="BH30" s="495">
        <v>5641.25306</v>
      </c>
      <c r="BI30" s="495">
        <v>5588.7795099999994</v>
      </c>
      <c r="BJ30" s="495">
        <v>5728.7207699999999</v>
      </c>
      <c r="BK30" s="495">
        <v>5712.7677700000004</v>
      </c>
      <c r="BL30" s="495">
        <v>5710.7292900000002</v>
      </c>
      <c r="BM30" s="495">
        <v>5701.9205400000001</v>
      </c>
      <c r="BN30" s="495">
        <v>5789.4881099999993</v>
      </c>
      <c r="BO30" s="495">
        <v>5732.0979100000004</v>
      </c>
      <c r="BP30" s="495">
        <v>7091.6484499999997</v>
      </c>
      <c r="BQ30" s="495">
        <v>5990.8036800000009</v>
      </c>
      <c r="BR30" s="2081">
        <v>6595.1968300000008</v>
      </c>
      <c r="BS30" s="185">
        <f t="shared" si="102"/>
        <v>75411.306813000003</v>
      </c>
      <c r="BT30" s="3064">
        <v>6133.5573199999999</v>
      </c>
      <c r="BU30" s="3064">
        <v>6253.0501200000008</v>
      </c>
      <c r="BV30" s="3064">
        <v>6264.8889829999989</v>
      </c>
      <c r="BW30" s="3064">
        <v>6301.6875800000007</v>
      </c>
      <c r="BX30" s="3064">
        <v>6206.6479199999976</v>
      </c>
      <c r="BY30" s="3064">
        <v>6162.3232999999982</v>
      </c>
      <c r="BZ30" s="3064">
        <v>6110.6272499999995</v>
      </c>
      <c r="CA30" s="3064">
        <v>6095.6246499999997</v>
      </c>
      <c r="CB30" s="3064">
        <v>6069.0385800000004</v>
      </c>
      <c r="CC30" s="3064">
        <v>7511.1837500000011</v>
      </c>
      <c r="CD30" s="3064">
        <v>6123.0078199999998</v>
      </c>
      <c r="CE30" s="3064">
        <v>6179.669539999999</v>
      </c>
      <c r="CF30" s="185">
        <f t="shared" si="103"/>
        <v>77119.124556431765</v>
      </c>
      <c r="CG30" s="114">
        <f>(CG7-CG13)*CG26+241.793492922909</f>
        <v>6252.9386188692606</v>
      </c>
      <c r="CH30" s="114">
        <f>(CH7-CH13)*CH26+80</f>
        <v>6205.060759809814</v>
      </c>
      <c r="CI30" s="114">
        <f>(CI7-CI13)*CI26+110</f>
        <v>6204.6254019832149</v>
      </c>
      <c r="CJ30" s="114">
        <f>(CJ7-CJ13)*CJ26+100</f>
        <v>6198.5301031400759</v>
      </c>
      <c r="CK30" s="114">
        <f>(CK7-CK13)*CK26+170</f>
        <v>6214.5251420238765</v>
      </c>
      <c r="CL30" s="114">
        <f>(CL7-CL13)*CL26+180</f>
        <v>6224.9754474489901</v>
      </c>
      <c r="CM30" s="114">
        <f>(CM7-CM13)*CM26+150</f>
        <v>6289.0333707593209</v>
      </c>
      <c r="CN30" s="114">
        <f>(CN7-CN13)*CN26+200-67.017610248353</f>
        <v>6274.3308678879221</v>
      </c>
      <c r="CO30" s="114">
        <v>7910.4483560510198</v>
      </c>
      <c r="CP30" s="114">
        <v>6490.0515802685604</v>
      </c>
      <c r="CQ30" s="114">
        <v>6427.30245409485</v>
      </c>
      <c r="CR30" s="114">
        <v>6427.30245409485</v>
      </c>
      <c r="CS30" s="610"/>
      <c r="CU30" s="610"/>
    </row>
    <row r="31" spans="2:99" ht="17" customHeight="1">
      <c r="B31" s="3332"/>
      <c r="C31" s="3333"/>
      <c r="D31" s="1992" t="s">
        <v>858</v>
      </c>
      <c r="E31" s="160"/>
      <c r="F31" s="185"/>
      <c r="G31" s="469"/>
      <c r="H31" s="469"/>
      <c r="I31" s="469"/>
      <c r="J31" s="469"/>
      <c r="K31" s="469"/>
      <c r="L31" s="469"/>
      <c r="M31" s="469"/>
      <c r="N31" s="469"/>
      <c r="O31" s="495"/>
      <c r="P31" s="495"/>
      <c r="Q31" s="469"/>
      <c r="R31" s="495"/>
      <c r="S31" s="185"/>
      <c r="T31" s="495"/>
      <c r="U31" s="495"/>
      <c r="V31" s="495"/>
      <c r="W31" s="495"/>
      <c r="X31" s="495"/>
      <c r="Y31" s="495"/>
      <c r="Z31" s="495"/>
      <c r="AA31" s="495"/>
      <c r="AB31" s="495"/>
      <c r="AC31" s="495"/>
      <c r="AD31" s="495"/>
      <c r="AE31" s="495"/>
      <c r="AF31" s="185"/>
      <c r="AG31" s="495"/>
      <c r="AH31" s="495"/>
      <c r="AI31" s="495"/>
      <c r="AJ31" s="495"/>
      <c r="AK31" s="495"/>
      <c r="AL31" s="495"/>
      <c r="AM31" s="495"/>
      <c r="AN31" s="495"/>
      <c r="AO31" s="495"/>
      <c r="AP31" s="495"/>
      <c r="AQ31" s="495"/>
      <c r="AR31" s="495"/>
      <c r="AS31" s="185"/>
      <c r="AT31" s="495"/>
      <c r="AU31" s="495"/>
      <c r="AV31" s="495"/>
      <c r="AW31" s="495"/>
      <c r="AX31" s="495"/>
      <c r="AY31" s="495"/>
      <c r="AZ31" s="495"/>
      <c r="BA31" s="495"/>
      <c r="BB31" s="495"/>
      <c r="BC31" s="495"/>
      <c r="BD31" s="495"/>
      <c r="BE31" s="495"/>
      <c r="BF31" s="185">
        <f t="shared" si="101"/>
        <v>0</v>
      </c>
      <c r="BG31" s="495"/>
      <c r="BH31" s="495"/>
      <c r="BI31" s="495"/>
      <c r="BJ31" s="495"/>
      <c r="BK31" s="495"/>
      <c r="BL31" s="495"/>
      <c r="BM31" s="495"/>
      <c r="BN31" s="495"/>
      <c r="BO31" s="495"/>
      <c r="BP31" s="495"/>
      <c r="BQ31" s="495"/>
      <c r="BR31" s="2081"/>
      <c r="BS31" s="185">
        <f t="shared" si="102"/>
        <v>0</v>
      </c>
      <c r="BT31" s="3064"/>
      <c r="BU31" s="3064"/>
      <c r="BV31" s="3064"/>
      <c r="BW31" s="3064"/>
      <c r="BX31" s="3064"/>
      <c r="BY31" s="3064"/>
      <c r="BZ31" s="3064"/>
      <c r="CA31" s="3064"/>
      <c r="CB31" s="3064"/>
      <c r="CC31" s="3064"/>
      <c r="CD31" s="3064"/>
      <c r="CE31" s="3064"/>
      <c r="CF31" s="185">
        <f t="shared" si="103"/>
        <v>0</v>
      </c>
      <c r="CG31" s="114"/>
      <c r="CH31" s="114"/>
      <c r="CI31" s="114"/>
      <c r="CJ31" s="114"/>
      <c r="CK31" s="114"/>
      <c r="CL31" s="114"/>
      <c r="CM31" s="114"/>
      <c r="CN31" s="114"/>
      <c r="CO31" s="114"/>
      <c r="CP31" s="114"/>
      <c r="CQ31" s="114"/>
      <c r="CR31" s="114"/>
    </row>
    <row r="32" spans="2:99" ht="17" customHeight="1">
      <c r="B32" s="3332"/>
      <c r="C32" s="3333"/>
      <c r="D32" s="173" t="s">
        <v>567</v>
      </c>
      <c r="E32" s="160"/>
      <c r="F32" s="185"/>
      <c r="G32" s="469"/>
      <c r="H32" s="469"/>
      <c r="I32" s="469"/>
      <c r="J32" s="469"/>
      <c r="K32" s="469"/>
      <c r="L32" s="469"/>
      <c r="M32" s="469"/>
      <c r="N32" s="469"/>
      <c r="O32" s="495"/>
      <c r="P32" s="495"/>
      <c r="Q32" s="469"/>
      <c r="R32" s="495"/>
      <c r="S32" s="185">
        <f>SUM(T32:AE32)</f>
        <v>0</v>
      </c>
      <c r="T32" s="495"/>
      <c r="U32" s="495"/>
      <c r="V32" s="495"/>
      <c r="W32" s="495"/>
      <c r="X32" s="495"/>
      <c r="Y32" s="495"/>
      <c r="Z32" s="495"/>
      <c r="AA32" s="495"/>
      <c r="AB32" s="495"/>
      <c r="AC32" s="495"/>
      <c r="AD32" s="495"/>
      <c r="AE32" s="495"/>
      <c r="AF32" s="185">
        <f>SUM(AG32:AR32)</f>
        <v>1840</v>
      </c>
      <c r="AG32" s="495"/>
      <c r="AH32" s="495"/>
      <c r="AI32" s="495"/>
      <c r="AJ32" s="495"/>
      <c r="AK32" s="495"/>
      <c r="AL32" s="495"/>
      <c r="AM32" s="495"/>
      <c r="AN32" s="495"/>
      <c r="AO32" s="495"/>
      <c r="AP32" s="495"/>
      <c r="AQ32" s="495">
        <v>1840</v>
      </c>
      <c r="AR32" s="495"/>
      <c r="AS32" s="185">
        <f>SUM(AT32:BE32)</f>
        <v>2363.4</v>
      </c>
      <c r="AT32" s="495"/>
      <c r="AU32" s="495"/>
      <c r="AV32" s="495"/>
      <c r="AW32" s="495"/>
      <c r="AX32" s="495"/>
      <c r="AY32" s="495"/>
      <c r="AZ32" s="495"/>
      <c r="BA32" s="495"/>
      <c r="BB32" s="495"/>
      <c r="BC32" s="495"/>
      <c r="BD32" s="495">
        <v>2363.4</v>
      </c>
      <c r="BE32" s="495"/>
      <c r="BF32" s="185">
        <f t="shared" si="101"/>
        <v>2357.4</v>
      </c>
      <c r="BG32" s="495"/>
      <c r="BH32" s="495"/>
      <c r="BI32" s="495"/>
      <c r="BJ32" s="495"/>
      <c r="BK32" s="495"/>
      <c r="BL32" s="495">
        <v>578.4</v>
      </c>
      <c r="BM32" s="495"/>
      <c r="BN32" s="495"/>
      <c r="BO32" s="495">
        <v>1779</v>
      </c>
      <c r="BP32" s="495"/>
      <c r="BQ32" s="495"/>
      <c r="BR32" s="2081"/>
      <c r="BS32" s="185">
        <f t="shared" si="102"/>
        <v>2896.5</v>
      </c>
      <c r="BT32" s="3064"/>
      <c r="BU32" s="3064"/>
      <c r="BV32" s="3064"/>
      <c r="BW32" s="3064"/>
      <c r="BX32" s="3064"/>
      <c r="BY32" s="3064"/>
      <c r="BZ32" s="3064"/>
      <c r="CA32" s="3064"/>
      <c r="CB32" s="3064">
        <v>2895</v>
      </c>
      <c r="CC32" s="3064">
        <v>1.5</v>
      </c>
      <c r="CD32" s="3064"/>
      <c r="CE32" s="3064"/>
      <c r="CF32" s="185">
        <f t="shared" si="103"/>
        <v>3000</v>
      </c>
      <c r="CG32" s="114"/>
      <c r="CH32" s="114"/>
      <c r="CI32" s="114"/>
      <c r="CJ32" s="114"/>
      <c r="CK32" s="114"/>
      <c r="CL32" s="114"/>
      <c r="CM32" s="114"/>
      <c r="CN32" s="114"/>
      <c r="CO32" s="114">
        <v>3000</v>
      </c>
      <c r="CP32" s="114"/>
      <c r="CQ32" s="114"/>
      <c r="CR32" s="114"/>
    </row>
    <row r="33" spans="2:100">
      <c r="B33" s="3378"/>
      <c r="C33" s="3379"/>
      <c r="D33" s="3080" t="s">
        <v>229</v>
      </c>
      <c r="E33" s="164"/>
      <c r="F33" s="189">
        <f>SUM(G33:R33)</f>
        <v>3932.54358</v>
      </c>
      <c r="G33" s="472">
        <v>333.40048000000002</v>
      </c>
      <c r="H33" s="472">
        <v>316.79903999999999</v>
      </c>
      <c r="I33" s="472">
        <v>310.31470000000002</v>
      </c>
      <c r="J33" s="472">
        <v>305.98473000000001</v>
      </c>
      <c r="K33" s="472">
        <v>303.74865999999997</v>
      </c>
      <c r="L33" s="472">
        <v>331.88382999999999</v>
      </c>
      <c r="M33" s="472">
        <v>327.2269</v>
      </c>
      <c r="N33" s="472">
        <v>336.80779999999999</v>
      </c>
      <c r="O33" s="659">
        <v>326.22847999999999</v>
      </c>
      <c r="P33" s="659">
        <v>321.25360000000001</v>
      </c>
      <c r="Q33" s="472">
        <v>327.70100000000002</v>
      </c>
      <c r="R33" s="659">
        <v>391.19436000000002</v>
      </c>
      <c r="S33" s="189">
        <f>SUM(T33:AE33)</f>
        <v>3685.5163419999999</v>
      </c>
      <c r="T33" s="659">
        <v>310.04005000000001</v>
      </c>
      <c r="U33" s="659">
        <v>298.26272</v>
      </c>
      <c r="V33" s="659">
        <v>295.4649</v>
      </c>
      <c r="W33" s="659">
        <v>305.35946999999999</v>
      </c>
      <c r="X33" s="659">
        <v>306.54483900000002</v>
      </c>
      <c r="Y33" s="659">
        <v>300.31955900000003</v>
      </c>
      <c r="Z33" s="659">
        <v>294.911449</v>
      </c>
      <c r="AA33" s="659">
        <v>297.77461899999997</v>
      </c>
      <c r="AB33" s="659">
        <v>295.358339</v>
      </c>
      <c r="AC33" s="659">
        <v>297.922169</v>
      </c>
      <c r="AD33" s="659">
        <v>340.19304899999997</v>
      </c>
      <c r="AE33" s="659">
        <v>343.36517900000001</v>
      </c>
      <c r="AF33" s="189">
        <f>SUM(AG33:AR33)</f>
        <v>3595.816417</v>
      </c>
      <c r="AG33" s="659">
        <v>292.84951899999999</v>
      </c>
      <c r="AH33" s="659">
        <v>294.70999899999998</v>
      </c>
      <c r="AI33" s="659">
        <v>292.82186999999999</v>
      </c>
      <c r="AJ33" s="659">
        <v>294.61114600000002</v>
      </c>
      <c r="AK33" s="659">
        <v>295.00830000000002</v>
      </c>
      <c r="AL33" s="659">
        <v>297.54205400000001</v>
      </c>
      <c r="AM33" s="659">
        <v>302.48693900000001</v>
      </c>
      <c r="AN33" s="659">
        <v>295.98160999999999</v>
      </c>
      <c r="AO33" s="659">
        <v>298.24972000000002</v>
      </c>
      <c r="AP33" s="659">
        <v>315.57798000000003</v>
      </c>
      <c r="AQ33" s="659">
        <v>315.556668</v>
      </c>
      <c r="AR33" s="659">
        <v>300.42061200000001</v>
      </c>
      <c r="AS33" s="189">
        <f>SUM(AT33:BE33)</f>
        <v>3371.0772860000006</v>
      </c>
      <c r="AT33" s="659">
        <v>322.21722499999998</v>
      </c>
      <c r="AU33" s="659">
        <v>288.55770999999999</v>
      </c>
      <c r="AV33" s="659">
        <v>290.63837999999998</v>
      </c>
      <c r="AW33" s="659">
        <v>284.03240899999997</v>
      </c>
      <c r="AX33" s="659">
        <v>281.77546000000001</v>
      </c>
      <c r="AY33" s="659">
        <v>274.10543999999999</v>
      </c>
      <c r="AZ33" s="659">
        <v>269.35064</v>
      </c>
      <c r="BA33" s="659">
        <v>259.29406</v>
      </c>
      <c r="BB33" s="659">
        <v>273.5324</v>
      </c>
      <c r="BC33" s="659">
        <v>264.92870199999999</v>
      </c>
      <c r="BD33" s="659">
        <v>278.83325000000002</v>
      </c>
      <c r="BE33" s="659">
        <v>283.81160999999997</v>
      </c>
      <c r="BF33" s="189">
        <f t="shared" si="101"/>
        <v>3031.4121989999999</v>
      </c>
      <c r="BG33" s="659">
        <v>274.97278</v>
      </c>
      <c r="BH33" s="659">
        <v>252.94699</v>
      </c>
      <c r="BI33" s="659">
        <v>234.99793</v>
      </c>
      <c r="BJ33" s="659">
        <v>245.33181999999999</v>
      </c>
      <c r="BK33" s="659">
        <v>228.17448999999999</v>
      </c>
      <c r="BL33" s="659">
        <v>239.66505000000001</v>
      </c>
      <c r="BM33" s="659">
        <v>240.28608</v>
      </c>
      <c r="BN33" s="659">
        <v>248.04258999999999</v>
      </c>
      <c r="BO33" s="659">
        <v>259.04509000000002</v>
      </c>
      <c r="BP33" s="659">
        <v>273.94236899999999</v>
      </c>
      <c r="BQ33" s="659">
        <v>274.70551999999998</v>
      </c>
      <c r="BR33" s="2085">
        <v>259.30149</v>
      </c>
      <c r="BS33" s="189">
        <f t="shared" si="102"/>
        <v>2732.4023179999999</v>
      </c>
      <c r="BT33" s="3069">
        <v>240.71203</v>
      </c>
      <c r="BU33" s="3069">
        <v>256.68238000000002</v>
      </c>
      <c r="BV33" s="3069">
        <v>246.34416999999999</v>
      </c>
      <c r="BW33" s="3069">
        <v>249.73244</v>
      </c>
      <c r="BX33" s="3069">
        <v>240.86377999999999</v>
      </c>
      <c r="BY33" s="3069">
        <v>265.98971</v>
      </c>
      <c r="BZ33" s="3069">
        <v>234.64709999999999</v>
      </c>
      <c r="CA33" s="3069">
        <v>217.2508</v>
      </c>
      <c r="CB33" s="3069">
        <v>226.85344000000001</v>
      </c>
      <c r="CC33" s="3069">
        <v>198.100448</v>
      </c>
      <c r="CD33" s="3069">
        <v>180.08234999999999</v>
      </c>
      <c r="CE33" s="3069">
        <v>175.14366999999999</v>
      </c>
      <c r="CF33" s="189">
        <f t="shared" si="103"/>
        <v>3191.8765199999993</v>
      </c>
      <c r="CG33" s="2834">
        <v>265.98971</v>
      </c>
      <c r="CH33" s="2834">
        <v>265.98971</v>
      </c>
      <c r="CI33" s="2834">
        <v>265.98971</v>
      </c>
      <c r="CJ33" s="2834">
        <v>265.98971</v>
      </c>
      <c r="CK33" s="2834">
        <v>265.98971</v>
      </c>
      <c r="CL33" s="2834">
        <v>265.98971</v>
      </c>
      <c r="CM33" s="2834">
        <v>265.98971</v>
      </c>
      <c r="CN33" s="2834">
        <v>265.98971</v>
      </c>
      <c r="CO33" s="2834">
        <v>265.98971</v>
      </c>
      <c r="CP33" s="2834">
        <v>265.98971</v>
      </c>
      <c r="CQ33" s="2834">
        <v>265.98971</v>
      </c>
      <c r="CR33" s="2834">
        <v>265.98971</v>
      </c>
    </row>
    <row r="34" spans="2:100">
      <c r="B34" s="3395" t="s">
        <v>35</v>
      </c>
      <c r="C34" s="3396"/>
      <c r="D34" s="177" t="s">
        <v>34</v>
      </c>
      <c r="E34" s="165"/>
      <c r="F34" s="614">
        <f>SUM(G34:R34)</f>
        <v>317.32509800000003</v>
      </c>
      <c r="G34" s="435"/>
      <c r="H34" s="436"/>
      <c r="I34" s="368">
        <v>13.675269</v>
      </c>
      <c r="J34" s="435"/>
      <c r="K34" s="435"/>
      <c r="L34" s="436">
        <v>15.875268999999999</v>
      </c>
      <c r="M34" s="435">
        <v>1.3</v>
      </c>
      <c r="N34" s="435">
        <v>0.4</v>
      </c>
      <c r="O34" s="660">
        <v>13.775269</v>
      </c>
      <c r="P34" s="660">
        <v>5.74E-2</v>
      </c>
      <c r="Q34" s="435">
        <v>0.58972000000000002</v>
      </c>
      <c r="R34" s="439">
        <v>271.65217100000001</v>
      </c>
      <c r="S34" s="614">
        <f>SUM(T34:AE34)</f>
        <v>396.97131899999994</v>
      </c>
      <c r="T34" s="660">
        <v>8.8021360000000008</v>
      </c>
      <c r="U34" s="660">
        <v>8.8021360000000008</v>
      </c>
      <c r="V34" s="660">
        <v>10.602136</v>
      </c>
      <c r="W34" s="660">
        <v>10.962135999999999</v>
      </c>
      <c r="X34" s="660">
        <v>10.602136</v>
      </c>
      <c r="Y34" s="660">
        <v>12.282135999999999</v>
      </c>
      <c r="Z34" s="660">
        <v>10.362136</v>
      </c>
      <c r="AA34" s="660">
        <v>10.122135999999999</v>
      </c>
      <c r="AB34" s="660">
        <v>8.8021360000000008</v>
      </c>
      <c r="AC34" s="660">
        <v>263.13036499999998</v>
      </c>
      <c r="AD34" s="660">
        <v>10.602136</v>
      </c>
      <c r="AE34" s="660">
        <v>31.899594</v>
      </c>
      <c r="AF34" s="614">
        <f>SUM(AG34:AR34)</f>
        <v>741.52122900000006</v>
      </c>
      <c r="AG34" s="756">
        <v>8.7593619999999994</v>
      </c>
      <c r="AH34" s="756">
        <v>160.15936199999999</v>
      </c>
      <c r="AI34" s="756">
        <v>16.739362</v>
      </c>
      <c r="AJ34" s="756">
        <v>22.444362000000002</v>
      </c>
      <c r="AK34" s="756">
        <v>13.679361999999999</v>
      </c>
      <c r="AL34" s="756">
        <v>11.039362000000001</v>
      </c>
      <c r="AM34" s="756">
        <v>11.039362000000001</v>
      </c>
      <c r="AN34" s="756">
        <v>96.358536000000001</v>
      </c>
      <c r="AO34" s="756">
        <v>10.439361999999999</v>
      </c>
      <c r="AP34" s="756">
        <v>216.57811699999999</v>
      </c>
      <c r="AQ34" s="756">
        <v>14.279362000000001</v>
      </c>
      <c r="AR34" s="794">
        <v>160.00531799999999</v>
      </c>
      <c r="AS34" s="614">
        <f>SUM(AT34:BE34)</f>
        <v>806.359106</v>
      </c>
      <c r="AT34" s="756">
        <v>9.0370430000000006</v>
      </c>
      <c r="AU34" s="756">
        <v>135.26564300000001</v>
      </c>
      <c r="AV34" s="756">
        <v>11.977043</v>
      </c>
      <c r="AW34" s="756">
        <v>131.93751900000001</v>
      </c>
      <c r="AX34" s="756">
        <v>10.357043000000001</v>
      </c>
      <c r="AY34" s="756">
        <v>10.597042999999999</v>
      </c>
      <c r="AZ34" s="756">
        <v>10.477043</v>
      </c>
      <c r="BA34" s="1592">
        <v>82.647042999999996</v>
      </c>
      <c r="BB34" s="1592">
        <v>10.597042999999999</v>
      </c>
      <c r="BC34" s="1592">
        <v>155.57009199999999</v>
      </c>
      <c r="BD34" s="1592">
        <v>18.464724</v>
      </c>
      <c r="BE34" s="794">
        <v>219.431827</v>
      </c>
      <c r="BF34" s="614">
        <f t="shared" si="101"/>
        <v>707.798631</v>
      </c>
      <c r="BG34" s="435">
        <v>10.320023000000001</v>
      </c>
      <c r="BH34" s="435">
        <v>15.840023</v>
      </c>
      <c r="BI34" s="435">
        <v>15.840023</v>
      </c>
      <c r="BJ34" s="435">
        <v>136.77819600000001</v>
      </c>
      <c r="BK34" s="435">
        <v>15.840023</v>
      </c>
      <c r="BL34" s="435">
        <v>16.240023000000001</v>
      </c>
      <c r="BM34" s="435">
        <v>8.6400229999999993</v>
      </c>
      <c r="BN34" s="435">
        <v>32.833488000000003</v>
      </c>
      <c r="BO34" s="435">
        <v>139.832527</v>
      </c>
      <c r="BP34" s="435">
        <v>21.840022999999999</v>
      </c>
      <c r="BQ34" s="435">
        <v>151.93151700000001</v>
      </c>
      <c r="BR34" s="2086">
        <v>141.862742</v>
      </c>
      <c r="BS34" s="614">
        <f t="shared" si="102"/>
        <v>699.44121100000007</v>
      </c>
      <c r="BT34" s="3070">
        <v>115.603053</v>
      </c>
      <c r="BU34" s="3070">
        <v>11.543053</v>
      </c>
      <c r="BV34" s="3070">
        <v>9.7430529999999997</v>
      </c>
      <c r="BW34" s="3070">
        <v>30.543053</v>
      </c>
      <c r="BX34" s="3070">
        <v>8.6430530000000001</v>
      </c>
      <c r="BY34" s="3070">
        <v>21.243053</v>
      </c>
      <c r="BZ34" s="3070">
        <v>10.143053</v>
      </c>
      <c r="CA34" s="3070">
        <v>8.5430530000000005</v>
      </c>
      <c r="CB34" s="3070">
        <v>42.693052999999999</v>
      </c>
      <c r="CC34" s="3070">
        <v>17.043053</v>
      </c>
      <c r="CD34" s="3070">
        <v>27.643052999999998</v>
      </c>
      <c r="CE34" s="3071">
        <v>396.05762800000002</v>
      </c>
      <c r="CF34" s="614">
        <f t="shared" si="103"/>
        <v>710.47573507999959</v>
      </c>
      <c r="CG34" s="2848">
        <v>19.904477923333335</v>
      </c>
      <c r="CH34" s="2848">
        <f>((20.68934459+50)+4.16666666666667)-3.33333333333333</f>
        <v>71.522677923333347</v>
      </c>
      <c r="CI34" s="2848">
        <f>((18.83534459+50)+4.16666666666667)-3.33333333333333</f>
        <v>69.668677923333348</v>
      </c>
      <c r="CJ34" s="2848">
        <v>41.092677923333326</v>
      </c>
      <c r="CK34" s="2848">
        <v>38.535677923333331</v>
      </c>
      <c r="CL34" s="2848">
        <v>31.513677923333336</v>
      </c>
      <c r="CM34" s="2848">
        <v>43.506311256666663</v>
      </c>
      <c r="CN34" s="2848">
        <v>43.506311256666663</v>
      </c>
      <c r="CO34" s="2848">
        <v>43.506311256666663</v>
      </c>
      <c r="CP34" s="2848">
        <v>43.506311256666663</v>
      </c>
      <c r="CQ34" s="2848">
        <v>43.506311256666663</v>
      </c>
      <c r="CR34" s="2849">
        <v>220.70631125666631</v>
      </c>
    </row>
    <row r="35" spans="2:100">
      <c r="B35" s="3340" t="s">
        <v>36</v>
      </c>
      <c r="C35" s="3341"/>
      <c r="D35" s="178" t="s">
        <v>37</v>
      </c>
      <c r="E35" s="166" t="e">
        <f>AVERAGE(#REF!)</f>
        <v>#REF!</v>
      </c>
      <c r="F35" s="748">
        <f>F36/(F28+F38)</f>
        <v>9.1153964429369225E-2</v>
      </c>
      <c r="G35" s="157">
        <f t="shared" ref="G35:R35" si="106">G36/G28</f>
        <v>0.11370284904228642</v>
      </c>
      <c r="H35" s="157">
        <f t="shared" si="106"/>
        <v>0.11329055834119657</v>
      </c>
      <c r="I35" s="157">
        <f t="shared" si="106"/>
        <v>6.4223188500600076E-2</v>
      </c>
      <c r="J35" s="157">
        <f t="shared" si="106"/>
        <v>0.10573552793860388</v>
      </c>
      <c r="K35" s="157">
        <f t="shared" si="106"/>
        <v>0.10870436055412264</v>
      </c>
      <c r="L35" s="157">
        <f t="shared" si="106"/>
        <v>8.1199101732862614E-2</v>
      </c>
      <c r="M35" s="157">
        <f t="shared" si="106"/>
        <v>0.11455283095365046</v>
      </c>
      <c r="N35" s="157">
        <f t="shared" si="106"/>
        <v>0.11411193893996868</v>
      </c>
      <c r="O35" s="157">
        <f t="shared" si="106"/>
        <v>8.3333514293040215E-2</v>
      </c>
      <c r="P35" s="157">
        <f t="shared" si="106"/>
        <v>0.11628560152687072</v>
      </c>
      <c r="Q35" s="156">
        <f t="shared" si="106"/>
        <v>0.11562354547378162</v>
      </c>
      <c r="R35" s="157">
        <f t="shared" si="106"/>
        <v>9.1625056619463185E-2</v>
      </c>
      <c r="S35" s="748">
        <f>S36/(S28+S38)</f>
        <v>9.5307875326758551E-2</v>
      </c>
      <c r="T35" s="157">
        <f t="shared" ref="T35:BA35" si="107">T36/T28</f>
        <v>9.9770919346360329E-2</v>
      </c>
      <c r="U35" s="157">
        <f t="shared" si="107"/>
        <v>9.6407824554871097E-2</v>
      </c>
      <c r="V35" s="157">
        <f t="shared" si="107"/>
        <v>0.10030931218699156</v>
      </c>
      <c r="W35" s="157">
        <f t="shared" si="107"/>
        <v>9.7464021350871677E-2</v>
      </c>
      <c r="X35" s="157">
        <f t="shared" si="107"/>
        <v>9.9323936010692879E-2</v>
      </c>
      <c r="Y35" s="157">
        <f t="shared" si="107"/>
        <v>0.10015754954270242</v>
      </c>
      <c r="Z35" s="157">
        <f t="shared" si="107"/>
        <v>0.10126903320668276</v>
      </c>
      <c r="AA35" s="157">
        <f t="shared" si="107"/>
        <v>0.10078904882117669</v>
      </c>
      <c r="AB35" s="157">
        <f t="shared" si="107"/>
        <v>0.1004722708066581</v>
      </c>
      <c r="AC35" s="157">
        <f t="shared" si="107"/>
        <v>0.10190704101256806</v>
      </c>
      <c r="AD35" s="157">
        <f t="shared" si="107"/>
        <v>0.10220220016543101</v>
      </c>
      <c r="AE35" s="157">
        <f t="shared" si="107"/>
        <v>0.15906254442839771</v>
      </c>
      <c r="AF35" s="748">
        <f t="shared" si="107"/>
        <v>9.7225135057571091E-2</v>
      </c>
      <c r="AG35" s="748">
        <f t="shared" si="107"/>
        <v>0.10742584509119645</v>
      </c>
      <c r="AH35" s="748">
        <f t="shared" si="107"/>
        <v>0.10598419875250416</v>
      </c>
      <c r="AI35" s="748">
        <f t="shared" si="107"/>
        <v>0.11254883793655789</v>
      </c>
      <c r="AJ35" s="748">
        <f t="shared" si="107"/>
        <v>0.10729557042292262</v>
      </c>
      <c r="AK35" s="748">
        <f t="shared" si="107"/>
        <v>0.10745644721836564</v>
      </c>
      <c r="AL35" s="748">
        <f t="shared" si="107"/>
        <v>0.10721893895522219</v>
      </c>
      <c r="AM35" s="748">
        <f t="shared" si="107"/>
        <v>0.10808812226268008</v>
      </c>
      <c r="AN35" s="748">
        <f t="shared" si="107"/>
        <v>0.10702253986640047</v>
      </c>
      <c r="AO35" s="748">
        <f t="shared" si="107"/>
        <v>0.10651600563875972</v>
      </c>
      <c r="AP35" s="748">
        <f t="shared" si="107"/>
        <v>0.10703238369611451</v>
      </c>
      <c r="AQ35" s="748">
        <f t="shared" si="107"/>
        <v>6.2192139049783345E-2</v>
      </c>
      <c r="AR35" s="748">
        <f t="shared" si="107"/>
        <v>6.0796187486113512E-2</v>
      </c>
      <c r="AS35" s="748">
        <f t="shared" si="107"/>
        <v>8.5251851845399476E-2</v>
      </c>
      <c r="AT35" s="157">
        <f t="shared" si="107"/>
        <v>0.10003471956407346</v>
      </c>
      <c r="AU35" s="157">
        <f t="shared" si="107"/>
        <v>9.9291691292658232E-2</v>
      </c>
      <c r="AV35" s="157">
        <f t="shared" si="107"/>
        <v>0.1037091671693062</v>
      </c>
      <c r="AW35" s="157">
        <f t="shared" si="107"/>
        <v>9.6799726599434172E-2</v>
      </c>
      <c r="AX35" s="157">
        <f t="shared" si="107"/>
        <v>9.9346981414063784E-2</v>
      </c>
      <c r="AY35" s="157">
        <f t="shared" si="107"/>
        <v>9.979618913029624E-2</v>
      </c>
      <c r="AZ35" s="157">
        <f t="shared" si="107"/>
        <v>9.6546590424246695E-2</v>
      </c>
      <c r="BA35" s="157">
        <f t="shared" si="107"/>
        <v>9.9784164186095314E-2</v>
      </c>
      <c r="BB35" s="157">
        <f>BA35</f>
        <v>9.9784164186095314E-2</v>
      </c>
      <c r="BC35" s="157">
        <f t="shared" ref="BC35:CE35" si="108">BC36/BC28</f>
        <v>0.10072817196332784</v>
      </c>
      <c r="BD35" s="157">
        <f t="shared" si="108"/>
        <v>6.5198763742361901E-2</v>
      </c>
      <c r="BE35" s="157">
        <f t="shared" si="108"/>
        <v>-1.7773065685134447E-2</v>
      </c>
      <c r="BF35" s="748">
        <f t="shared" si="108"/>
        <v>9.5123700255634352E-2</v>
      </c>
      <c r="BG35" s="157">
        <f t="shared" si="108"/>
        <v>9.4313290955499049E-2</v>
      </c>
      <c r="BH35" s="157">
        <f t="shared" si="108"/>
        <v>9.2467612708962213E-2</v>
      </c>
      <c r="BI35" s="157">
        <f t="shared" si="108"/>
        <v>0.10300325334900519</v>
      </c>
      <c r="BJ35" s="157">
        <f t="shared" si="108"/>
        <v>9.187736300193311E-2</v>
      </c>
      <c r="BK35" s="157">
        <f t="shared" si="108"/>
        <v>9.2038720903655558E-2</v>
      </c>
      <c r="BL35" s="157">
        <f t="shared" si="108"/>
        <v>8.5120302658067942E-2</v>
      </c>
      <c r="BM35" s="157">
        <f t="shared" si="108"/>
        <v>9.347568132487083E-2</v>
      </c>
      <c r="BN35" s="157">
        <f t="shared" si="108"/>
        <v>9.2135768013098335E-2</v>
      </c>
      <c r="BO35" s="157">
        <f t="shared" si="108"/>
        <v>7.3867938982367806E-2</v>
      </c>
      <c r="BP35" s="157">
        <f t="shared" si="108"/>
        <v>7.5722536451472575E-2</v>
      </c>
      <c r="BQ35" s="157">
        <f t="shared" si="108"/>
        <v>9.034043894047869E-2</v>
      </c>
      <c r="BR35" s="1431">
        <f t="shared" si="108"/>
        <v>0.1612318180875644</v>
      </c>
      <c r="BS35" s="157">
        <f t="shared" si="108"/>
        <v>0.10708966389540721</v>
      </c>
      <c r="BT35" s="157">
        <f t="shared" si="108"/>
        <v>0.10059894028316911</v>
      </c>
      <c r="BU35" s="2055">
        <f t="shared" si="108"/>
        <v>9.8304318915975922E-2</v>
      </c>
      <c r="BV35" s="2055">
        <f t="shared" si="108"/>
        <v>9.3773557241816685E-2</v>
      </c>
      <c r="BW35" s="2055">
        <f t="shared" si="108"/>
        <v>9.7411092704852806E-2</v>
      </c>
      <c r="BX35" s="2055">
        <f t="shared" si="108"/>
        <v>9.8791507447663435E-2</v>
      </c>
      <c r="BY35" s="2055">
        <f t="shared" si="108"/>
        <v>9.9206700762613009E-2</v>
      </c>
      <c r="BZ35" s="2055">
        <f t="shared" si="108"/>
        <v>9.9629349701793782E-2</v>
      </c>
      <c r="CA35" s="2055">
        <f t="shared" si="108"/>
        <v>0.10015386535352233</v>
      </c>
      <c r="CB35" s="2055">
        <f t="shared" si="108"/>
        <v>7.2047594005872198E-2</v>
      </c>
      <c r="CC35" s="2055">
        <f t="shared" si="108"/>
        <v>8.1059109855361244E-2</v>
      </c>
      <c r="CD35" s="2055">
        <f t="shared" si="108"/>
        <v>9.8999109908416913E-2</v>
      </c>
      <c r="CE35" s="2055">
        <f t="shared" si="108"/>
        <v>0.24793131246241656</v>
      </c>
      <c r="CF35" s="748">
        <f t="shared" ref="CF35:CR35" si="109">CF36/CF28</f>
        <v>0.12030476387407497</v>
      </c>
      <c r="CG35" s="157">
        <f t="shared" si="109"/>
        <v>9.5371358268606987E-2</v>
      </c>
      <c r="CH35" s="2055">
        <f t="shared" si="109"/>
        <v>9.5537201482453996E-2</v>
      </c>
      <c r="CI35" s="2055">
        <f t="shared" si="109"/>
        <v>9.1057148357698459E-2</v>
      </c>
      <c r="CJ35" s="2055">
        <f t="shared" si="109"/>
        <v>9.542241927836978E-2</v>
      </c>
      <c r="CK35" s="2055">
        <f t="shared" si="109"/>
        <v>9.5379785741496553E-2</v>
      </c>
      <c r="CL35" s="2055">
        <f t="shared" si="109"/>
        <v>9.5077241756184372E-2</v>
      </c>
      <c r="CM35" s="2055">
        <f t="shared" si="109"/>
        <v>9.3546811792625542E-2</v>
      </c>
      <c r="CN35" s="2055">
        <f t="shared" si="109"/>
        <v>9.3723636058721832E-2</v>
      </c>
      <c r="CO35" s="2055">
        <f t="shared" si="109"/>
        <v>5.8255102943014322E-2</v>
      </c>
      <c r="CP35" s="2055">
        <f t="shared" si="109"/>
        <v>9.0966853463001082E-2</v>
      </c>
      <c r="CQ35" s="2055">
        <f t="shared" si="109"/>
        <v>9.2852533786119518E-2</v>
      </c>
      <c r="CR35" s="2055">
        <f t="shared" si="109"/>
        <v>0.4400553678782656</v>
      </c>
    </row>
    <row r="36" spans="2:100">
      <c r="B36" s="3378"/>
      <c r="C36" s="3379"/>
      <c r="D36" s="179" t="s">
        <v>34</v>
      </c>
      <c r="E36" s="167" t="e">
        <f>AVERAGE(#REF!)</f>
        <v>#REF!</v>
      </c>
      <c r="F36" s="190">
        <f>SUM(G36:R36)</f>
        <v>7981.6238729999995</v>
      </c>
      <c r="G36" s="583">
        <v>711.13694999999996</v>
      </c>
      <c r="H36" s="583">
        <v>711.13694999999996</v>
      </c>
      <c r="I36" s="583">
        <v>561.13694999999996</v>
      </c>
      <c r="J36" s="583">
        <v>661.13694999999996</v>
      </c>
      <c r="K36" s="583">
        <v>661.13694999999996</v>
      </c>
      <c r="L36" s="583">
        <v>661.13694999999996</v>
      </c>
      <c r="M36" s="583">
        <v>661.13694999999996</v>
      </c>
      <c r="N36" s="583">
        <v>661.13694999999996</v>
      </c>
      <c r="O36" s="583">
        <v>661.13694999999996</v>
      </c>
      <c r="P36" s="583">
        <v>661.13694999999996</v>
      </c>
      <c r="Q36" s="583">
        <v>661.13694999999996</v>
      </c>
      <c r="R36" s="583">
        <v>709.11742300000003</v>
      </c>
      <c r="S36" s="190">
        <f>SUM(T36:AE36)</f>
        <v>8056.1611250000014</v>
      </c>
      <c r="T36" s="583">
        <v>639.63320599999997</v>
      </c>
      <c r="U36" s="583">
        <v>639.63320599999997</v>
      </c>
      <c r="V36" s="583">
        <v>639.63320599999997</v>
      </c>
      <c r="W36" s="583">
        <v>639.63320599999997</v>
      </c>
      <c r="X36" s="583">
        <v>639.63320599999997</v>
      </c>
      <c r="Y36" s="583">
        <v>639.63320599999997</v>
      </c>
      <c r="Z36" s="583">
        <v>639.63320599999997</v>
      </c>
      <c r="AA36" s="583">
        <v>639.63320599999997</v>
      </c>
      <c r="AB36" s="583">
        <v>639.63320599999997</v>
      </c>
      <c r="AC36" s="583">
        <v>639.63320599999997</v>
      </c>
      <c r="AD36" s="583">
        <v>639.63320599999997</v>
      </c>
      <c r="AE36" s="583">
        <v>1020.195859</v>
      </c>
      <c r="AF36" s="190">
        <f>SUM(AG36:AR36)</f>
        <v>7904.7270640000015</v>
      </c>
      <c r="AG36" s="583">
        <v>677.14462100000003</v>
      </c>
      <c r="AH36" s="583">
        <v>677.14462100000003</v>
      </c>
      <c r="AI36" s="583">
        <v>677.14462100000003</v>
      </c>
      <c r="AJ36" s="583">
        <v>677.14462100000003</v>
      </c>
      <c r="AK36" s="583">
        <v>677.14462100000003</v>
      </c>
      <c r="AL36" s="583">
        <v>677.14462100000003</v>
      </c>
      <c r="AM36" s="583">
        <v>677.14462100000003</v>
      </c>
      <c r="AN36" s="583">
        <v>677.14462100000003</v>
      </c>
      <c r="AO36" s="583">
        <v>677.14462100000003</v>
      </c>
      <c r="AP36" s="583">
        <v>677.14462100000003</v>
      </c>
      <c r="AQ36" s="583">
        <v>677.14462100000003</v>
      </c>
      <c r="AR36" s="795">
        <v>456.136233</v>
      </c>
      <c r="AS36" s="190">
        <f>SUM(AT36:BE36)</f>
        <v>7219.9387460000016</v>
      </c>
      <c r="AT36" s="583">
        <v>668.26682400000004</v>
      </c>
      <c r="AU36" s="583">
        <v>668.26682400000004</v>
      </c>
      <c r="AV36" s="583">
        <v>668.26682400000004</v>
      </c>
      <c r="AW36" s="583">
        <v>668.26682400000004</v>
      </c>
      <c r="AX36" s="583">
        <v>668.26682400000004</v>
      </c>
      <c r="AY36" s="583">
        <v>668.26682400000004</v>
      </c>
      <c r="AZ36" s="583">
        <v>668.26682400000004</v>
      </c>
      <c r="BA36" s="583">
        <v>668.26682400000004</v>
      </c>
      <c r="BB36" s="583">
        <v>668.26682400000004</v>
      </c>
      <c r="BC36" s="583">
        <v>668.26682400000004</v>
      </c>
      <c r="BD36" s="583">
        <v>668.26682400000004</v>
      </c>
      <c r="BE36" s="583">
        <v>-130.996318</v>
      </c>
      <c r="BF36" s="190">
        <f>SUM(BG36:BR36)</f>
        <v>8364.7090190000017</v>
      </c>
      <c r="BG36" s="583">
        <v>646.57751900000005</v>
      </c>
      <c r="BH36" s="583">
        <v>646.57751900000005</v>
      </c>
      <c r="BI36" s="583">
        <v>646.57751900000005</v>
      </c>
      <c r="BJ36" s="583">
        <v>646.57751900000005</v>
      </c>
      <c r="BK36" s="583">
        <v>646.57751900000005</v>
      </c>
      <c r="BL36" s="583">
        <v>646.57751900000005</v>
      </c>
      <c r="BM36" s="583">
        <v>646.57751900000005</v>
      </c>
      <c r="BN36" s="583">
        <v>646.57751900000005</v>
      </c>
      <c r="BO36" s="583">
        <v>646.57751900000005</v>
      </c>
      <c r="BP36" s="583">
        <v>646.57751900000005</v>
      </c>
      <c r="BQ36" s="583">
        <v>646.57751900000005</v>
      </c>
      <c r="BR36" s="2087">
        <v>1252.3563099999999</v>
      </c>
      <c r="BS36" s="190">
        <f>SUM(BT36:CE36)</f>
        <v>10263.998377999998</v>
      </c>
      <c r="BT36" s="3072">
        <v>743.62770699999999</v>
      </c>
      <c r="BU36" s="3072">
        <v>743.62770699999999</v>
      </c>
      <c r="BV36" s="3072">
        <v>743.62770699999999</v>
      </c>
      <c r="BW36" s="3072">
        <v>743.62770699999999</v>
      </c>
      <c r="BX36" s="3072">
        <v>743.62770699999999</v>
      </c>
      <c r="BY36" s="3072">
        <v>743.62770699999999</v>
      </c>
      <c r="BZ36" s="3072">
        <v>743.62770699999999</v>
      </c>
      <c r="CA36" s="3072">
        <v>743.62770699999999</v>
      </c>
      <c r="CB36" s="3072">
        <v>743.62770699999999</v>
      </c>
      <c r="CC36" s="3072">
        <v>743.62770699999999</v>
      </c>
      <c r="CD36" s="3072">
        <v>743.62770699999999</v>
      </c>
      <c r="CE36" s="3073">
        <v>2084.093601</v>
      </c>
      <c r="CF36" s="190">
        <f>SUM(CG36:CR36)</f>
        <v>11914</v>
      </c>
      <c r="CG36" s="2549">
        <v>729</v>
      </c>
      <c r="CH36" s="2549">
        <v>729</v>
      </c>
      <c r="CI36" s="2549">
        <v>729</v>
      </c>
      <c r="CJ36" s="2549">
        <v>729</v>
      </c>
      <c r="CK36" s="2549">
        <v>729</v>
      </c>
      <c r="CL36" s="2549">
        <v>729</v>
      </c>
      <c r="CM36" s="2549">
        <v>729</v>
      </c>
      <c r="CN36" s="2549">
        <v>729</v>
      </c>
      <c r="CO36" s="2549">
        <v>729</v>
      </c>
      <c r="CP36" s="2549">
        <v>729</v>
      </c>
      <c r="CQ36" s="2549">
        <v>729</v>
      </c>
      <c r="CR36" s="2550">
        <v>3895</v>
      </c>
    </row>
    <row r="37" spans="2:100">
      <c r="B37" s="3340" t="s">
        <v>38</v>
      </c>
      <c r="C37" s="3341"/>
      <c r="D37" s="3081" t="s">
        <v>34</v>
      </c>
      <c r="E37" s="168"/>
      <c r="F37" s="191">
        <f>F38+F43</f>
        <v>19718.81436</v>
      </c>
      <c r="G37" s="584">
        <v>1731.755899</v>
      </c>
      <c r="H37" s="596">
        <v>1489.2026679999999</v>
      </c>
      <c r="I37" s="596">
        <v>1540.7448790000001</v>
      </c>
      <c r="J37" s="596">
        <v>2014.325713</v>
      </c>
      <c r="K37" s="596">
        <v>1785.2702449999999</v>
      </c>
      <c r="L37" s="596">
        <v>1681.7368899999999</v>
      </c>
      <c r="M37" s="596">
        <v>1482.592809</v>
      </c>
      <c r="N37" s="596">
        <v>1392.0262600000001</v>
      </c>
      <c r="O37" s="661">
        <v>1732.8543649999999</v>
      </c>
      <c r="P37" s="661">
        <v>1331.2755810000001</v>
      </c>
      <c r="Q37" s="596">
        <v>1370.213119</v>
      </c>
      <c r="R37" s="661">
        <v>2166.815932</v>
      </c>
      <c r="S37" s="191">
        <f>S38+S43</f>
        <v>20731.250348000001</v>
      </c>
      <c r="T37" s="512">
        <v>1276.432143</v>
      </c>
      <c r="U37" s="512">
        <v>1384.005322</v>
      </c>
      <c r="V37" s="512">
        <v>1355.7025329999999</v>
      </c>
      <c r="W37" s="512">
        <v>1383.091222</v>
      </c>
      <c r="X37" s="512">
        <v>1541.4251790000001</v>
      </c>
      <c r="Y37" s="512">
        <v>2099.4008229999999</v>
      </c>
      <c r="Z37" s="512">
        <v>1570.296118</v>
      </c>
      <c r="AA37" s="512">
        <v>1725.6687589999999</v>
      </c>
      <c r="AB37" s="512">
        <v>2510.2104680000002</v>
      </c>
      <c r="AC37" s="512">
        <v>1376.5428589999999</v>
      </c>
      <c r="AD37" s="512">
        <v>1477.66876</v>
      </c>
      <c r="AE37" s="512">
        <v>3030.8061619999999</v>
      </c>
      <c r="AF37" s="191">
        <f>AF38+AF43</f>
        <v>26791.959715000001</v>
      </c>
      <c r="AG37" s="512">
        <v>1483.208466</v>
      </c>
      <c r="AH37" s="512">
        <v>1440.340273</v>
      </c>
      <c r="AI37" s="512">
        <v>2093.641392</v>
      </c>
      <c r="AJ37" s="512">
        <v>1906.1435730000001</v>
      </c>
      <c r="AK37" s="512">
        <v>2405.6773250000001</v>
      </c>
      <c r="AL37" s="512">
        <v>2577.1377459999999</v>
      </c>
      <c r="AM37" s="512">
        <v>2788.8522119999998</v>
      </c>
      <c r="AN37" s="512">
        <v>2269.6239129999999</v>
      </c>
      <c r="AO37" s="512">
        <v>3476.9122510000002</v>
      </c>
      <c r="AP37" s="512">
        <v>2227.380647</v>
      </c>
      <c r="AQ37" s="512">
        <v>1652.059557</v>
      </c>
      <c r="AR37" s="512">
        <v>2470.98236</v>
      </c>
      <c r="AS37" s="191">
        <f>AS38+AS43</f>
        <v>28324.855577000002</v>
      </c>
      <c r="AT37" s="583">
        <v>2151.5120740000002</v>
      </c>
      <c r="AU37" s="583">
        <v>1940.493577</v>
      </c>
      <c r="AV37" s="583">
        <v>2791.0483319999998</v>
      </c>
      <c r="AW37" s="583">
        <v>2659.1481079999999</v>
      </c>
      <c r="AX37" s="583">
        <v>2378.520156</v>
      </c>
      <c r="AY37" s="583">
        <v>2166.5763259999999</v>
      </c>
      <c r="AZ37" s="583">
        <v>2254.9829500000001</v>
      </c>
      <c r="BA37" s="583">
        <v>2017.6340419999999</v>
      </c>
      <c r="BB37" s="583">
        <v>3016.7000090000001</v>
      </c>
      <c r="BC37" s="583">
        <v>2021.5329630000001</v>
      </c>
      <c r="BD37" s="583">
        <v>2429.4685159999999</v>
      </c>
      <c r="BE37" s="583">
        <v>2497.2385239999999</v>
      </c>
      <c r="BF37" s="191">
        <f>BF38+BF43</f>
        <v>30103.897223</v>
      </c>
      <c r="BG37" s="583">
        <v>1671.152875</v>
      </c>
      <c r="BH37" s="583">
        <v>2642.0653659999998</v>
      </c>
      <c r="BI37" s="583">
        <v>2323.5422349999999</v>
      </c>
      <c r="BJ37" s="583">
        <v>2294.2253340000002</v>
      </c>
      <c r="BK37" s="583">
        <v>2207.0231319999998</v>
      </c>
      <c r="BL37" s="583">
        <v>2448.778421</v>
      </c>
      <c r="BM37" s="583">
        <v>2255.7873070000001</v>
      </c>
      <c r="BN37" s="583">
        <v>2703.7428150000001</v>
      </c>
      <c r="BO37" s="583">
        <v>3082.2892310000002</v>
      </c>
      <c r="BP37" s="583">
        <v>2567.6194869999999</v>
      </c>
      <c r="BQ37" s="583">
        <v>2362.2867230000002</v>
      </c>
      <c r="BR37" s="2087">
        <v>3545.3842970000001</v>
      </c>
      <c r="BS37" s="191">
        <f>BS38+BS43</f>
        <v>33976.063200000004</v>
      </c>
      <c r="BT37" s="3072">
        <v>2119.9558240000001</v>
      </c>
      <c r="BU37" s="3072">
        <v>1860.378584</v>
      </c>
      <c r="BV37" s="3072">
        <v>2792.8682130000002</v>
      </c>
      <c r="BW37" s="3072">
        <v>2584.702358</v>
      </c>
      <c r="BX37" s="3072">
        <v>2536.1255160000001</v>
      </c>
      <c r="BY37" s="3072">
        <v>4013.8687690000002</v>
      </c>
      <c r="BZ37" s="3072">
        <v>2992.8870860000002</v>
      </c>
      <c r="CA37" s="3072">
        <v>3387.0169850000002</v>
      </c>
      <c r="CB37" s="3072">
        <v>3258.3244460000001</v>
      </c>
      <c r="CC37" s="3072">
        <v>2594.2441429999999</v>
      </c>
      <c r="CD37" s="3072">
        <v>2365.094004</v>
      </c>
      <c r="CE37" s="3073">
        <v>3470.597272</v>
      </c>
      <c r="CF37" s="191">
        <f>CF38+CF43</f>
        <v>34406.548819023214</v>
      </c>
      <c r="CG37" s="2549">
        <f t="shared" ref="CG37:CL37" si="110">CG38+CG43</f>
        <v>2483.6680236507264</v>
      </c>
      <c r="CH37" s="2549">
        <f t="shared" si="110"/>
        <v>2654.4943934769253</v>
      </c>
      <c r="CI37" s="2549">
        <f t="shared" si="110"/>
        <v>2583.7795828576891</v>
      </c>
      <c r="CJ37" s="2549">
        <f t="shared" si="110"/>
        <v>2731.5078366839361</v>
      </c>
      <c r="CK37" s="2549">
        <f t="shared" si="110"/>
        <v>2587.619337386288</v>
      </c>
      <c r="CL37" s="2549">
        <f t="shared" si="110"/>
        <v>3759.6770263151006</v>
      </c>
      <c r="CM37" s="2549">
        <f>CM38+CM43</f>
        <v>2660.4304708095324</v>
      </c>
      <c r="CN37" s="2549">
        <f t="shared" ref="CN37" si="111">CN38+CN43</f>
        <v>3039.0646691030588</v>
      </c>
      <c r="CO37" s="2549">
        <f t="shared" ref="CO37" si="112">CO38+CO43</f>
        <v>2681.6836336962588</v>
      </c>
      <c r="CP37" s="2549">
        <f t="shared" ref="CP37" si="113">CP38+CP43</f>
        <v>2979.8702452733178</v>
      </c>
      <c r="CQ37" s="2549">
        <f t="shared" ref="CQ37" si="114">CQ38+CQ43</f>
        <v>2799.7546339930341</v>
      </c>
      <c r="CR37" s="2550">
        <f t="shared" ref="CR37" si="115">CR38+CR43</f>
        <v>3444.9989657773481</v>
      </c>
      <c r="CT37" s="2949"/>
    </row>
    <row r="38" spans="2:100">
      <c r="B38" s="3332"/>
      <c r="C38" s="3333"/>
      <c r="D38" s="1916" t="s">
        <v>39</v>
      </c>
      <c r="E38" s="169"/>
      <c r="F38" s="184">
        <f t="shared" ref="F38:F43" si="116">SUM(G38:R38)</f>
        <v>7174.7177130000009</v>
      </c>
      <c r="G38" s="467">
        <f t="shared" ref="G38:L38" si="117">SUM(G39:G41)</f>
        <v>597.23519699999997</v>
      </c>
      <c r="H38" s="467">
        <f t="shared" si="117"/>
        <v>572.04041300000006</v>
      </c>
      <c r="I38" s="467">
        <f t="shared" si="117"/>
        <v>647.81010800000001</v>
      </c>
      <c r="J38" s="467">
        <f t="shared" si="117"/>
        <v>826.28254200000003</v>
      </c>
      <c r="K38" s="467">
        <f t="shared" si="117"/>
        <v>717.63917300000003</v>
      </c>
      <c r="L38" s="467">
        <f t="shared" si="117"/>
        <v>708.79784300000006</v>
      </c>
      <c r="M38" s="467">
        <v>590.47767999999996</v>
      </c>
      <c r="N38" s="467">
        <v>500.47837399999997</v>
      </c>
      <c r="O38" s="467">
        <v>624.02338800000007</v>
      </c>
      <c r="P38" s="467">
        <v>519.64569700000004</v>
      </c>
      <c r="Q38" s="467">
        <f t="shared" ref="Q38:R38" si="118">SUM(Q39:Q41)</f>
        <v>478.22049700000002</v>
      </c>
      <c r="R38" s="467">
        <f t="shared" si="118"/>
        <v>392.066801</v>
      </c>
      <c r="S38" s="184">
        <f t="shared" ref="S38:S43" si="119">SUM(T38:AE38)</f>
        <v>7738.9237499999999</v>
      </c>
      <c r="T38" s="467">
        <f t="shared" ref="T38:U38" si="120">SUM(T39:T41)</f>
        <v>467.60352399999994</v>
      </c>
      <c r="U38" s="467">
        <f t="shared" si="120"/>
        <v>417.55637099999996</v>
      </c>
      <c r="V38" s="467">
        <f t="shared" ref="V38:AD38" si="121">SUM(V39:V41)</f>
        <v>414.64533300000005</v>
      </c>
      <c r="W38" s="467">
        <f t="shared" si="121"/>
        <v>620.72882900000013</v>
      </c>
      <c r="X38" s="467">
        <f t="shared" si="121"/>
        <v>685.59812699999998</v>
      </c>
      <c r="Y38" s="467">
        <f t="shared" si="121"/>
        <v>667.73687400000006</v>
      </c>
      <c r="Z38" s="467">
        <f t="shared" si="121"/>
        <v>771.24363400000004</v>
      </c>
      <c r="AA38" s="467">
        <f t="shared" si="121"/>
        <v>742.26040499999999</v>
      </c>
      <c r="AB38" s="467">
        <f t="shared" si="121"/>
        <v>978.43541700000003</v>
      </c>
      <c r="AC38" s="467">
        <f t="shared" si="121"/>
        <v>586.39604199999997</v>
      </c>
      <c r="AD38" s="467">
        <f t="shared" si="121"/>
        <v>662.74596799999995</v>
      </c>
      <c r="AE38" s="467">
        <f t="shared" ref="AE38" si="122">SUM(AE39:AE41)</f>
        <v>723.97322600000007</v>
      </c>
      <c r="AF38" s="764">
        <f t="shared" ref="AF38:AF43" si="123">SUM(AG38:AR38)</f>
        <v>14519.231306000001</v>
      </c>
      <c r="AG38" s="467">
        <f t="shared" ref="AG38:AR38" si="124">SUM(AG39:AG41)</f>
        <v>657.39927599999987</v>
      </c>
      <c r="AH38" s="467">
        <f t="shared" si="124"/>
        <v>605.56447800000001</v>
      </c>
      <c r="AI38" s="467">
        <f t="shared" si="124"/>
        <v>1128.9830750000001</v>
      </c>
      <c r="AJ38" s="467">
        <f t="shared" si="124"/>
        <v>1189.571596</v>
      </c>
      <c r="AK38" s="467">
        <f t="shared" si="124"/>
        <v>1331.2364810000001</v>
      </c>
      <c r="AL38" s="467">
        <f t="shared" si="124"/>
        <v>1698.7965540000002</v>
      </c>
      <c r="AM38" s="467">
        <f t="shared" si="124"/>
        <v>2010.8515689999999</v>
      </c>
      <c r="AN38" s="467">
        <f t="shared" si="124"/>
        <v>1204.2265910000001</v>
      </c>
      <c r="AO38" s="467">
        <f t="shared" si="124"/>
        <v>2036.8213499999999</v>
      </c>
      <c r="AP38" s="467">
        <f t="shared" si="124"/>
        <v>1431.507372</v>
      </c>
      <c r="AQ38" s="467">
        <f t="shared" si="124"/>
        <v>790.19805700000006</v>
      </c>
      <c r="AR38" s="793">
        <f t="shared" si="124"/>
        <v>434.07490699999994</v>
      </c>
      <c r="AS38" s="764">
        <f t="shared" ref="AS38:AS43" si="125">SUM(AT38:BE38)</f>
        <v>14479.622617000001</v>
      </c>
      <c r="AT38" s="467">
        <f t="shared" ref="AT38:BE38" si="126">SUM(AT39:AT41)</f>
        <v>1293.7913019999999</v>
      </c>
      <c r="AU38" s="467">
        <f t="shared" si="126"/>
        <v>1086.6855149999999</v>
      </c>
      <c r="AV38" s="467">
        <f t="shared" si="126"/>
        <v>1828.0156350000002</v>
      </c>
      <c r="AW38" s="467">
        <f t="shared" si="126"/>
        <v>1466.340111</v>
      </c>
      <c r="AX38" s="467">
        <f t="shared" si="126"/>
        <v>1072.1816200000001</v>
      </c>
      <c r="AY38" s="467">
        <f t="shared" si="126"/>
        <v>1155.7472699999998</v>
      </c>
      <c r="AZ38" s="467">
        <f t="shared" si="126"/>
        <v>1123.0438839999999</v>
      </c>
      <c r="BA38" s="467">
        <f t="shared" si="126"/>
        <v>836.03743300000008</v>
      </c>
      <c r="BB38" s="467">
        <f t="shared" si="126"/>
        <v>1622.810716</v>
      </c>
      <c r="BC38" s="467">
        <f t="shared" si="126"/>
        <v>1013.7635369999999</v>
      </c>
      <c r="BD38" s="467">
        <f t="shared" si="126"/>
        <v>1354.4251859999999</v>
      </c>
      <c r="BE38" s="793">
        <f t="shared" si="126"/>
        <v>626.78040799999997</v>
      </c>
      <c r="BF38" s="764">
        <f t="shared" ref="BF38:BF42" si="127">SUM(BG38:BR38)</f>
        <v>15029.766818999999</v>
      </c>
      <c r="BG38" s="467">
        <f t="shared" ref="BG38:BR38" si="128">SUM(BG39:BG41)</f>
        <v>753.21794199999999</v>
      </c>
      <c r="BH38" s="467">
        <f t="shared" si="128"/>
        <v>1445.4307530000001</v>
      </c>
      <c r="BI38" s="467">
        <f t="shared" si="128"/>
        <v>1252.466087</v>
      </c>
      <c r="BJ38" s="467">
        <f t="shared" si="128"/>
        <v>1060.196972</v>
      </c>
      <c r="BK38" s="467">
        <f t="shared" si="128"/>
        <v>1155.188118</v>
      </c>
      <c r="BL38" s="467">
        <f t="shared" si="128"/>
        <v>1293.6837989999999</v>
      </c>
      <c r="BM38" s="467">
        <f t="shared" si="128"/>
        <v>1187.5371250000001</v>
      </c>
      <c r="BN38" s="467">
        <f t="shared" si="128"/>
        <v>1528.501814</v>
      </c>
      <c r="BO38" s="467">
        <f t="shared" si="128"/>
        <v>1647.4593799999998</v>
      </c>
      <c r="BP38" s="467">
        <f t="shared" si="128"/>
        <v>1430.1254249999997</v>
      </c>
      <c r="BQ38" s="467">
        <f t="shared" si="128"/>
        <v>1221.3800549999999</v>
      </c>
      <c r="BR38" s="2079">
        <f t="shared" si="128"/>
        <v>1054.5793490000001</v>
      </c>
      <c r="BS38" s="2056">
        <f t="shared" ref="BS38:BS43" si="129">SUM(BT38:CE38)</f>
        <v>16613.257794999998</v>
      </c>
      <c r="BT38" s="2216">
        <f t="shared" ref="BT38:CE38" si="130">SUM(BT39:BT41)</f>
        <v>964.99582499999997</v>
      </c>
      <c r="BU38" s="2216">
        <f t="shared" si="130"/>
        <v>637.96055699999999</v>
      </c>
      <c r="BV38" s="2216">
        <f t="shared" si="130"/>
        <v>1564.11905</v>
      </c>
      <c r="BW38" s="2216">
        <f t="shared" si="130"/>
        <v>1239.6531399999999</v>
      </c>
      <c r="BX38" s="2216">
        <f t="shared" si="130"/>
        <v>1304.6445009999998</v>
      </c>
      <c r="BY38" s="2216">
        <f t="shared" si="130"/>
        <v>1680.699167</v>
      </c>
      <c r="BZ38" s="2216">
        <f t="shared" si="130"/>
        <v>1878.5259939999999</v>
      </c>
      <c r="CA38" s="2216">
        <f t="shared" si="130"/>
        <v>2130.0872159999999</v>
      </c>
      <c r="CB38" s="2216">
        <f t="shared" si="130"/>
        <v>1466.9675109999998</v>
      </c>
      <c r="CC38" s="2216">
        <f t="shared" si="130"/>
        <v>1511.5384939999999</v>
      </c>
      <c r="CD38" s="2216">
        <f t="shared" si="130"/>
        <v>1245.23404</v>
      </c>
      <c r="CE38" s="3062">
        <f t="shared" si="130"/>
        <v>988.83230000000003</v>
      </c>
      <c r="CF38" s="2056">
        <f>SUM(CG38:CR38)</f>
        <v>16922.448948599176</v>
      </c>
      <c r="CG38" s="127">
        <f t="shared" ref="CG38:CR38" si="131">SUM(CG39:CG41)</f>
        <v>1215.2061155907377</v>
      </c>
      <c r="CH38" s="127">
        <f t="shared" si="131"/>
        <v>1390.5955834971076</v>
      </c>
      <c r="CI38" s="127">
        <f t="shared" si="131"/>
        <v>1321.6663329961989</v>
      </c>
      <c r="CJ38" s="127">
        <f t="shared" si="131"/>
        <v>1471.4579007369575</v>
      </c>
      <c r="CK38" s="127">
        <f t="shared" si="131"/>
        <v>1322.5698331079921</v>
      </c>
      <c r="CL38" s="127">
        <f t="shared" si="131"/>
        <v>1373.4281428940808</v>
      </c>
      <c r="CM38" s="127">
        <f t="shared" si="131"/>
        <v>1385.1834342998984</v>
      </c>
      <c r="CN38" s="127">
        <f t="shared" si="131"/>
        <v>1763.381162342278</v>
      </c>
      <c r="CO38" s="127">
        <f t="shared" si="131"/>
        <v>1401.0005586041605</v>
      </c>
      <c r="CP38" s="127">
        <f t="shared" si="131"/>
        <v>1703.3137980102431</v>
      </c>
      <c r="CQ38" s="127">
        <f t="shared" si="131"/>
        <v>1527.3248145589832</v>
      </c>
      <c r="CR38" s="2546">
        <f t="shared" si="131"/>
        <v>1047.3212719605353</v>
      </c>
      <c r="CT38" s="2949"/>
    </row>
    <row r="39" spans="2:100">
      <c r="B39" s="3332"/>
      <c r="C39" s="3333"/>
      <c r="D39" s="180" t="s">
        <v>215</v>
      </c>
      <c r="E39" s="170"/>
      <c r="F39" s="182">
        <f t="shared" si="116"/>
        <v>5884.0720479999991</v>
      </c>
      <c r="G39" s="464">
        <v>435.52599300000003</v>
      </c>
      <c r="H39" s="464">
        <f>무선!G302</f>
        <v>426.40085699999997</v>
      </c>
      <c r="I39" s="464">
        <f>무선!H302</f>
        <v>521.54698599999995</v>
      </c>
      <c r="J39" s="464">
        <f>무선!I302</f>
        <v>701.76793299999997</v>
      </c>
      <c r="K39" s="464">
        <f>무선!J302</f>
        <v>621.69386899999995</v>
      </c>
      <c r="L39" s="464">
        <v>614.25737200000003</v>
      </c>
      <c r="M39" s="464">
        <v>475.605368</v>
      </c>
      <c r="N39" s="464">
        <v>405.79654199999999</v>
      </c>
      <c r="O39" s="492">
        <v>556.77699400000006</v>
      </c>
      <c r="P39" s="492">
        <v>431.52413300000001</v>
      </c>
      <c r="Q39" s="492">
        <f>무선!P302</f>
        <v>389.35966200000001</v>
      </c>
      <c r="R39" s="492">
        <f>무선!Q302</f>
        <v>303.81633900000003</v>
      </c>
      <c r="S39" s="182">
        <f t="shared" si="119"/>
        <v>6755.8932139999997</v>
      </c>
      <c r="T39" s="492">
        <f>무선!S302</f>
        <v>380.55591899999996</v>
      </c>
      <c r="U39" s="492">
        <f>무선!T302</f>
        <v>325.20659999999998</v>
      </c>
      <c r="V39" s="492">
        <f>무선!U302</f>
        <v>363.24150500000002</v>
      </c>
      <c r="W39" s="492">
        <f>무선!V302</f>
        <v>552.73728100000005</v>
      </c>
      <c r="X39" s="492">
        <f>무선!W302</f>
        <v>616.74150999999995</v>
      </c>
      <c r="Y39" s="492">
        <f>무선!X302</f>
        <v>613.26565000000005</v>
      </c>
      <c r="Z39" s="492">
        <f>무선!Y302</f>
        <v>645.06975</v>
      </c>
      <c r="AA39" s="492">
        <f>무선!Z302</f>
        <v>616.08365000000003</v>
      </c>
      <c r="AB39" s="492">
        <f>무선!AA302</f>
        <v>876.60555399999998</v>
      </c>
      <c r="AC39" s="492">
        <f>무선!AB302</f>
        <v>522.40835200000004</v>
      </c>
      <c r="AD39" s="492">
        <f>무선!AC302</f>
        <v>610.40126399999997</v>
      </c>
      <c r="AE39" s="492">
        <f>무선!AD302</f>
        <v>633.57617900000002</v>
      </c>
      <c r="AF39" s="765">
        <f t="shared" si="123"/>
        <v>11796.152095000001</v>
      </c>
      <c r="AG39" s="492">
        <f>무선!AF302</f>
        <v>567.45745599999998</v>
      </c>
      <c r="AH39" s="492">
        <f>무선!AG302</f>
        <v>515.42534499999999</v>
      </c>
      <c r="AI39" s="492">
        <f>무선!AH302</f>
        <v>1058.0866639999999</v>
      </c>
      <c r="AJ39" s="492">
        <f>무선!AI302</f>
        <v>1049.880529</v>
      </c>
      <c r="AK39" s="492">
        <f>무선!AJ302</f>
        <v>1241.4668610000001</v>
      </c>
      <c r="AL39" s="492">
        <f>무선!AK302</f>
        <v>1371.0336540000001</v>
      </c>
      <c r="AM39" s="492">
        <f>무선!AL302</f>
        <v>1613.7209089999999</v>
      </c>
      <c r="AN39" s="492">
        <f>무선!AM302</f>
        <v>868.83789100000001</v>
      </c>
      <c r="AO39" s="492">
        <f>무선!AN302</f>
        <v>1699.027685</v>
      </c>
      <c r="AP39" s="492">
        <f>무선!AO302</f>
        <v>979.56127200000003</v>
      </c>
      <c r="AQ39" s="492">
        <f>무선!AP302</f>
        <v>566.618337</v>
      </c>
      <c r="AR39" s="492">
        <f>무선!AQ302</f>
        <v>265.03549199999998</v>
      </c>
      <c r="AS39" s="765">
        <f t="shared" si="125"/>
        <v>9522.1610309999996</v>
      </c>
      <c r="AT39" s="492">
        <f>무선!AS302</f>
        <v>894.35637699999995</v>
      </c>
      <c r="AU39" s="492">
        <f>무선!AT302</f>
        <v>722.54252099999997</v>
      </c>
      <c r="AV39" s="492">
        <f>무선!AU302</f>
        <v>1386.7640490000001</v>
      </c>
      <c r="AW39" s="492">
        <f>무선!AV302</f>
        <v>841.61015399999997</v>
      </c>
      <c r="AX39" s="492">
        <f>무선!AW302</f>
        <v>642.30378199999996</v>
      </c>
      <c r="AY39" s="492">
        <f>무선!AX302</f>
        <v>703.61024599999996</v>
      </c>
      <c r="AZ39" s="492">
        <f>무선!AY302</f>
        <v>741.96846900000003</v>
      </c>
      <c r="BA39" s="492">
        <f>무선!AZ302</f>
        <v>474.10720400000002</v>
      </c>
      <c r="BB39" s="492">
        <f>무선!BA302</f>
        <v>1300.607105</v>
      </c>
      <c r="BC39" s="492">
        <f>무선!BB302</f>
        <v>474.95743299999998</v>
      </c>
      <c r="BD39" s="492">
        <f>무선!BC302</f>
        <v>962.14594799999998</v>
      </c>
      <c r="BE39" s="492">
        <f>무선!BD302</f>
        <v>377.18774300000001</v>
      </c>
      <c r="BF39" s="765">
        <f t="shared" si="127"/>
        <v>9786.235369</v>
      </c>
      <c r="BG39" s="492">
        <f>무선!BF302</f>
        <v>397.40835399999997</v>
      </c>
      <c r="BH39" s="492">
        <f>무선!BG302</f>
        <v>1156.365354</v>
      </c>
      <c r="BI39" s="492">
        <f>무선!BH302</f>
        <v>724</v>
      </c>
      <c r="BJ39" s="492">
        <f>무선!BI302</f>
        <v>669.32741399999998</v>
      </c>
      <c r="BK39" s="492">
        <f>무선!BJ302</f>
        <v>701.15020500000003</v>
      </c>
      <c r="BL39" s="492">
        <f>무선!BK302</f>
        <v>813.43676500000004</v>
      </c>
      <c r="BM39" s="492">
        <f>무선!BL302</f>
        <v>719.056422</v>
      </c>
      <c r="BN39" s="492">
        <f>무선!BM302</f>
        <v>1109.553549</v>
      </c>
      <c r="BO39" s="492">
        <f>무선!BN302</f>
        <v>907.52840000000003</v>
      </c>
      <c r="BP39" s="492">
        <f>무선!BO302</f>
        <v>914.14623099999994</v>
      </c>
      <c r="BQ39" s="492">
        <f>무선!BP302</f>
        <v>879.14798499999995</v>
      </c>
      <c r="BR39" s="2077">
        <f>무선!BQ302</f>
        <v>795.11469</v>
      </c>
      <c r="BS39" s="2057">
        <f t="shared" si="129"/>
        <v>10907.42411</v>
      </c>
      <c r="BT39" s="3059">
        <v>570.53432799999996</v>
      </c>
      <c r="BU39" s="3059">
        <v>305.70509099999998</v>
      </c>
      <c r="BV39" s="3059">
        <v>1434.10925</v>
      </c>
      <c r="BW39" s="3059">
        <v>670.39388699999995</v>
      </c>
      <c r="BX39" s="3059">
        <v>890.51888799999995</v>
      </c>
      <c r="BY39" s="3059">
        <v>1133.465766</v>
      </c>
      <c r="BZ39" s="3059">
        <v>931.72919100000001</v>
      </c>
      <c r="CA39" s="3059">
        <v>1633.0621309999999</v>
      </c>
      <c r="CB39" s="3059">
        <v>830.68424200000004</v>
      </c>
      <c r="CC39" s="3059">
        <v>1122.3625569999999</v>
      </c>
      <c r="CD39" s="3059">
        <v>770.98422800000003</v>
      </c>
      <c r="CE39" s="3059">
        <v>613.874551</v>
      </c>
      <c r="CF39" s="2057">
        <f t="shared" ref="CF39:CF42" si="132">SUM(CG39:CR39)</f>
        <v>11577.8991495469</v>
      </c>
      <c r="CG39" s="2552">
        <f>무선!CF302</f>
        <v>853.28070082253998</v>
      </c>
      <c r="CH39" s="2552">
        <f>무선!CG302</f>
        <v>1005.9852893395248</v>
      </c>
      <c r="CI39" s="2552">
        <f>무선!CH302</f>
        <v>818.88525341572199</v>
      </c>
      <c r="CJ39" s="2552">
        <f>무선!CI302</f>
        <v>1086.8476065793748</v>
      </c>
      <c r="CK39" s="2552">
        <f>무선!CJ302</f>
        <v>872.31526312091421</v>
      </c>
      <c r="CL39" s="2552">
        <f>무선!CK302</f>
        <v>871.33173177545655</v>
      </c>
      <c r="CM39" s="2552">
        <f>무선!CL302</f>
        <v>911.37656103902509</v>
      </c>
      <c r="CN39" s="2552">
        <f>무선!CM302</f>
        <v>1261.2847512236538</v>
      </c>
      <c r="CO39" s="2552">
        <f>무선!CN302</f>
        <v>950.74598861708262</v>
      </c>
      <c r="CP39" s="2552">
        <f>무선!CO302</f>
        <v>1271.7090570682437</v>
      </c>
      <c r="CQ39" s="2552">
        <f>무선!CP302</f>
        <v>1077.0702445719055</v>
      </c>
      <c r="CR39" s="2552">
        <f>무선!CQ302</f>
        <v>597.0667019734575</v>
      </c>
      <c r="CS39" s="750"/>
      <c r="CT39" s="2949"/>
    </row>
    <row r="40" spans="2:100">
      <c r="B40" s="3332"/>
      <c r="C40" s="3333"/>
      <c r="D40" s="180" t="s">
        <v>216</v>
      </c>
      <c r="E40" s="170"/>
      <c r="F40" s="182">
        <f t="shared" si="116"/>
        <v>1079.1700860000001</v>
      </c>
      <c r="G40" s="464">
        <v>133.99297200000001</v>
      </c>
      <c r="H40" s="464">
        <f>유선!G66</f>
        <v>130.95562000000001</v>
      </c>
      <c r="I40" s="464">
        <f>유선!H66</f>
        <v>109.18212200000001</v>
      </c>
      <c r="J40" s="464">
        <f>유선!I66</f>
        <v>107.433609</v>
      </c>
      <c r="K40" s="464">
        <f>유선!J66</f>
        <v>79.319048000000009</v>
      </c>
      <c r="L40" s="464">
        <v>80.919223000000002</v>
      </c>
      <c r="M40" s="464">
        <v>98.246055999999996</v>
      </c>
      <c r="N40" s="464">
        <v>72.710359999999994</v>
      </c>
      <c r="O40" s="492">
        <v>51.260382</v>
      </c>
      <c r="P40" s="492">
        <v>66.908325000000005</v>
      </c>
      <c r="Q40" s="492">
        <f>유선!P66</f>
        <v>72.827218999999999</v>
      </c>
      <c r="R40" s="492">
        <f>유선!Q66</f>
        <v>75.415149999999997</v>
      </c>
      <c r="S40" s="182">
        <f t="shared" si="119"/>
        <v>886.81103399999995</v>
      </c>
      <c r="T40" s="492">
        <f>유선!S66</f>
        <v>76.998693000000003</v>
      </c>
      <c r="U40" s="492">
        <f>유선!T66</f>
        <v>78.399771000000001</v>
      </c>
      <c r="V40" s="492">
        <f>유선!U66</f>
        <v>38.564182000000002</v>
      </c>
      <c r="W40" s="492">
        <f>유선!V66</f>
        <v>58.113052000000003</v>
      </c>
      <c r="X40" s="492">
        <f>유선!W66</f>
        <v>54.746617000000001</v>
      </c>
      <c r="Y40" s="492">
        <f>유선!X66</f>
        <v>51.356360000000002</v>
      </c>
      <c r="Z40" s="492">
        <f>유선!Y66</f>
        <v>117.206588</v>
      </c>
      <c r="AA40" s="492">
        <f>유선!Z66</f>
        <v>116.229523</v>
      </c>
      <c r="AB40" s="492">
        <f>유선!AA66</f>
        <v>96.566806999999997</v>
      </c>
      <c r="AC40" s="492">
        <f>유선!AB66</f>
        <v>62.307690000000001</v>
      </c>
      <c r="AD40" s="492">
        <f>유선!AC66</f>
        <v>51.244703999999999</v>
      </c>
      <c r="AE40" s="492">
        <f>유선!AD66</f>
        <v>85.077046999999993</v>
      </c>
      <c r="AF40" s="765">
        <f t="shared" si="123"/>
        <v>2564.5152910000002</v>
      </c>
      <c r="AG40" s="492">
        <f>유선!AF66</f>
        <v>87.891819999999996</v>
      </c>
      <c r="AH40" s="492">
        <f>유선!AG66</f>
        <v>86.229133000000004</v>
      </c>
      <c r="AI40" s="492">
        <f>유선!AH66</f>
        <v>66.986411000000004</v>
      </c>
      <c r="AJ40" s="492">
        <f>유선!AI66</f>
        <v>130.107867</v>
      </c>
      <c r="AK40" s="492">
        <f>유선!AJ66</f>
        <v>77.707499999999996</v>
      </c>
      <c r="AL40" s="492">
        <f>유선!AK66</f>
        <v>306.54950000000002</v>
      </c>
      <c r="AM40" s="492">
        <f>유선!AL66</f>
        <v>380.72050000000002</v>
      </c>
      <c r="AN40" s="492">
        <f>유선!AM66</f>
        <v>321.64510000000001</v>
      </c>
      <c r="AO40" s="492">
        <f>유선!AN66</f>
        <v>319.61354499999999</v>
      </c>
      <c r="AP40" s="492">
        <f>유선!AO66</f>
        <v>434.7235</v>
      </c>
      <c r="AQ40" s="492">
        <f>유선!AP66</f>
        <v>200.05099999999999</v>
      </c>
      <c r="AR40" s="492">
        <f>유선!AQ66</f>
        <v>152.28941499999999</v>
      </c>
      <c r="AS40" s="765">
        <f t="shared" si="125"/>
        <v>4763.7031859999997</v>
      </c>
      <c r="AT40" s="492">
        <f>유선!AS66</f>
        <v>381.65032500000001</v>
      </c>
      <c r="AU40" s="492">
        <f>유선!AT66</f>
        <v>340.72799400000002</v>
      </c>
      <c r="AV40" s="492">
        <f>유선!AU66</f>
        <v>433.423586</v>
      </c>
      <c r="AW40" s="492">
        <f>유선!AV66</f>
        <v>599.34695699999997</v>
      </c>
      <c r="AX40" s="492">
        <f>유선!AW66</f>
        <v>403.55283800000001</v>
      </c>
      <c r="AY40" s="492">
        <f>유선!AX66</f>
        <v>444.91202399999997</v>
      </c>
      <c r="AZ40" s="492">
        <f>유선!AY66</f>
        <v>367.76541500000002</v>
      </c>
      <c r="BA40" s="492">
        <f>유선!AZ66</f>
        <v>355.771929</v>
      </c>
      <c r="BB40" s="492">
        <f>유선!BA66</f>
        <v>308.596611</v>
      </c>
      <c r="BC40" s="492">
        <f>유선!BB66</f>
        <v>526.50760400000001</v>
      </c>
      <c r="BD40" s="492">
        <f>유선!BC66</f>
        <v>367.07373799999999</v>
      </c>
      <c r="BE40" s="492">
        <f>유선!BD66</f>
        <v>234.374165</v>
      </c>
      <c r="BF40" s="765">
        <f t="shared" si="127"/>
        <v>5016.5058500000005</v>
      </c>
      <c r="BG40" s="492">
        <f>유선!BF66</f>
        <v>353.69458800000001</v>
      </c>
      <c r="BH40" s="492">
        <f>유선!BG66</f>
        <v>282.56479899999999</v>
      </c>
      <c r="BI40" s="492">
        <f>유선!BH66</f>
        <v>523.79608699999994</v>
      </c>
      <c r="BJ40" s="492">
        <f>유선!BI66</f>
        <v>388.06455799999998</v>
      </c>
      <c r="BK40" s="492">
        <f>유선!BJ66</f>
        <v>449.74791299999998</v>
      </c>
      <c r="BL40" s="492">
        <f>유선!BK66</f>
        <v>472.56203399999998</v>
      </c>
      <c r="BM40" s="492">
        <f>유선!BL66</f>
        <v>450.02070300000003</v>
      </c>
      <c r="BN40" s="492">
        <f>유선!BM66</f>
        <v>383.46826499999997</v>
      </c>
      <c r="BO40" s="492">
        <f>유선!BN66</f>
        <v>703.45597999999995</v>
      </c>
      <c r="BP40" s="492">
        <f>유선!BO66</f>
        <v>483.50419399999998</v>
      </c>
      <c r="BQ40" s="492">
        <f>유선!BP66</f>
        <v>306.62207000000001</v>
      </c>
      <c r="BR40" s="2077">
        <f>유선!BQ66</f>
        <v>219.004659</v>
      </c>
      <c r="BS40" s="2057">
        <f t="shared" si="129"/>
        <v>5206.1695749999999</v>
      </c>
      <c r="BT40" s="3059">
        <v>359.49649699999998</v>
      </c>
      <c r="BU40" s="3059">
        <v>305.03546599999999</v>
      </c>
      <c r="BV40" s="3059">
        <v>94.739800000000002</v>
      </c>
      <c r="BW40" s="3059">
        <v>522.45925299999999</v>
      </c>
      <c r="BX40" s="3059">
        <v>370.02561300000002</v>
      </c>
      <c r="BY40" s="3059">
        <v>501.69340099999999</v>
      </c>
      <c r="BZ40" s="3059">
        <v>902.82280300000002</v>
      </c>
      <c r="CA40" s="3059">
        <v>453.27737500000001</v>
      </c>
      <c r="CB40" s="3059">
        <v>594.84826899999996</v>
      </c>
      <c r="CC40" s="3059">
        <v>345.95853699999998</v>
      </c>
      <c r="CD40" s="3059">
        <v>427.04981199999997</v>
      </c>
      <c r="CE40" s="3059">
        <v>328.76274899999999</v>
      </c>
      <c r="CF40" s="2057">
        <f t="shared" si="132"/>
        <v>4676.7597990522727</v>
      </c>
      <c r="CG40" s="2552">
        <f>유선!CF66</f>
        <v>306.276248101531</v>
      </c>
      <c r="CH40" s="2552">
        <f>유선!CG66</f>
        <v>328.96112749091611</v>
      </c>
      <c r="CI40" s="2552">
        <f>유선!CH66</f>
        <v>447.13191291381037</v>
      </c>
      <c r="CJ40" s="2552">
        <f>유선!CI66</f>
        <v>328.96112749091611</v>
      </c>
      <c r="CK40" s="2552">
        <f>유선!CJ66</f>
        <v>394.6054033204112</v>
      </c>
      <c r="CL40" s="2552">
        <f>유선!CK66</f>
        <v>446.44724445195754</v>
      </c>
      <c r="CM40" s="2552">
        <f>유선!CL66</f>
        <v>418.15770659420667</v>
      </c>
      <c r="CN40" s="2552">
        <f>유선!CM66</f>
        <v>446.44724445195754</v>
      </c>
      <c r="CO40" s="2552">
        <f>유선!CN66</f>
        <v>394.6054033204112</v>
      </c>
      <c r="CP40" s="2552">
        <f>유선!CO66</f>
        <v>375.95557427533271</v>
      </c>
      <c r="CQ40" s="2552">
        <f>유선!CP66</f>
        <v>394.6054033204112</v>
      </c>
      <c r="CR40" s="2552">
        <f>유선!CQ66</f>
        <v>394.6054033204112</v>
      </c>
      <c r="CT40" s="2949"/>
      <c r="CV40" s="750"/>
    </row>
    <row r="41" spans="2:100">
      <c r="B41" s="3332"/>
      <c r="C41" s="3333"/>
      <c r="D41" s="180" t="s">
        <v>217</v>
      </c>
      <c r="E41" s="170"/>
      <c r="F41" s="182">
        <f t="shared" si="116"/>
        <v>211.47557899999995</v>
      </c>
      <c r="G41" s="464">
        <v>27.716232000000002</v>
      </c>
      <c r="H41" s="464">
        <v>14.683935999999999</v>
      </c>
      <c r="I41" s="464">
        <v>17.081</v>
      </c>
      <c r="J41" s="464">
        <v>17.081</v>
      </c>
      <c r="K41" s="464">
        <v>16.626255999999998</v>
      </c>
      <c r="L41" s="464">
        <v>13.621248</v>
      </c>
      <c r="M41" s="464">
        <v>16.626255999999998</v>
      </c>
      <c r="N41" s="464">
        <v>21.971471999999999</v>
      </c>
      <c r="O41" s="492">
        <v>15.986011999999999</v>
      </c>
      <c r="P41" s="492">
        <v>21.213238999999998</v>
      </c>
      <c r="Q41" s="464">
        <v>16.033616000000002</v>
      </c>
      <c r="R41" s="492">
        <v>12.835312</v>
      </c>
      <c r="S41" s="182">
        <f t="shared" si="119"/>
        <v>96.219502000000006</v>
      </c>
      <c r="T41" s="492">
        <v>10.048912</v>
      </c>
      <c r="U41" s="492">
        <v>13.95</v>
      </c>
      <c r="V41" s="492">
        <v>12.839646</v>
      </c>
      <c r="W41" s="492">
        <v>9.8784959999999984</v>
      </c>
      <c r="X41" s="492">
        <v>14.11</v>
      </c>
      <c r="Y41" s="492">
        <v>3.1148640000000003</v>
      </c>
      <c r="Z41" s="492">
        <v>8.967296000000001</v>
      </c>
      <c r="AA41" s="492">
        <v>9.9472319999999996</v>
      </c>
      <c r="AB41" s="492">
        <v>5.2630559999999997</v>
      </c>
      <c r="AC41" s="492">
        <v>1.68</v>
      </c>
      <c r="AD41" s="492">
        <v>1.1000000000000001</v>
      </c>
      <c r="AE41" s="492">
        <v>5.32</v>
      </c>
      <c r="AF41" s="765">
        <f t="shared" si="123"/>
        <v>158.56392</v>
      </c>
      <c r="AG41" s="492">
        <v>2.0499999999999998</v>
      </c>
      <c r="AH41" s="492">
        <v>3.91</v>
      </c>
      <c r="AI41" s="492">
        <v>3.91</v>
      </c>
      <c r="AJ41" s="492">
        <v>9.5831999999999997</v>
      </c>
      <c r="AK41" s="492">
        <v>12.06212</v>
      </c>
      <c r="AL41" s="492">
        <v>21.2134</v>
      </c>
      <c r="AM41" s="492">
        <v>16.410160000000001</v>
      </c>
      <c r="AN41" s="492">
        <v>13.743600000000001</v>
      </c>
      <c r="AO41" s="492">
        <v>18.180119999999999</v>
      </c>
      <c r="AP41" s="492">
        <v>17.2226</v>
      </c>
      <c r="AQ41" s="492">
        <v>23.52872</v>
      </c>
      <c r="AR41" s="492">
        <v>16.75</v>
      </c>
      <c r="AS41" s="765">
        <f t="shared" si="125"/>
        <v>193.75839999999999</v>
      </c>
      <c r="AT41" s="492">
        <v>17.784600000000001</v>
      </c>
      <c r="AU41" s="492">
        <v>23.414999999999999</v>
      </c>
      <c r="AV41" s="492">
        <v>7.8280000000000003</v>
      </c>
      <c r="AW41" s="492">
        <v>25.382999999999999</v>
      </c>
      <c r="AX41" s="492">
        <v>26.324999999999999</v>
      </c>
      <c r="AY41" s="492">
        <v>7.2249999999999996</v>
      </c>
      <c r="AZ41" s="492">
        <v>13.31</v>
      </c>
      <c r="BA41" s="492">
        <v>6.1582999999999997</v>
      </c>
      <c r="BB41" s="492">
        <v>13.606999999999999</v>
      </c>
      <c r="BC41" s="492">
        <v>12.298500000000001</v>
      </c>
      <c r="BD41" s="492">
        <v>25.205500000000001</v>
      </c>
      <c r="BE41" s="492">
        <v>15.218500000000001</v>
      </c>
      <c r="BF41" s="765">
        <f t="shared" si="127"/>
        <v>227.02559999999997</v>
      </c>
      <c r="BG41" s="2088">
        <v>2.1150000000000002</v>
      </c>
      <c r="BH41" s="492">
        <v>6.5006000000000004</v>
      </c>
      <c r="BI41" s="492">
        <v>4.67</v>
      </c>
      <c r="BJ41" s="492">
        <v>2.8050000000000002</v>
      </c>
      <c r="BK41" s="492">
        <v>4.29</v>
      </c>
      <c r="BL41" s="492">
        <v>7.6849999999999996</v>
      </c>
      <c r="BM41" s="492">
        <v>18.46</v>
      </c>
      <c r="BN41" s="492">
        <v>35.479999999999997</v>
      </c>
      <c r="BO41" s="492">
        <v>36.475000000000001</v>
      </c>
      <c r="BP41" s="492">
        <v>32.475000000000001</v>
      </c>
      <c r="BQ41" s="492">
        <v>35.61</v>
      </c>
      <c r="BR41" s="2077">
        <v>40.46</v>
      </c>
      <c r="BS41" s="2057">
        <f t="shared" si="129"/>
        <v>499.66410999999994</v>
      </c>
      <c r="BT41" s="3074">
        <v>34.965000000000003</v>
      </c>
      <c r="BU41" s="3059">
        <v>27.22</v>
      </c>
      <c r="BV41" s="3059">
        <v>35.270000000000003</v>
      </c>
      <c r="BW41" s="3059">
        <v>46.8</v>
      </c>
      <c r="BX41" s="3059">
        <v>44.1</v>
      </c>
      <c r="BY41" s="3059">
        <v>45.54</v>
      </c>
      <c r="BZ41" s="3059">
        <v>43.973999999999997</v>
      </c>
      <c r="CA41" s="3059">
        <v>43.747709999999998</v>
      </c>
      <c r="CB41" s="3059">
        <v>41.435000000000002</v>
      </c>
      <c r="CC41" s="3059">
        <v>43.217399999999998</v>
      </c>
      <c r="CD41" s="3059">
        <v>47.2</v>
      </c>
      <c r="CE41" s="3059">
        <v>46.195</v>
      </c>
      <c r="CF41" s="2057">
        <f t="shared" si="132"/>
        <v>667.79</v>
      </c>
      <c r="CG41" s="2835">
        <v>55.649166666666659</v>
      </c>
      <c r="CH41" s="2552">
        <v>55.649166666666659</v>
      </c>
      <c r="CI41" s="2552">
        <v>55.649166666666659</v>
      </c>
      <c r="CJ41" s="2552">
        <v>55.649166666666659</v>
      </c>
      <c r="CK41" s="2552">
        <v>55.649166666666659</v>
      </c>
      <c r="CL41" s="2552">
        <v>55.649166666666659</v>
      </c>
      <c r="CM41" s="2552">
        <v>55.649166666666659</v>
      </c>
      <c r="CN41" s="2552">
        <v>55.649166666666659</v>
      </c>
      <c r="CO41" s="2552">
        <v>55.649166666666659</v>
      </c>
      <c r="CP41" s="2552">
        <v>55.649166666666659</v>
      </c>
      <c r="CQ41" s="2552">
        <v>55.649166666666659</v>
      </c>
      <c r="CR41" s="2552">
        <v>55.649166666666659</v>
      </c>
      <c r="CT41" s="2949"/>
      <c r="CU41" s="88"/>
    </row>
    <row r="42" spans="2:100">
      <c r="B42" s="3332"/>
      <c r="C42" s="3333"/>
      <c r="D42" s="1917" t="s">
        <v>40</v>
      </c>
      <c r="E42" s="171"/>
      <c r="F42" s="192">
        <f t="shared" si="116"/>
        <v>3313292.2423084835</v>
      </c>
      <c r="G42" s="470">
        <f t="shared" ref="G42:L42" si="133">G38*1000000/G7</f>
        <v>260915.33289646133</v>
      </c>
      <c r="H42" s="470">
        <f t="shared" si="133"/>
        <v>249908.43730886851</v>
      </c>
      <c r="I42" s="470">
        <f t="shared" si="133"/>
        <v>282886.5100436681</v>
      </c>
      <c r="J42" s="470">
        <f t="shared" si="133"/>
        <v>371362.94022471912</v>
      </c>
      <c r="K42" s="470">
        <f t="shared" si="133"/>
        <v>327838.81818181818</v>
      </c>
      <c r="L42" s="470">
        <f t="shared" si="133"/>
        <v>328451.27108433732</v>
      </c>
      <c r="M42" s="470">
        <v>281582.10777300905</v>
      </c>
      <c r="N42" s="470">
        <v>238663.98378636147</v>
      </c>
      <c r="O42" s="662">
        <v>300879.16489874641</v>
      </c>
      <c r="P42" s="662">
        <v>252255.19271844663</v>
      </c>
      <c r="Q42" s="470">
        <f>Q38*1000000/Q7</f>
        <v>231136.05461575641</v>
      </c>
      <c r="R42" s="662">
        <f>R38*1000000/R7</f>
        <v>187412.42877629062</v>
      </c>
      <c r="S42" s="192">
        <f t="shared" si="119"/>
        <v>3888989.0390164051</v>
      </c>
      <c r="T42" s="662">
        <f t="shared" ref="T42:AE42" si="134">T38*1000000/T7</f>
        <v>224055.35409678961</v>
      </c>
      <c r="U42" s="662">
        <f t="shared" si="134"/>
        <v>205086.6262278978</v>
      </c>
      <c r="V42" s="662">
        <f t="shared" si="134"/>
        <v>198205.22609942642</v>
      </c>
      <c r="W42" s="662">
        <f t="shared" si="134"/>
        <v>308360.07401887735</v>
      </c>
      <c r="X42" s="662">
        <f t="shared" si="134"/>
        <v>339573.11887072807</v>
      </c>
      <c r="Y42" s="662">
        <f t="shared" si="134"/>
        <v>336052.78007045796</v>
      </c>
      <c r="Z42" s="662">
        <f t="shared" si="134"/>
        <v>385814.72436218109</v>
      </c>
      <c r="AA42" s="662">
        <f t="shared" si="134"/>
        <v>378318.24923547398</v>
      </c>
      <c r="AB42" s="662">
        <f t="shared" si="134"/>
        <v>501761.75230769231</v>
      </c>
      <c r="AC42" s="662">
        <f t="shared" si="134"/>
        <v>298268.5869786368</v>
      </c>
      <c r="AD42" s="662">
        <f t="shared" si="134"/>
        <v>341269.80844490218</v>
      </c>
      <c r="AE42" s="662">
        <f t="shared" si="134"/>
        <v>372222.73830334196</v>
      </c>
      <c r="AF42" s="766">
        <f t="shared" si="123"/>
        <v>7483381.3304369878</v>
      </c>
      <c r="AG42" s="662">
        <f t="shared" ref="AG42:AR42" si="135">AG38*1000000/AG7</f>
        <v>338168.3518518518</v>
      </c>
      <c r="AH42" s="662">
        <f t="shared" si="135"/>
        <v>312630.08673205989</v>
      </c>
      <c r="AI42" s="662">
        <f t="shared" si="135"/>
        <v>592020.49029889877</v>
      </c>
      <c r="AJ42" s="662">
        <f t="shared" si="135"/>
        <v>617317.90140114166</v>
      </c>
      <c r="AK42" s="662">
        <f t="shared" si="135"/>
        <v>687267.15591120301</v>
      </c>
      <c r="AL42" s="662">
        <f t="shared" si="135"/>
        <v>877931.03565891483</v>
      </c>
      <c r="AM42" s="662">
        <f t="shared" si="135"/>
        <v>1028042.7244376278</v>
      </c>
      <c r="AN42" s="662">
        <f t="shared" si="135"/>
        <v>618503.64201335388</v>
      </c>
      <c r="AO42" s="662">
        <f t="shared" si="135"/>
        <v>1053165.1240951396</v>
      </c>
      <c r="AP42" s="662">
        <f t="shared" si="135"/>
        <v>734106.34461538459</v>
      </c>
      <c r="AQ42" s="662">
        <f t="shared" si="135"/>
        <v>400708.95385395543</v>
      </c>
      <c r="AR42" s="662">
        <f t="shared" si="135"/>
        <v>223519.51956745621</v>
      </c>
      <c r="AS42" s="766">
        <f t="shared" si="125"/>
        <v>7493073.9316623118</v>
      </c>
      <c r="AT42" s="662">
        <f t="shared" ref="AT42:BE42" si="136">AT38*1000000/AT7</f>
        <v>658753.2087576373</v>
      </c>
      <c r="AU42" s="662">
        <f t="shared" si="136"/>
        <v>554714.40275650844</v>
      </c>
      <c r="AV42" s="662">
        <f t="shared" si="136"/>
        <v>939370.82990750275</v>
      </c>
      <c r="AW42" s="662">
        <f t="shared" si="136"/>
        <v>757798.50697674416</v>
      </c>
      <c r="AX42" s="662">
        <f t="shared" si="136"/>
        <v>552101.76107106078</v>
      </c>
      <c r="AY42" s="662">
        <f t="shared" si="136"/>
        <v>600700.24428274413</v>
      </c>
      <c r="AZ42" s="662">
        <f t="shared" si="136"/>
        <v>583702.64241164236</v>
      </c>
      <c r="BA42" s="662">
        <f t="shared" si="136"/>
        <v>435436.1630208334</v>
      </c>
      <c r="BB42" s="662">
        <f t="shared" si="136"/>
        <v>845213.9145833333</v>
      </c>
      <c r="BC42" s="662">
        <f t="shared" si="136"/>
        <v>528001.84218749998</v>
      </c>
      <c r="BD42" s="662">
        <f t="shared" si="136"/>
        <v>709123.13403141359</v>
      </c>
      <c r="BE42" s="662">
        <f t="shared" si="136"/>
        <v>328157.28167539265</v>
      </c>
      <c r="BF42" s="766">
        <f t="shared" si="127"/>
        <v>7816322.3602652419</v>
      </c>
      <c r="BG42" s="662">
        <f t="shared" ref="BG42:BR42" si="137">BG38*1000000/BG7</f>
        <v>403653.77384780277</v>
      </c>
      <c r="BH42" s="662">
        <f t="shared" si="137"/>
        <v>770896.40159999998</v>
      </c>
      <c r="BI42" s="662">
        <f t="shared" si="137"/>
        <v>664790.91666666663</v>
      </c>
      <c r="BJ42" s="662">
        <f t="shared" si="137"/>
        <v>553627.66161879897</v>
      </c>
      <c r="BK42" s="662">
        <f t="shared" si="137"/>
        <v>601660.47812500002</v>
      </c>
      <c r="BL42" s="662">
        <f t="shared" si="137"/>
        <v>676966.92778649926</v>
      </c>
      <c r="BM42" s="662">
        <f t="shared" si="137"/>
        <v>618831.2272016675</v>
      </c>
      <c r="BN42" s="662">
        <f t="shared" si="137"/>
        <v>796509.54351224599</v>
      </c>
      <c r="BO42" s="662">
        <f t="shared" si="137"/>
        <v>853163.8425686172</v>
      </c>
      <c r="BP42" s="662">
        <f t="shared" si="137"/>
        <v>731147.96779141098</v>
      </c>
      <c r="BQ42" s="662">
        <f t="shared" si="137"/>
        <v>619361.08265720063</v>
      </c>
      <c r="BR42" s="2089">
        <f t="shared" si="137"/>
        <v>525712.53688933211</v>
      </c>
      <c r="BS42" s="2058">
        <f t="shared" si="129"/>
        <v>8277547.7193497689</v>
      </c>
      <c r="BT42" s="3075">
        <f t="shared" ref="BT42:CE42" si="138">BT38*1000000/BT7</f>
        <v>473733.83652430045</v>
      </c>
      <c r="BU42" s="3075">
        <f t="shared" si="138"/>
        <v>314266.28423645318</v>
      </c>
      <c r="BV42" s="3075">
        <f t="shared" si="138"/>
        <v>765224.58414872794</v>
      </c>
      <c r="BW42" s="3075">
        <f t="shared" si="138"/>
        <v>604414.01267674309</v>
      </c>
      <c r="BX42" s="3075">
        <f t="shared" si="138"/>
        <v>637344.6511968734</v>
      </c>
      <c r="BY42" s="3075">
        <f t="shared" si="138"/>
        <v>826708.88686669944</v>
      </c>
      <c r="BZ42" s="3075">
        <f t="shared" si="138"/>
        <v>934590.04676616902</v>
      </c>
      <c r="CA42" s="3075">
        <f t="shared" si="138"/>
        <v>1073091.7964735515</v>
      </c>
      <c r="CB42" s="3075">
        <f t="shared" si="138"/>
        <v>740518.68298838963</v>
      </c>
      <c r="CC42" s="3075">
        <f t="shared" si="138"/>
        <v>771980.84473953012</v>
      </c>
      <c r="CD42" s="3075">
        <f t="shared" si="138"/>
        <v>634999.51045385003</v>
      </c>
      <c r="CE42" s="3075">
        <f t="shared" si="138"/>
        <v>500674.58227848099</v>
      </c>
      <c r="CF42" s="2058">
        <f t="shared" si="132"/>
        <v>8721557.5383952465</v>
      </c>
      <c r="CG42" s="3084">
        <f t="shared" ref="CG42:CR42" si="139">CG38*1000000/CG7</f>
        <v>626976.63584291481</v>
      </c>
      <c r="CH42" s="3084">
        <f t="shared" si="139"/>
        <v>720316.79509830149</v>
      </c>
      <c r="CI42" s="3084">
        <f t="shared" si="139"/>
        <v>684612.02413643838</v>
      </c>
      <c r="CJ42" s="3084">
        <f t="shared" si="139"/>
        <v>763573.94696790841</v>
      </c>
      <c r="CK42" s="3084">
        <f t="shared" si="139"/>
        <v>683333.82118420652</v>
      </c>
      <c r="CL42" s="3084">
        <f t="shared" si="139"/>
        <v>709342.08392422309</v>
      </c>
      <c r="CM42" s="3084">
        <f t="shared" si="139"/>
        <v>712323.06608037557</v>
      </c>
      <c r="CN42" s="3084">
        <f t="shared" si="139"/>
        <v>906467.35555634566</v>
      </c>
      <c r="CO42" s="3084">
        <f t="shared" si="139"/>
        <v>717088.93670451117</v>
      </c>
      <c r="CP42" s="3084">
        <f t="shared" si="139"/>
        <v>874930.03801635664</v>
      </c>
      <c r="CQ42" s="3084">
        <f t="shared" si="139"/>
        <v>787334.944614226</v>
      </c>
      <c r="CR42" s="3084">
        <f t="shared" si="139"/>
        <v>535257.89026943885</v>
      </c>
      <c r="CT42" s="2949"/>
    </row>
    <row r="43" spans="2:100">
      <c r="B43" s="3332"/>
      <c r="C43" s="3333"/>
      <c r="D43" s="1443" t="s">
        <v>473</v>
      </c>
      <c r="E43" s="160"/>
      <c r="F43" s="182">
        <f t="shared" si="116"/>
        <v>12544.096647</v>
      </c>
      <c r="G43" s="496">
        <f t="shared" ref="G43:L43" si="140">G37-G38</f>
        <v>1134.520702</v>
      </c>
      <c r="H43" s="496">
        <f t="shared" si="140"/>
        <v>917.16225499999985</v>
      </c>
      <c r="I43" s="496">
        <f t="shared" si="140"/>
        <v>892.93477100000007</v>
      </c>
      <c r="J43" s="496">
        <f t="shared" si="140"/>
        <v>1188.0431709999998</v>
      </c>
      <c r="K43" s="496">
        <f t="shared" si="140"/>
        <v>1067.6310719999999</v>
      </c>
      <c r="L43" s="496">
        <f t="shared" si="140"/>
        <v>972.93904699999985</v>
      </c>
      <c r="M43" s="464">
        <v>892.11512900000002</v>
      </c>
      <c r="N43" s="464">
        <v>891.54788600000006</v>
      </c>
      <c r="O43" s="492">
        <v>1108.8309769999998</v>
      </c>
      <c r="P43" s="492">
        <v>811.62988400000006</v>
      </c>
      <c r="Q43" s="496">
        <f>Q37-Q38</f>
        <v>891.99262199999998</v>
      </c>
      <c r="R43" s="496">
        <f>R37-R38</f>
        <v>1774.749131</v>
      </c>
      <c r="S43" s="182">
        <f t="shared" si="119"/>
        <v>12992.326598</v>
      </c>
      <c r="T43" s="496">
        <f t="shared" ref="T43:AE43" si="141">T37-T38</f>
        <v>808.82861900000012</v>
      </c>
      <c r="U43" s="496">
        <f t="shared" si="141"/>
        <v>966.44895100000008</v>
      </c>
      <c r="V43" s="496">
        <f t="shared" si="141"/>
        <v>941.05719999999985</v>
      </c>
      <c r="W43" s="496">
        <f t="shared" si="141"/>
        <v>762.36239299999988</v>
      </c>
      <c r="X43" s="496">
        <f t="shared" si="141"/>
        <v>855.82705200000009</v>
      </c>
      <c r="Y43" s="496">
        <f t="shared" si="141"/>
        <v>1431.6639489999998</v>
      </c>
      <c r="Z43" s="496">
        <f t="shared" si="141"/>
        <v>799.05248399999994</v>
      </c>
      <c r="AA43" s="496">
        <f t="shared" si="141"/>
        <v>983.40835399999992</v>
      </c>
      <c r="AB43" s="496">
        <f t="shared" si="141"/>
        <v>1531.7750510000001</v>
      </c>
      <c r="AC43" s="496">
        <f t="shared" si="141"/>
        <v>790.14681699999994</v>
      </c>
      <c r="AD43" s="496">
        <f t="shared" si="141"/>
        <v>814.92279200000007</v>
      </c>
      <c r="AE43" s="496">
        <f t="shared" si="141"/>
        <v>2306.8329359999998</v>
      </c>
      <c r="AF43" s="765">
        <f t="shared" si="123"/>
        <v>12272.728408999999</v>
      </c>
      <c r="AG43" s="496">
        <v>825.80919000000017</v>
      </c>
      <c r="AH43" s="496">
        <v>834.77579500000002</v>
      </c>
      <c r="AI43" s="496">
        <v>964.6583169999999</v>
      </c>
      <c r="AJ43" s="496">
        <v>716.57197700000006</v>
      </c>
      <c r="AK43" s="496">
        <v>1074.440844</v>
      </c>
      <c r="AL43" s="496">
        <v>878.34119199999964</v>
      </c>
      <c r="AM43" s="496">
        <v>778.00064299999985</v>
      </c>
      <c r="AN43" s="496">
        <v>1065.3973219999998</v>
      </c>
      <c r="AO43" s="496">
        <v>1440.0909010000003</v>
      </c>
      <c r="AP43" s="496">
        <v>795.87327499999992</v>
      </c>
      <c r="AQ43" s="496">
        <v>861.86149999999998</v>
      </c>
      <c r="AR43" s="496">
        <v>2036.907453</v>
      </c>
      <c r="AS43" s="765">
        <f t="shared" si="125"/>
        <v>13845.232960000001</v>
      </c>
      <c r="AT43" s="493">
        <f>AT37-AT38</f>
        <v>857.72077200000035</v>
      </c>
      <c r="AU43" s="493">
        <f t="shared" ref="AU43:BE43" si="142">AU37-AU38</f>
        <v>853.80806200000006</v>
      </c>
      <c r="AV43" s="493">
        <f t="shared" si="142"/>
        <v>963.03269699999964</v>
      </c>
      <c r="AW43" s="493">
        <f t="shared" si="142"/>
        <v>1192.8079969999999</v>
      </c>
      <c r="AX43" s="493">
        <f t="shared" si="142"/>
        <v>1306.338536</v>
      </c>
      <c r="AY43" s="493">
        <f t="shared" si="142"/>
        <v>1010.829056</v>
      </c>
      <c r="AZ43" s="493">
        <f t="shared" si="142"/>
        <v>1131.9390660000001</v>
      </c>
      <c r="BA43" s="493">
        <f t="shared" si="142"/>
        <v>1181.5966089999997</v>
      </c>
      <c r="BB43" s="493">
        <f t="shared" si="142"/>
        <v>1393.8892930000002</v>
      </c>
      <c r="BC43" s="493">
        <f t="shared" si="142"/>
        <v>1007.7694260000002</v>
      </c>
      <c r="BD43" s="493">
        <f t="shared" si="142"/>
        <v>1075.04333</v>
      </c>
      <c r="BE43" s="493">
        <f t="shared" si="142"/>
        <v>1870.4581159999998</v>
      </c>
      <c r="BF43" s="765">
        <f t="shared" ref="BF43" si="143">SUM(BG43:BR43)</f>
        <v>15074.130404</v>
      </c>
      <c r="BG43" s="2090">
        <f t="shared" ref="BG43:BM43" si="144">BG37-BG38</f>
        <v>917.934933</v>
      </c>
      <c r="BH43" s="2090">
        <f t="shared" si="144"/>
        <v>1196.6346129999997</v>
      </c>
      <c r="BI43" s="2090">
        <f t="shared" si="144"/>
        <v>1071.0761479999999</v>
      </c>
      <c r="BJ43" s="2090">
        <f t="shared" si="144"/>
        <v>1234.0283620000002</v>
      </c>
      <c r="BK43" s="2090">
        <f t="shared" si="144"/>
        <v>1051.8350139999998</v>
      </c>
      <c r="BL43" s="2090">
        <f t="shared" si="144"/>
        <v>1155.0946220000001</v>
      </c>
      <c r="BM43" s="2090">
        <f t="shared" si="144"/>
        <v>1068.250182</v>
      </c>
      <c r="BN43" s="2090">
        <f t="shared" ref="BN43:BR43" si="145">BN37-BN38</f>
        <v>1175.2410010000001</v>
      </c>
      <c r="BO43" s="2090">
        <f t="shared" si="145"/>
        <v>1434.8298510000004</v>
      </c>
      <c r="BP43" s="2090">
        <f t="shared" si="145"/>
        <v>1137.4940620000002</v>
      </c>
      <c r="BQ43" s="2090">
        <f t="shared" si="145"/>
        <v>1140.9066680000003</v>
      </c>
      <c r="BR43" s="2090">
        <f t="shared" si="145"/>
        <v>2490.804948</v>
      </c>
      <c r="BS43" s="2057">
        <f t="shared" si="129"/>
        <v>17362.805405000003</v>
      </c>
      <c r="BT43" s="3076">
        <f t="shared" ref="BT43:CE43" si="146">BT37-BT38</f>
        <v>1154.9599990000002</v>
      </c>
      <c r="BU43" s="3076">
        <f t="shared" si="146"/>
        <v>1222.4180270000002</v>
      </c>
      <c r="BV43" s="3076">
        <f t="shared" si="146"/>
        <v>1228.7491630000002</v>
      </c>
      <c r="BW43" s="3076">
        <f t="shared" si="146"/>
        <v>1345.0492180000001</v>
      </c>
      <c r="BX43" s="3076">
        <f t="shared" si="146"/>
        <v>1231.4810150000003</v>
      </c>
      <c r="BY43" s="3076">
        <f t="shared" si="146"/>
        <v>2333.1696019999999</v>
      </c>
      <c r="BZ43" s="3076">
        <f t="shared" si="146"/>
        <v>1114.3610920000003</v>
      </c>
      <c r="CA43" s="3076">
        <f t="shared" si="146"/>
        <v>1256.9297690000003</v>
      </c>
      <c r="CB43" s="3076">
        <f t="shared" si="146"/>
        <v>1791.3569350000002</v>
      </c>
      <c r="CC43" s="3076">
        <f t="shared" si="146"/>
        <v>1082.705649</v>
      </c>
      <c r="CD43" s="3076">
        <f t="shared" si="146"/>
        <v>1119.859964</v>
      </c>
      <c r="CE43" s="3076">
        <f t="shared" si="146"/>
        <v>2481.7649719999999</v>
      </c>
      <c r="CF43" s="2057">
        <f>SUM(CG43:CR43)</f>
        <v>17484.099870424041</v>
      </c>
      <c r="CG43" s="2281">
        <f>CG44*CG5/1000000</f>
        <v>1268.4619080599887</v>
      </c>
      <c r="CH43" s="2281">
        <f t="shared" ref="CH43:CQ43" si="147">CH44*CH5/1000000</f>
        <v>1263.898809979818</v>
      </c>
      <c r="CI43" s="2281">
        <f t="shared" si="147"/>
        <v>1262.1132498614904</v>
      </c>
      <c r="CJ43" s="2281">
        <f t="shared" si="147"/>
        <v>1260.0499359469784</v>
      </c>
      <c r="CK43" s="2281">
        <f t="shared" si="147"/>
        <v>1265.0495042782959</v>
      </c>
      <c r="CL43" s="2281">
        <v>2386.2488834210199</v>
      </c>
      <c r="CM43" s="2281">
        <f t="shared" si="147"/>
        <v>1275.2470365096342</v>
      </c>
      <c r="CN43" s="2281">
        <f t="shared" si="147"/>
        <v>1275.683506760781</v>
      </c>
      <c r="CO43" s="2281">
        <f t="shared" si="147"/>
        <v>1280.6830750920985</v>
      </c>
      <c r="CP43" s="2281">
        <f t="shared" si="147"/>
        <v>1276.5564472630745</v>
      </c>
      <c r="CQ43" s="2281">
        <f t="shared" si="147"/>
        <v>1272.4298194340506</v>
      </c>
      <c r="CR43" s="2281">
        <f>CQ44*CR5/1000000+1100+136.31476198716-100-8.5300242670346-32.5359999999982+20</f>
        <v>2397.6776938168127</v>
      </c>
      <c r="CS43" s="2856"/>
      <c r="CT43" s="2949"/>
      <c r="CV43" s="128"/>
    </row>
    <row r="44" spans="2:100">
      <c r="B44" s="3378"/>
      <c r="C44" s="3379"/>
      <c r="D44" s="175" t="s">
        <v>41</v>
      </c>
      <c r="E44" s="162"/>
      <c r="F44" s="374">
        <f>SUM(G44:R44)/12</f>
        <v>445714.34596260911</v>
      </c>
      <c r="G44" s="473">
        <f t="shared" ref="G44:L44" si="148">G43*1000000/G5</f>
        <v>456731.36151368759</v>
      </c>
      <c r="H44" s="473">
        <f t="shared" si="148"/>
        <v>369376.66331051145</v>
      </c>
      <c r="I44" s="473">
        <f t="shared" si="148"/>
        <v>359619.31977446639</v>
      </c>
      <c r="J44" s="473">
        <f t="shared" si="148"/>
        <v>491943.34202898538</v>
      </c>
      <c r="K44" s="473">
        <f t="shared" si="148"/>
        <v>448773.0441361916</v>
      </c>
      <c r="L44" s="473">
        <f t="shared" si="148"/>
        <v>414545.82317852572</v>
      </c>
      <c r="M44" s="473">
        <v>390422.37592997809</v>
      </c>
      <c r="N44" s="473">
        <v>390515.93780113891</v>
      </c>
      <c r="O44" s="473">
        <v>490633.17566371668</v>
      </c>
      <c r="P44" s="473">
        <v>361366.82279608195</v>
      </c>
      <c r="Q44" s="473">
        <f>Q43*1000000/Q5</f>
        <v>395562.13835920178</v>
      </c>
      <c r="R44" s="473">
        <f>R43*1000000/R5</f>
        <v>779082.1470588235</v>
      </c>
      <c r="S44" s="374">
        <f>SUM(T44:AE44)/12</f>
        <v>497562.44822608196</v>
      </c>
      <c r="T44" s="694">
        <f t="shared" ref="T44:AE44" si="149">T43*1000000/T5</f>
        <v>355998.51188380289</v>
      </c>
      <c r="U44" s="694">
        <f t="shared" si="149"/>
        <v>435141.35569563264</v>
      </c>
      <c r="V44" s="694">
        <f t="shared" si="149"/>
        <v>413288.18620992528</v>
      </c>
      <c r="W44" s="694">
        <f t="shared" si="149"/>
        <v>347001.54437869816</v>
      </c>
      <c r="X44" s="694">
        <f t="shared" si="149"/>
        <v>388658.97002724803</v>
      </c>
      <c r="Y44" s="694">
        <f t="shared" si="149"/>
        <v>659752.97188940085</v>
      </c>
      <c r="Z44" s="694">
        <f t="shared" si="149"/>
        <v>364365.01778385765</v>
      </c>
      <c r="AA44" s="694">
        <f t="shared" si="149"/>
        <v>456761.8922433813</v>
      </c>
      <c r="AB44" s="694">
        <f t="shared" si="149"/>
        <v>715782.73411214957</v>
      </c>
      <c r="AC44" s="694">
        <f t="shared" si="149"/>
        <v>366827.67734447541</v>
      </c>
      <c r="AD44" s="694">
        <f t="shared" si="149"/>
        <v>383132.48330982612</v>
      </c>
      <c r="AE44" s="694">
        <f t="shared" si="149"/>
        <v>1084038.0338345864</v>
      </c>
      <c r="AF44" s="767">
        <f>SUM(AG44:AR44)/12</f>
        <v>481390.42795866512</v>
      </c>
      <c r="AG44" s="694">
        <f t="shared" ref="AG44:AR44" si="150">AG43*1000000/AG5</f>
        <v>388250.67700987309</v>
      </c>
      <c r="AH44" s="694">
        <f t="shared" si="150"/>
        <v>393762.16745283018</v>
      </c>
      <c r="AI44" s="694">
        <f t="shared" si="150"/>
        <v>461779.95069411193</v>
      </c>
      <c r="AJ44" s="473">
        <f t="shared" si="150"/>
        <v>340414.24085510697</v>
      </c>
      <c r="AK44" s="473">
        <f t="shared" si="150"/>
        <v>505143.79125528916</v>
      </c>
      <c r="AL44" s="473">
        <f t="shared" si="150"/>
        <v>413921.39114043338</v>
      </c>
      <c r="AM44" s="473">
        <f t="shared" si="150"/>
        <v>363212.25163398689</v>
      </c>
      <c r="AN44" s="473">
        <f t="shared" si="150"/>
        <v>499483.03891232994</v>
      </c>
      <c r="AO44" s="473">
        <f t="shared" si="150"/>
        <v>679288.16084905667</v>
      </c>
      <c r="AP44" s="473">
        <f t="shared" si="150"/>
        <v>372949.05107778811</v>
      </c>
      <c r="AQ44" s="473">
        <f t="shared" si="150"/>
        <v>399935.73085846868</v>
      </c>
      <c r="AR44" s="473">
        <f t="shared" si="150"/>
        <v>958544.6837647059</v>
      </c>
      <c r="AS44" s="767">
        <f>SUM(AT44:BE44)/12</f>
        <v>548153.88781477523</v>
      </c>
      <c r="AT44" s="694">
        <f t="shared" ref="AT44:BE44" si="151">AT43*1000000/AT5</f>
        <v>400804.09906542074</v>
      </c>
      <c r="AU44" s="694">
        <f t="shared" si="151"/>
        <v>400285.07360525086</v>
      </c>
      <c r="AV44" s="694">
        <f t="shared" si="151"/>
        <v>454260.70613207528</v>
      </c>
      <c r="AW44" s="473">
        <f t="shared" si="151"/>
        <v>565579.89426268369</v>
      </c>
      <c r="AX44" s="473">
        <f t="shared" si="151"/>
        <v>617070.63580538495</v>
      </c>
      <c r="AY44" s="473">
        <f t="shared" si="151"/>
        <v>482265.77099236642</v>
      </c>
      <c r="AZ44" s="473">
        <f t="shared" si="151"/>
        <v>540047.2643129772</v>
      </c>
      <c r="BA44" s="473">
        <f t="shared" si="151"/>
        <v>562397.24369347922</v>
      </c>
      <c r="BB44" s="473">
        <f t="shared" si="151"/>
        <v>663440.88196097105</v>
      </c>
      <c r="BC44" s="473">
        <f t="shared" si="151"/>
        <v>479661.79247977166</v>
      </c>
      <c r="BD44" s="473">
        <f t="shared" si="151"/>
        <v>515361.13614573347</v>
      </c>
      <c r="BE44" s="473">
        <f t="shared" si="151"/>
        <v>896672.15532118874</v>
      </c>
      <c r="BF44" s="767">
        <f>SUM(BG44:BR44)/12</f>
        <v>595576.76112720009</v>
      </c>
      <c r="BG44" s="2091">
        <f t="shared" ref="BG44:BR44" si="152">BG43*1000000/BG5</f>
        <v>449527.39128305583</v>
      </c>
      <c r="BH44" s="2091">
        <f t="shared" si="152"/>
        <v>584294.24462890613</v>
      </c>
      <c r="BI44" s="2091">
        <f t="shared" si="152"/>
        <v>520698.17598444328</v>
      </c>
      <c r="BJ44" s="2091">
        <f t="shared" si="152"/>
        <v>591576.39597315446</v>
      </c>
      <c r="BK44" s="2091">
        <f t="shared" si="152"/>
        <v>503029.65758010512</v>
      </c>
      <c r="BL44" s="2091">
        <f t="shared" si="152"/>
        <v>551357.814797136</v>
      </c>
      <c r="BM44" s="2091">
        <f t="shared" si="152"/>
        <v>508206.55661274976</v>
      </c>
      <c r="BN44" s="2091">
        <f t="shared" si="152"/>
        <v>559106.0899143673</v>
      </c>
      <c r="BO44" s="2091">
        <f t="shared" si="152"/>
        <v>678727.46026490093</v>
      </c>
      <c r="BP44" s="2091">
        <f t="shared" si="152"/>
        <v>531539.28130841127</v>
      </c>
      <c r="BQ44" s="2091">
        <f t="shared" si="152"/>
        <v>529423.04779582378</v>
      </c>
      <c r="BR44" s="2091">
        <f t="shared" si="152"/>
        <v>1139435.0173833487</v>
      </c>
      <c r="BS44" s="767">
        <f>SUM(BT44:CE44)/12</f>
        <v>660138.22989619861</v>
      </c>
      <c r="BT44" s="3077">
        <f t="shared" ref="BT44:CE44" si="153">BT43*1000000/BT5</f>
        <v>520956.24672981515</v>
      </c>
      <c r="BU44" s="3077">
        <f t="shared" si="153"/>
        <v>552380.49118843209</v>
      </c>
      <c r="BV44" s="3077">
        <f t="shared" si="153"/>
        <v>552246.81483146083</v>
      </c>
      <c r="BW44" s="3077">
        <f t="shared" si="153"/>
        <v>602620.61738351255</v>
      </c>
      <c r="BX44" s="3077">
        <f t="shared" si="153"/>
        <v>552729.36041292653</v>
      </c>
      <c r="BY44" s="3077">
        <f t="shared" si="153"/>
        <v>1053825.4751580849</v>
      </c>
      <c r="BZ44" s="3077">
        <f t="shared" si="153"/>
        <v>508840.68127853895</v>
      </c>
      <c r="CA44" s="3077">
        <f t="shared" si="153"/>
        <v>577898.74436781625</v>
      </c>
      <c r="CB44" s="3077">
        <f t="shared" si="153"/>
        <v>825510.10829493101</v>
      </c>
      <c r="CC44" s="3077">
        <f t="shared" si="153"/>
        <v>504287.68001863064</v>
      </c>
      <c r="CD44" s="3077">
        <f t="shared" si="153"/>
        <v>520865.09953488375</v>
      </c>
      <c r="CE44" s="3078">
        <f t="shared" si="153"/>
        <v>1149497.4395553498</v>
      </c>
      <c r="CF44" s="767">
        <f>SUM(CG44:CR44)/12</f>
        <v>682246.46016362251</v>
      </c>
      <c r="CG44" s="2039">
        <v>595186.70610922901</v>
      </c>
      <c r="CH44" s="2039">
        <v>595186.70610922901</v>
      </c>
      <c r="CI44" s="2039">
        <v>595186.70610922901</v>
      </c>
      <c r="CJ44" s="2039">
        <v>595186.70610922901</v>
      </c>
      <c r="CK44" s="2039">
        <v>595186.70610922901</v>
      </c>
      <c r="CL44" s="2039">
        <f t="shared" ref="CL44" si="154">CL43*1000000/CL5</f>
        <v>1122306.8777259996</v>
      </c>
      <c r="CM44" s="2039">
        <v>595186.70610922901</v>
      </c>
      <c r="CN44" s="2039">
        <v>595186.70610922901</v>
      </c>
      <c r="CO44" s="2039">
        <v>595186.70610922901</v>
      </c>
      <c r="CP44" s="2039">
        <v>595186.70610922901</v>
      </c>
      <c r="CQ44" s="2039">
        <v>595186.70610922901</v>
      </c>
      <c r="CR44" s="2836">
        <f t="shared" ref="CR44" si="155">CR43*1000000/CR5</f>
        <v>1112783.5831451789</v>
      </c>
      <c r="CT44" s="2949"/>
    </row>
    <row r="45" spans="2:100">
      <c r="B45" s="423"/>
      <c r="C45" s="423"/>
      <c r="D45" s="423"/>
      <c r="E45" s="423"/>
      <c r="F45" s="423"/>
      <c r="G45" s="423"/>
      <c r="H45" s="423"/>
      <c r="I45" s="423"/>
      <c r="J45" s="1419"/>
      <c r="K45" s="423"/>
      <c r="L45" s="423"/>
      <c r="M45" s="423"/>
      <c r="N45" s="423"/>
      <c r="O45" s="423"/>
      <c r="P45" s="423"/>
      <c r="Q45" s="423"/>
      <c r="R45" s="423"/>
      <c r="S45" s="423"/>
      <c r="T45" s="423"/>
      <c r="U45" s="423"/>
      <c r="V45" s="423"/>
      <c r="W45" s="1419"/>
      <c r="X45" s="423"/>
      <c r="Y45" s="423"/>
      <c r="Z45" s="423"/>
      <c r="AA45" s="423"/>
      <c r="AB45" s="423"/>
      <c r="AC45" s="423"/>
      <c r="AD45" s="423"/>
      <c r="AE45" s="423"/>
      <c r="AF45" s="1419"/>
      <c r="AG45" s="423"/>
      <c r="AH45" s="423"/>
      <c r="AI45" s="423"/>
      <c r="AJ45" s="1419"/>
      <c r="AK45" s="423"/>
      <c r="AL45" s="423"/>
      <c r="AM45" s="423"/>
      <c r="AN45" s="423"/>
      <c r="AO45" s="423"/>
      <c r="AP45" s="423"/>
      <c r="AQ45" s="423"/>
      <c r="AR45" s="825"/>
      <c r="AS45" s="1419"/>
      <c r="AT45" s="423"/>
      <c r="AU45" s="423"/>
      <c r="AV45" s="423"/>
      <c r="AW45" s="1419"/>
      <c r="AX45" s="423"/>
      <c r="AY45" s="423"/>
      <c r="AZ45" s="423"/>
      <c r="BA45" s="423"/>
      <c r="BB45" s="423"/>
      <c r="BC45" s="423"/>
      <c r="BD45" s="423"/>
      <c r="BF45" s="1419"/>
      <c r="BG45" s="423"/>
      <c r="BH45" s="423"/>
      <c r="BI45" s="423"/>
      <c r="BJ45" s="1419"/>
      <c r="BK45" s="423"/>
      <c r="BL45" s="423"/>
      <c r="BM45" s="423"/>
      <c r="BN45" s="423"/>
      <c r="BO45" s="423"/>
      <c r="BP45" s="423"/>
      <c r="BQ45" s="423"/>
      <c r="BR45" s="865"/>
      <c r="BS45" s="1419"/>
      <c r="BT45" s="423"/>
      <c r="BU45" s="423"/>
      <c r="BV45" s="423"/>
      <c r="BW45" s="423"/>
      <c r="BX45" s="423"/>
      <c r="BY45" s="423"/>
      <c r="BZ45" s="423"/>
      <c r="CA45" s="423"/>
      <c r="CB45" s="423"/>
      <c r="CC45" s="423"/>
      <c r="CD45" s="423"/>
      <c r="CE45" s="423"/>
      <c r="CF45" s="1419"/>
      <c r="CG45" s="423"/>
      <c r="CH45" s="423"/>
      <c r="CI45" s="423"/>
      <c r="CJ45" s="423"/>
      <c r="CK45" s="423"/>
      <c r="CL45" s="423"/>
      <c r="CM45" s="423"/>
      <c r="CN45" s="423"/>
      <c r="CO45" s="423"/>
      <c r="CP45" s="423"/>
      <c r="CQ45" s="423"/>
      <c r="CR45" s="423"/>
      <c r="CT45" s="88"/>
    </row>
    <row r="46" spans="2:100" ht="21" hidden="1" outlineLevel="1">
      <c r="B46" s="1969" t="s">
        <v>219</v>
      </c>
      <c r="C46" s="423"/>
      <c r="D46" s="423"/>
      <c r="E46" s="423"/>
      <c r="F46" s="423"/>
      <c r="G46" s="423"/>
      <c r="H46" s="423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/>
      <c r="U46" s="423"/>
      <c r="V46" s="423"/>
      <c r="W46" s="423"/>
      <c r="X46" s="423"/>
      <c r="Y46" s="423"/>
      <c r="Z46" s="423"/>
      <c r="AA46" s="423"/>
      <c r="AB46" s="423"/>
      <c r="AC46" s="423"/>
      <c r="AD46" s="423"/>
      <c r="AE46" s="423"/>
      <c r="AF46" s="423"/>
      <c r="AG46" s="423"/>
      <c r="AH46" s="423"/>
      <c r="AI46" s="423"/>
      <c r="AJ46" s="423"/>
      <c r="AK46" s="423"/>
      <c r="AL46" s="423"/>
      <c r="AM46" s="423"/>
      <c r="AN46" s="423"/>
      <c r="AO46" s="423"/>
      <c r="AP46" s="423"/>
      <c r="AQ46" s="423"/>
      <c r="AS46" s="423"/>
      <c r="AT46" s="423"/>
      <c r="AU46" s="423"/>
      <c r="AV46" s="423"/>
      <c r="AW46" s="423"/>
      <c r="AX46" s="423"/>
      <c r="AY46" s="423"/>
      <c r="AZ46" s="423"/>
      <c r="BA46" s="423"/>
      <c r="BB46" s="423"/>
      <c r="BC46" s="423"/>
      <c r="BD46" s="423"/>
      <c r="BF46" s="423"/>
      <c r="BG46" s="423"/>
      <c r="BH46" s="423"/>
      <c r="BI46" s="423"/>
      <c r="BJ46" s="423"/>
      <c r="BK46" s="423"/>
      <c r="BL46" s="423"/>
      <c r="BM46" s="423"/>
      <c r="BN46" s="423"/>
      <c r="BO46" s="423"/>
      <c r="BP46" s="423"/>
      <c r="BQ46" s="423"/>
      <c r="BR46" s="865"/>
      <c r="BS46" s="2129"/>
      <c r="BT46" s="423"/>
      <c r="BU46" s="423"/>
      <c r="BV46" s="423"/>
      <c r="BW46" s="423"/>
      <c r="BX46" s="423"/>
      <c r="BY46" s="423"/>
      <c r="BZ46" s="423"/>
      <c r="CA46" s="423"/>
      <c r="CB46" s="423"/>
      <c r="CC46" s="423"/>
      <c r="CD46" s="423"/>
      <c r="CE46" s="423"/>
      <c r="CF46" s="2129"/>
      <c r="CG46" s="423"/>
      <c r="CH46" s="423"/>
      <c r="CI46" s="423"/>
      <c r="CJ46" s="423"/>
      <c r="CK46" s="423"/>
      <c r="CL46" s="423"/>
      <c r="CM46" s="423"/>
      <c r="CN46" s="423"/>
      <c r="CO46" s="423"/>
      <c r="CP46" s="423"/>
      <c r="CQ46" s="423"/>
      <c r="CR46" s="423"/>
    </row>
    <row r="47" spans="2:100" s="120" customFormat="1" hidden="1" outlineLevel="1">
      <c r="B47" s="3393" t="s">
        <v>412</v>
      </c>
      <c r="C47" s="3394"/>
      <c r="D47" s="19"/>
      <c r="E47" s="115"/>
      <c r="F47" s="269">
        <f>AVERAGE(G47:R47)</f>
        <v>4.5771613353711684</v>
      </c>
      <c r="G47" s="393">
        <f>G14/인프라!F6</f>
        <v>4.4291338582677167</v>
      </c>
      <c r="H47" s="393">
        <f>H14/인프라!G6</f>
        <v>4.4801587301587302</v>
      </c>
      <c r="I47" s="393">
        <f>I14/인프라!H6</f>
        <v>4.4901960784313726</v>
      </c>
      <c r="J47" s="393">
        <f>J14/인프라!I6</f>
        <v>5.0078740157480315</v>
      </c>
      <c r="K47" s="393">
        <f>K14/인프라!J6</f>
        <v>4.8132295719844356</v>
      </c>
      <c r="L47" s="393">
        <f>L14/인프라!K6</f>
        <v>4.782101167315175</v>
      </c>
      <c r="M47" s="393">
        <f>M14/인프라!L6</f>
        <v>4.6254826254826256</v>
      </c>
      <c r="N47" s="393">
        <f>N14/인프라!M6</f>
        <v>4.51953125</v>
      </c>
      <c r="O47" s="393">
        <f>O14/인프라!N6</f>
        <v>4.4612403100775193</v>
      </c>
      <c r="P47" s="393">
        <f>P14/인프라!O6</f>
        <v>4.416988416988417</v>
      </c>
      <c r="Q47" s="393">
        <f>Q14/인프라!P6</f>
        <v>4.4730769230769232</v>
      </c>
      <c r="R47" s="393">
        <f>R14/인프라!Q6</f>
        <v>4.4269230769230772</v>
      </c>
      <c r="S47" s="269">
        <f>AVERAGE(T47:AE47)</f>
        <v>4.3054856783685294</v>
      </c>
      <c r="T47" s="704">
        <f>T14/인프라!S6</f>
        <v>4.52734375</v>
      </c>
      <c r="U47" s="393">
        <f>U14/인프라!T6</f>
        <v>4.5058823529411764</v>
      </c>
      <c r="V47" s="393">
        <f>V14/인프라!U6</f>
        <v>4.4296875</v>
      </c>
      <c r="W47" s="393">
        <f>W14/인프라!V6</f>
        <v>4.359375</v>
      </c>
      <c r="X47" s="393">
        <f>X14/인프라!W6</f>
        <v>4.32421875</v>
      </c>
      <c r="Y47" s="393">
        <f>Y14/인프라!X6</f>
        <v>4.3464566929133861</v>
      </c>
      <c r="Z47" s="393">
        <f>Z14/인프라!Y6</f>
        <v>4.2840466926070038</v>
      </c>
      <c r="AA47" s="393">
        <f>AA14/인프라!Z6</f>
        <v>4.21484375</v>
      </c>
      <c r="AB47" s="393">
        <f>AB14/인프라!AA6</f>
        <v>4.13671875</v>
      </c>
      <c r="AC47" s="393">
        <f>AC14/인프라!AB6</f>
        <v>4.12156862745098</v>
      </c>
      <c r="AD47" s="393">
        <f>AD14/인프라!AC6</f>
        <v>4.219607843137255</v>
      </c>
      <c r="AE47" s="393">
        <f>AE14/인프라!AD6</f>
        <v>4.1960784313725492</v>
      </c>
      <c r="AF47" s="269">
        <f>AVERAGE(AG47:AR47)</f>
        <v>4.2008802033114749</v>
      </c>
      <c r="AG47" s="787">
        <f>AG14/인프라!AF6</f>
        <v>4.215686274509804</v>
      </c>
      <c r="AH47" s="787">
        <f>AH14/인프라!AG6</f>
        <v>4.1860465116279073</v>
      </c>
      <c r="AI47" s="787">
        <f>AI14/인프라!AH6</f>
        <v>4.136186770428016</v>
      </c>
      <c r="AJ47" s="787">
        <f>AJ14/인프라!AI6</f>
        <v>4.0763358778625953</v>
      </c>
      <c r="AK47" s="787">
        <f>AK14/인프라!AJ6</f>
        <v>4.1679389312977095</v>
      </c>
      <c r="AL47" s="787">
        <f>AL14/인프라!AK6</f>
        <v>4.1776061776061777</v>
      </c>
      <c r="AM47" s="787">
        <f>AM14/인프라!AL6</f>
        <v>4.1526717557251906</v>
      </c>
      <c r="AN47" s="787">
        <f>AN14/인프라!AM6</f>
        <v>4.1532567049808433</v>
      </c>
      <c r="AO47" s="787">
        <f>AO14/인프라!AN6</f>
        <v>4.1984732824427482</v>
      </c>
      <c r="AP47" s="787">
        <f>AP14/인프라!AO6</f>
        <v>4.264367816091954</v>
      </c>
      <c r="AQ47" s="787">
        <f>AQ14/인프라!AP6</f>
        <v>4.3409961685823752</v>
      </c>
      <c r="AR47" s="796">
        <f>AR14/인프라!AQ6</f>
        <v>4.3409961685823752</v>
      </c>
      <c r="AS47" s="269">
        <f>AVERAGE(AT47:BE47)</f>
        <v>4.367188615686608</v>
      </c>
      <c r="AT47" s="393">
        <f>AT14/인프라!AS6</f>
        <v>4.3745173745173744</v>
      </c>
      <c r="AU47" s="393">
        <f>AU14/인프라!AT6</f>
        <v>4.33976833976834</v>
      </c>
      <c r="AV47" s="393">
        <f>AV14/인프라!AU6</f>
        <v>4.409448818897638</v>
      </c>
      <c r="AW47" s="393">
        <f>AW14/인프라!AV6</f>
        <v>4.3139534883720927</v>
      </c>
      <c r="AX47" s="393">
        <f>AX14/인프라!AW6</f>
        <v>4.3837209302325579</v>
      </c>
      <c r="AY47" s="393">
        <f>AY14/인프라!AX6</f>
        <v>4.3657587548638128</v>
      </c>
      <c r="AZ47" s="393">
        <f>AZ14/인프라!AY6</f>
        <v>4.3657587548638128</v>
      </c>
      <c r="BA47" s="393">
        <f>BA14/인프라!AZ6</f>
        <v>4.3657587548638128</v>
      </c>
      <c r="BB47" s="393">
        <f>BB14/인프라!BA6</f>
        <v>4.3657587548638128</v>
      </c>
      <c r="BC47" s="393">
        <f>BC14/인프라!BB6</f>
        <v>4.3828125</v>
      </c>
      <c r="BD47" s="393">
        <f>BD14/인프라!BC6</f>
        <v>4.34375</v>
      </c>
      <c r="BE47" s="1593">
        <f>BE14/인프라!BD6</f>
        <v>4.3952569169960478</v>
      </c>
      <c r="BF47" s="269">
        <f>AVERAGE(BG47:BR47)</f>
        <v>4.3728158160315926</v>
      </c>
      <c r="BG47" s="513">
        <f>BG14/인프라!BF6</f>
        <v>4.3385826771653546</v>
      </c>
      <c r="BH47" s="513">
        <f>BH14/인프라!BG6</f>
        <v>4.2972972972972974</v>
      </c>
      <c r="BI47" s="513">
        <f>BI14/인프라!BH6</f>
        <v>4.2950191570881229</v>
      </c>
      <c r="BJ47" s="513">
        <f>BJ14/인프라!BI6</f>
        <v>4.3646616541353387</v>
      </c>
      <c r="BK47" s="513">
        <f>BK14/인프라!BJ6</f>
        <v>4.3872180451127818</v>
      </c>
      <c r="BL47" s="513">
        <f>BL14/인프라!BK6</f>
        <v>4.3099630996309966</v>
      </c>
      <c r="BM47" s="513">
        <f>BM14/인프라!BL6</f>
        <v>4.3468634686346865</v>
      </c>
      <c r="BN47" s="513">
        <f>BN14/인프라!BM6</f>
        <v>4.3088235294117645</v>
      </c>
      <c r="BO47" s="513">
        <f>BO14/인프라!BN6</f>
        <v>4.3566176470588234</v>
      </c>
      <c r="BP47" s="513">
        <f>BP14/인프라!BO6</f>
        <v>4.4558823529411766</v>
      </c>
      <c r="BQ47" s="513">
        <f>BQ14/인프라!BP6</f>
        <v>4.4981549815498152</v>
      </c>
      <c r="BR47" s="1432">
        <f>BR14/인프라!BQ6</f>
        <v>4.5147058823529411</v>
      </c>
      <c r="BS47" s="269">
        <f>AVERAGE(BT47:CE47)</f>
        <v>4.6320987345103131</v>
      </c>
      <c r="BT47" s="2059">
        <f>BT14/인프라!BS6</f>
        <v>4.5441176470588234</v>
      </c>
      <c r="BU47" s="2059">
        <f>BU14/인프라!BT6</f>
        <v>4.5724907063197024</v>
      </c>
      <c r="BV47" s="2059">
        <f>BV14/인프라!BU6</f>
        <v>4.8023255813953485</v>
      </c>
      <c r="BW47" s="2059">
        <f>BW14/인프라!BV6</f>
        <v>4.7596899224806197</v>
      </c>
      <c r="BX47" s="2059">
        <f>BX14/인프라!BW6</f>
        <v>4.7198443579766538</v>
      </c>
      <c r="BY47" s="2547">
        <f>BY14/인프라!BX6</f>
        <v>4.7896825396825395</v>
      </c>
      <c r="BZ47" s="2547">
        <f>BZ14/인프라!BY6</f>
        <v>4.6377952755905509</v>
      </c>
      <c r="CA47" s="2547">
        <f>CA14/인프라!BZ6</f>
        <v>4.5928853754940713</v>
      </c>
      <c r="CB47" s="2547">
        <f>CB14/인프라!CA6</f>
        <v>4.5928853754940713</v>
      </c>
      <c r="CC47" s="2547">
        <f>CC14/인프라!CB6</f>
        <v>4.5317460317460316</v>
      </c>
      <c r="CD47" s="2547">
        <f>CD14/인프라!CC6</f>
        <v>4.5277777777777777</v>
      </c>
      <c r="CE47" s="2548">
        <f>CE14/인프라!CD6</f>
        <v>4.5139442231075702</v>
      </c>
      <c r="CF47" s="269">
        <f>AVERAGE(CG47:CR47)</f>
        <v>4.4250090705173077</v>
      </c>
      <c r="CG47" s="2059">
        <f>CG14/인프라!CF6</f>
        <v>4.4310756972111554</v>
      </c>
      <c r="CH47" s="2059">
        <f>CH14/인프라!CG6</f>
        <v>4.4310756972111554</v>
      </c>
      <c r="CI47" s="2059">
        <f>CI14/인프라!CH6</f>
        <v>4.4310756972111554</v>
      </c>
      <c r="CJ47" s="2059">
        <f>CJ14/인프라!CI6</f>
        <v>4.4301587301587304</v>
      </c>
      <c r="CK47" s="2059">
        <f>CK14/인프라!CJ6</f>
        <v>4.4283464566929132</v>
      </c>
      <c r="CL47" s="2547">
        <f>CL14/인프라!CK6</f>
        <v>4.4265625000000002</v>
      </c>
      <c r="CM47" s="2547">
        <f>CM14/인프라!CL6</f>
        <v>4.4248062015503882</v>
      </c>
      <c r="CN47" s="2547">
        <f>CN14/인프라!CM6</f>
        <v>4.4230769230769234</v>
      </c>
      <c r="CO47" s="2547">
        <f>CO14/인프라!CN6</f>
        <v>4.4213740458015272</v>
      </c>
      <c r="CP47" s="2547">
        <f>CP14/인프라!CO6</f>
        <v>4.4196969696969699</v>
      </c>
      <c r="CQ47" s="2547">
        <f>CQ14/인프라!CP6</f>
        <v>4.4180451127819547</v>
      </c>
      <c r="CR47" s="2548">
        <f>CR14/인프라!CQ6</f>
        <v>4.4148148148148145</v>
      </c>
    </row>
    <row r="48" spans="2:100" s="26" customFormat="1" ht="19.149999999999999" customHeight="1" collapsed="1">
      <c r="S48" s="862"/>
      <c r="T48"/>
      <c r="AG48" s="2220">
        <f>AG15/인프라!AF6</f>
        <v>3.8235294117647061</v>
      </c>
      <c r="AH48" s="2220">
        <f>AH15/인프라!AG6</f>
        <v>3.7984496124031009</v>
      </c>
      <c r="AI48" s="2220">
        <f>AI15/인프라!AH6</f>
        <v>3.7470817120622568</v>
      </c>
      <c r="AJ48" s="2220">
        <f>AJ15/인프라!AI6</f>
        <v>3.6946564885496183</v>
      </c>
      <c r="AK48" s="2220">
        <f>AK15/인프라!AJ6</f>
        <v>3.7862595419847329</v>
      </c>
      <c r="AL48" s="2220">
        <f>AL15/인프라!AK6</f>
        <v>3.7915057915057915</v>
      </c>
      <c r="AM48" s="2220">
        <f>AM15/인프라!AL6</f>
        <v>3.7709923664122136</v>
      </c>
      <c r="AN48" s="2220">
        <f>AN15/인프라!AM6</f>
        <v>3.7701149425287355</v>
      </c>
      <c r="AO48" s="2220">
        <f>AO15/인프라!AN6</f>
        <v>3.8129770992366412</v>
      </c>
      <c r="AP48" s="2220">
        <f>AP15/인프라!AO6</f>
        <v>3.8927203065134099</v>
      </c>
      <c r="AQ48" s="2220">
        <f>AQ15/인프라!AP6</f>
        <v>3.9731800766283527</v>
      </c>
      <c r="AR48" s="2220">
        <f>AR15/인프라!AQ6</f>
        <v>3.9731800766283527</v>
      </c>
      <c r="AS48" s="862"/>
      <c r="AT48" s="2220">
        <f>AT15/인프라!AS6</f>
        <v>3.8918918918918921</v>
      </c>
      <c r="AU48" s="2220">
        <f>AU15/인프라!AT6</f>
        <v>3.8571428571428572</v>
      </c>
      <c r="AV48" s="2220">
        <f>AV15/인프라!AU6</f>
        <v>3.909448818897638</v>
      </c>
      <c r="AW48" s="2220">
        <f>AW15/인프라!AV6</f>
        <v>3.8100775193798451</v>
      </c>
      <c r="AX48" s="2220">
        <f>AX15/인프라!AW6</f>
        <v>3.8720930232558142</v>
      </c>
      <c r="AY48" s="2220">
        <f>AY15/인프라!AX6</f>
        <v>3.840466926070039</v>
      </c>
      <c r="AZ48" s="2220">
        <f>AZ15/인프라!AY6</f>
        <v>3.8015564202334629</v>
      </c>
      <c r="BA48" s="2220">
        <f>BA15/인프라!AZ6</f>
        <v>3.8015564202334629</v>
      </c>
      <c r="BB48" s="2220">
        <f>BB15/인프라!BA6</f>
        <v>3.8015564202334629</v>
      </c>
      <c r="BC48" s="2220">
        <f>BC15/인프라!BB6</f>
        <v>3.81640625</v>
      </c>
      <c r="BD48" s="2220">
        <f>BD15/인프라!BC6</f>
        <v>3.77734375</v>
      </c>
      <c r="BE48" s="2220">
        <f>BE15/인프라!BD6</f>
        <v>3.8221343873517788</v>
      </c>
      <c r="BF48" s="3094"/>
      <c r="BG48" s="3091"/>
      <c r="BH48" s="3091"/>
      <c r="BI48" s="3091"/>
      <c r="BJ48" s="3091"/>
      <c r="BK48" s="3091"/>
      <c r="BL48" s="3091"/>
      <c r="BM48" s="3091"/>
      <c r="BN48" s="3091"/>
      <c r="BO48" s="3091"/>
      <c r="BP48" s="3091"/>
      <c r="BQ48" s="3091"/>
      <c r="BR48" s="3092"/>
      <c r="BS48" s="3095" t="s">
        <v>409</v>
      </c>
      <c r="BT48" s="3085">
        <f>BT15/인프라!BS6</f>
        <v>4.1397058823529411</v>
      </c>
      <c r="BU48" s="3085">
        <f>BU15/인프라!BT6</f>
        <v>4.1078066914498139</v>
      </c>
      <c r="BV48" s="3085">
        <f>BV15/인프라!BU6</f>
        <v>4.2906976744186043</v>
      </c>
      <c r="BW48" s="3085">
        <f>BW15/인프라!BV6</f>
        <v>4.2596899224806197</v>
      </c>
      <c r="BX48" s="3085">
        <f>BX15/인프라!BW6</f>
        <v>4.2295719844357977</v>
      </c>
      <c r="BY48" s="3085">
        <f>BY15/인프라!BX6</f>
        <v>4.3015873015873014</v>
      </c>
      <c r="BZ48" s="3085">
        <f>BZ15/인프라!BY6</f>
        <v>4.2244094488188972</v>
      </c>
      <c r="CA48" s="3085">
        <f>CA15/인프라!BZ6</f>
        <v>4.1897233201581026</v>
      </c>
      <c r="CB48" s="3085">
        <f>CB15/인프라!CA6</f>
        <v>4.1936758893280635</v>
      </c>
      <c r="CC48" s="3085">
        <f>CC15/인프라!CB6</f>
        <v>4.1587301587301591</v>
      </c>
      <c r="CD48" s="3085">
        <f>CD15/인프라!CC6</f>
        <v>4.162698412698413</v>
      </c>
      <c r="CE48" s="3085">
        <f>CE15/인프라!CD6</f>
        <v>4.2828685258964141</v>
      </c>
      <c r="CF48" s="3095" t="s">
        <v>409</v>
      </c>
      <c r="CG48" s="3085">
        <v>4.2</v>
      </c>
      <c r="CH48" s="3085">
        <f>CG48</f>
        <v>4.2</v>
      </c>
      <c r="CI48" s="3085">
        <f t="shared" ref="CI48:CR48" si="156">CH48</f>
        <v>4.2</v>
      </c>
      <c r="CJ48" s="3085">
        <f t="shared" si="156"/>
        <v>4.2</v>
      </c>
      <c r="CK48" s="3085">
        <f t="shared" si="156"/>
        <v>4.2</v>
      </c>
      <c r="CL48" s="3085">
        <f t="shared" si="156"/>
        <v>4.2</v>
      </c>
      <c r="CM48" s="3085">
        <f t="shared" si="156"/>
        <v>4.2</v>
      </c>
      <c r="CN48" s="3085">
        <f t="shared" si="156"/>
        <v>4.2</v>
      </c>
      <c r="CO48" s="3085">
        <f t="shared" si="156"/>
        <v>4.2</v>
      </c>
      <c r="CP48" s="3085">
        <f t="shared" si="156"/>
        <v>4.2</v>
      </c>
      <c r="CQ48" s="3085">
        <f t="shared" si="156"/>
        <v>4.2</v>
      </c>
      <c r="CR48" s="3085">
        <f t="shared" si="156"/>
        <v>4.2</v>
      </c>
    </row>
    <row r="49" spans="2:97">
      <c r="U49" s="633"/>
      <c r="V49" s="633"/>
      <c r="W49" s="633"/>
      <c r="X49" s="633"/>
      <c r="Y49" s="633"/>
      <c r="Z49" s="633"/>
      <c r="AA49" s="633"/>
      <c r="AB49" s="633"/>
      <c r="AC49" s="633"/>
      <c r="AD49" s="633"/>
      <c r="AE49" s="633"/>
      <c r="AG49" s="633"/>
      <c r="AH49" s="633"/>
      <c r="AI49" s="633"/>
      <c r="AJ49" s="633"/>
      <c r="AK49" s="633"/>
      <c r="AL49" s="633"/>
      <c r="AM49" s="633"/>
      <c r="AN49" s="633"/>
      <c r="AO49" s="633"/>
      <c r="AP49" s="633"/>
      <c r="AQ49" s="633"/>
      <c r="AR49" s="755"/>
      <c r="AT49" s="633"/>
      <c r="AU49" s="633"/>
      <c r="AV49" s="633"/>
      <c r="AW49" s="633"/>
      <c r="AX49" s="633"/>
      <c r="AY49" s="633"/>
      <c r="AZ49" s="633"/>
      <c r="BA49" s="633"/>
      <c r="BB49" s="633"/>
      <c r="BC49" s="633"/>
      <c r="BD49" s="633"/>
      <c r="BE49" s="755"/>
      <c r="BF49" s="2208" t="s">
        <v>541</v>
      </c>
      <c r="BG49" s="3086">
        <f>BG15/인프라!BF6</f>
        <v>4.0236220472440944</v>
      </c>
      <c r="BH49" s="3086">
        <f>BH15/인프라!BG6</f>
        <v>4</v>
      </c>
      <c r="BI49" s="3086">
        <f>BI15/인프라!BH6</f>
        <v>3.9770114942528734</v>
      </c>
      <c r="BJ49" s="3086">
        <f>BJ15/인프라!BI6</f>
        <v>4.011278195488722</v>
      </c>
      <c r="BK49" s="3086">
        <f>BK15/인프라!BJ6</f>
        <v>4.018796992481203</v>
      </c>
      <c r="BL49" s="3086">
        <f>BL15/인프라!BK6</f>
        <v>3.9298892988929888</v>
      </c>
      <c r="BM49" s="3086">
        <f>BM15/인프라!BL6</f>
        <v>3.9667896678966788</v>
      </c>
      <c r="BN49" s="3086">
        <f>BN15/인프라!BM6</f>
        <v>3.9411764705882355</v>
      </c>
      <c r="BO49" s="3086">
        <f>BO15/인프라!BN6</f>
        <v>3.9852941176470589</v>
      </c>
      <c r="BP49" s="3086">
        <f>BP15/인프라!BO6</f>
        <v>4.069852941176471</v>
      </c>
      <c r="BQ49" s="3086">
        <f>BQ15/인프라!BP6</f>
        <v>4.0996309963099629</v>
      </c>
      <c r="BR49" s="3086">
        <f>BR15/인프라!BQ6</f>
        <v>4.1066176470588234</v>
      </c>
      <c r="BS49" s="3096"/>
      <c r="BT49" s="3086"/>
      <c r="BU49" s="3086"/>
      <c r="BV49" s="3086"/>
      <c r="BW49" s="3086"/>
      <c r="BX49" s="3086"/>
      <c r="BY49" s="3086"/>
      <c r="BZ49" s="3086"/>
      <c r="CA49" s="3086"/>
      <c r="CB49" s="3086"/>
      <c r="CC49" s="3086"/>
      <c r="CD49" s="3086"/>
      <c r="CE49" s="3086"/>
      <c r="CF49" s="3096"/>
      <c r="CG49" s="3086"/>
      <c r="CH49" s="3086"/>
      <c r="CI49" s="3086"/>
      <c r="CJ49" s="3086"/>
      <c r="CK49" s="3086"/>
      <c r="CL49" s="3086"/>
      <c r="CM49" s="3086"/>
      <c r="CN49" s="3086"/>
      <c r="CO49" s="3086"/>
      <c r="CP49" s="3086"/>
      <c r="CQ49" s="3086"/>
      <c r="CR49" s="3086"/>
    </row>
    <row r="50" spans="2:97">
      <c r="BF50" s="2210"/>
      <c r="BG50" s="2210"/>
      <c r="BH50" s="2210"/>
      <c r="BI50" s="2210"/>
      <c r="BJ50" s="2210"/>
      <c r="BK50" s="2210"/>
      <c r="BL50" s="2210"/>
      <c r="BM50" s="2210"/>
      <c r="BN50" s="2210"/>
      <c r="BO50" s="2210"/>
      <c r="BP50" s="2210"/>
      <c r="BQ50" s="2210"/>
      <c r="BR50" s="2974"/>
      <c r="BS50" s="2210"/>
      <c r="BT50" s="2210"/>
      <c r="BU50" s="2210"/>
      <c r="BV50" s="2210"/>
      <c r="BW50" s="2210"/>
      <c r="BX50" s="2210"/>
      <c r="BY50" s="2210"/>
      <c r="BZ50" s="2210"/>
      <c r="CA50" s="2210"/>
      <c r="CB50" s="2210"/>
      <c r="CC50" s="2210"/>
      <c r="CD50" s="2210"/>
      <c r="CE50" s="2210"/>
      <c r="CF50" s="2210"/>
      <c r="CG50" s="2210"/>
      <c r="CH50" s="2210"/>
      <c r="CI50" s="2210"/>
      <c r="CJ50" s="2210"/>
      <c r="CK50" s="2210"/>
      <c r="CL50" s="2210"/>
      <c r="CM50" s="2210"/>
      <c r="CN50" s="2210"/>
      <c r="CO50" s="2210"/>
      <c r="CP50" s="2210"/>
      <c r="CQ50" s="2210"/>
      <c r="CR50" s="2210"/>
    </row>
    <row r="51" spans="2:97" ht="16.5" hidden="1" customHeight="1">
      <c r="B51" s="3391" t="s">
        <v>497</v>
      </c>
      <c r="C51" s="3392"/>
      <c r="AF51" s="1319">
        <f>AVERAGE(AG51:AR51)</f>
        <v>23.856656241666727</v>
      </c>
      <c r="AG51" s="1316">
        <f>무선!AF8/인건비!AG5</f>
        <v>22.385049365303242</v>
      </c>
      <c r="AH51" s="1317">
        <f>무선!AG8/인건비!AH5</f>
        <v>26.715566037735851</v>
      </c>
      <c r="AI51" s="1317">
        <f>무선!AH8/인건비!AI5</f>
        <v>24.303973192915269</v>
      </c>
      <c r="AJ51" s="1317">
        <f>무선!AI8/인건비!AJ5</f>
        <v>24.467458432304038</v>
      </c>
      <c r="AK51" s="1317">
        <f>무선!AJ8/인건비!AK5</f>
        <v>25.01363422661025</v>
      </c>
      <c r="AL51" s="1317">
        <f>무선!AK8/인건비!AL5</f>
        <v>24.466540999057493</v>
      </c>
      <c r="AM51" s="1317">
        <f>무선!AL8/인건비!AM5</f>
        <v>21.353874883286647</v>
      </c>
      <c r="AN51" s="1317">
        <f>무선!AM8/인건비!AN5</f>
        <v>28.08720112517581</v>
      </c>
      <c r="AO51" s="1317">
        <f>무선!AN8/인건비!AO5</f>
        <v>21.572641509433961</v>
      </c>
      <c r="AP51" s="1317">
        <f>무선!AO8/인건비!AP5</f>
        <v>31.790065604498594</v>
      </c>
      <c r="AQ51" s="1317">
        <f>무선!AP8/인건비!AQ5</f>
        <v>19.792575406032483</v>
      </c>
      <c r="AR51" s="1318">
        <f>무선!AQ8/인건비!AR5</f>
        <v>16.331294117647058</v>
      </c>
      <c r="AS51" s="1319">
        <f>AVERAGE(AT51:BE51)</f>
        <v>20.965375842005106</v>
      </c>
      <c r="AT51" s="1316">
        <f>무선!AS8/인건비!AT5</f>
        <v>18.630342496337672</v>
      </c>
      <c r="AU51" s="1317">
        <f>무선!AT8/인건비!AU5</f>
        <v>24.862935153190193</v>
      </c>
      <c r="AV51" s="1317">
        <f>무선!AU8/인건비!AV5</f>
        <v>19.601267878136088</v>
      </c>
      <c r="AW51" s="1317">
        <f>무선!AV8/인건비!AW5</f>
        <v>18.598424426985773</v>
      </c>
      <c r="AX51" s="1317">
        <f>무선!AW8/인건비!AX5</f>
        <v>20.328518203666139</v>
      </c>
      <c r="AY51" s="1317">
        <f>무선!AX8/인건비!AY5</f>
        <v>19.438754934957736</v>
      </c>
      <c r="AZ51" s="1317">
        <f>무선!AY8/인건비!AZ5</f>
        <v>19.189587425802337</v>
      </c>
      <c r="BA51" s="1317">
        <f>무선!AZ8/인건비!BA5</f>
        <v>27.699062528135261</v>
      </c>
      <c r="BB51" s="1317">
        <f>무선!BA8/인건비!BB5</f>
        <v>17.645326225394076</v>
      </c>
      <c r="BC51" s="1317">
        <f>무선!BB8/인건비!BC5</f>
        <v>32.351685801635995</v>
      </c>
      <c r="BD51" s="1317">
        <f>무선!BC8/인건비!BD5</f>
        <v>18.209654860554686</v>
      </c>
      <c r="BE51" s="1318">
        <f>무선!BD8/인건비!BE5</f>
        <v>15.02895016926532</v>
      </c>
      <c r="BF51" s="3097">
        <f>AVERAGE(BG51:BR51)</f>
        <v>21.789463414286104</v>
      </c>
      <c r="BG51" s="3087">
        <f>무선!BF8/인건비!BG5</f>
        <v>26.593535749265428</v>
      </c>
      <c r="BH51" s="3088">
        <f>무선!BG8/인건비!BH5</f>
        <v>18.693359375</v>
      </c>
      <c r="BI51" s="3088">
        <f>무선!BH8/인건비!BI5</f>
        <v>19.120563928050558</v>
      </c>
      <c r="BJ51" s="3088">
        <f>무선!BI8/인건비!BJ5</f>
        <v>20.33077660594439</v>
      </c>
      <c r="BK51" s="3088">
        <f>무선!BJ8/인건비!BK5</f>
        <v>20.632711621233859</v>
      </c>
      <c r="BL51" s="3088">
        <f>무선!BK8/인건비!BL5</f>
        <v>18.292601431980906</v>
      </c>
      <c r="BM51" s="3088">
        <f>무선!BL8/인건비!BM5</f>
        <v>26.251665080875355</v>
      </c>
      <c r="BN51" s="3088">
        <f>무선!BM8/인건비!BN5</f>
        <v>19.579923882017127</v>
      </c>
      <c r="BO51" s="3088">
        <f>무선!BN8/인건비!BO5</f>
        <v>29.601702932828761</v>
      </c>
      <c r="BP51" s="3088">
        <f>무선!BO8/인건비!BP5</f>
        <v>25.960280373831775</v>
      </c>
      <c r="BQ51" s="3088">
        <f>무선!BP8/인건비!BQ5</f>
        <v>20.043155452436196</v>
      </c>
      <c r="BR51" s="3089">
        <f>무선!BQ8/인건비!BR5</f>
        <v>16.373284537968892</v>
      </c>
      <c r="BS51" s="3097">
        <f>AVERAGE(BT51:CE51)</f>
        <v>24.439673677368489</v>
      </c>
      <c r="BT51" s="3087">
        <f>무선!BS8/인건비!BT5</f>
        <v>15.211998195760035</v>
      </c>
      <c r="BU51" s="3088">
        <f>무선!BT8/인건비!BU5</f>
        <v>30.534568459105287</v>
      </c>
      <c r="BV51" s="3088">
        <f>무선!BU8/인건비!BV5</f>
        <v>19.344719101123594</v>
      </c>
      <c r="BW51" s="3088">
        <f>무선!BV8/인건비!BW5</f>
        <v>20.960125448028673</v>
      </c>
      <c r="BX51" s="3088">
        <f>무선!BW8/인건비!BX5</f>
        <v>28.386445242369838</v>
      </c>
      <c r="BY51" s="3088">
        <f>무선!BX8/인건비!BY5</f>
        <v>23.133242999096659</v>
      </c>
      <c r="BZ51" s="3088">
        <f>무선!BY8/인건비!BZ5</f>
        <v>31.419178082191781</v>
      </c>
      <c r="CA51" s="3088">
        <f>무선!BZ8/인건비!CA5</f>
        <v>22.880919540229886</v>
      </c>
      <c r="CB51" s="3088">
        <f>무선!CA8/인건비!CB5</f>
        <v>31.995852534562211</v>
      </c>
      <c r="CC51" s="3088">
        <f>무선!CB8/인건비!CC5</f>
        <v>26.219841639496973</v>
      </c>
      <c r="CD51" s="3088">
        <f>무선!CC8/인건비!CD5</f>
        <v>21.718604651162792</v>
      </c>
      <c r="CE51" s="3089">
        <f>무선!CD8/인건비!CE5</f>
        <v>21.470588235294116</v>
      </c>
      <c r="CF51" s="3097">
        <f>AVERAGE(CG51:CR51)</f>
        <v>26.148491057017253</v>
      </c>
      <c r="CG51" s="3087">
        <f>무선!CF8/인건비!CG5</f>
        <v>27.668598425573446</v>
      </c>
      <c r="CH51" s="3088">
        <f>무선!CG8/인건비!CH5</f>
        <v>22.603917079264431</v>
      </c>
      <c r="CI51" s="3088">
        <f>무선!CH8/인건비!CI5</f>
        <v>30.04299927488583</v>
      </c>
      <c r="CJ51" s="3088">
        <f>무선!CI8/인건비!CJ5</f>
        <v>24.152310034362444</v>
      </c>
      <c r="CK51" s="3088">
        <f>무선!CJ8/인건비!CK5</f>
        <v>24.029734341137839</v>
      </c>
      <c r="CL51" s="3088">
        <f>무선!CK8/인건비!CL5</f>
        <v>23.734212597897333</v>
      </c>
      <c r="CM51" s="3088">
        <f>무선!CL8/인건비!CM5</f>
        <v>31.041719581458146</v>
      </c>
      <c r="CN51" s="3088">
        <f>무선!CM8/인건비!CN5</f>
        <v>24.561555664864883</v>
      </c>
      <c r="CO51" s="3088">
        <f>무선!CN8/인건비!CO5</f>
        <v>32.725056384350609</v>
      </c>
      <c r="CP51" s="3088">
        <f>무선!CO8/인건비!CP5</f>
        <v>26.702918132496073</v>
      </c>
      <c r="CQ51" s="3088">
        <f>무선!CP8/인건비!CQ5</f>
        <v>24.929485578015221</v>
      </c>
      <c r="CR51" s="3089">
        <f>무선!CQ8/인건비!CR5</f>
        <v>21.589385589900775</v>
      </c>
    </row>
    <row r="52" spans="2:97" ht="16.5" hidden="1" customHeight="1">
      <c r="B52" s="3391" t="s">
        <v>498</v>
      </c>
      <c r="C52" s="3392"/>
      <c r="AF52" s="1319">
        <f>AVERAGE(AG52:AR52)</f>
        <v>26.122719233769356</v>
      </c>
      <c r="AG52" s="1316">
        <f>무선!AF8/인건비!AG7</f>
        <v>24.492283950617285</v>
      </c>
      <c r="AH52" s="1317">
        <f>무선!AG8/인건비!AH7</f>
        <v>29.239545689210118</v>
      </c>
      <c r="AI52" s="1317">
        <f>무선!AH8/인건비!AI7</f>
        <v>26.623492396434191</v>
      </c>
      <c r="AJ52" s="1317">
        <f>무선!AI8/인건비!AJ7</f>
        <v>26.727555786196159</v>
      </c>
      <c r="AK52" s="1317">
        <f>무선!AJ8/인건비!AK7</f>
        <v>27.467217346411978</v>
      </c>
      <c r="AL52" s="1317">
        <f>무선!AK8/인건비!AL7</f>
        <v>26.831007751937985</v>
      </c>
      <c r="AM52" s="1317">
        <f>무선!AL8/인건비!AM7</f>
        <v>23.38445807770961</v>
      </c>
      <c r="AN52" s="1317">
        <f>무선!AM8/인건비!AN7</f>
        <v>30.770416024653311</v>
      </c>
      <c r="AO52" s="1317">
        <f>무선!AN8/인건비!AO7</f>
        <v>23.647362978283351</v>
      </c>
      <c r="AP52" s="1317">
        <f>무선!AO8/인건비!AP7</f>
        <v>34.789743589743587</v>
      </c>
      <c r="AQ52" s="1317">
        <f>무선!AP8/인건비!AQ7</f>
        <v>21.629310344827587</v>
      </c>
      <c r="AR52" s="1318">
        <f>무선!AQ8/인건비!AR7</f>
        <v>17.870236869207002</v>
      </c>
      <c r="AS52" s="1319">
        <f>AVERAGE(AT52:BE52)</f>
        <v>22.879987906018414</v>
      </c>
      <c r="AT52" s="1316">
        <f>무선!AS8/인건비!AT7</f>
        <v>20.299864023504387</v>
      </c>
      <c r="AU52" s="1317">
        <f>무선!AT8/인건비!AU7</f>
        <v>27.071281613963595</v>
      </c>
      <c r="AV52" s="1317">
        <f>무선!AU8/인건비!AV7</f>
        <v>21.353899230035207</v>
      </c>
      <c r="AW52" s="1317">
        <f>무선!AV8/인건비!AW7</f>
        <v>20.270840887086816</v>
      </c>
      <c r="AX52" s="1317">
        <f>무선!AW8/인건비!AX7</f>
        <v>22.160387763728743</v>
      </c>
      <c r="AY52" s="1317">
        <f>무선!AX8/인건비!AY7</f>
        <v>21.176523047646267</v>
      </c>
      <c r="AZ52" s="1317">
        <f>무선!AY8/인건비!AZ7</f>
        <v>20.905080688400052</v>
      </c>
      <c r="BA52" s="1317">
        <f>무선!AZ8/인건비!BA7</f>
        <v>30.31027623521468</v>
      </c>
      <c r="BB52" s="1317">
        <f>무선!BA8/인건비!BB7</f>
        <v>19.308765833100495</v>
      </c>
      <c r="BC52" s="1317">
        <f>무선!BB8/인건비!BC7</f>
        <v>35.401506181894391</v>
      </c>
      <c r="BD52" s="1317">
        <f>무선!BC8/인건비!BD7</f>
        <v>19.887612585925169</v>
      </c>
      <c r="BE52" s="1318">
        <f>무선!BD8/인건비!BE7</f>
        <v>16.413816781721181</v>
      </c>
      <c r="BF52" s="3097">
        <f>AVERAGE(BG52:BR52)</f>
        <v>23.818658951482448</v>
      </c>
      <c r="BG52" s="3087">
        <f>무선!BF8/인건비!BG7</f>
        <v>29.10182207931404</v>
      </c>
      <c r="BH52" s="3088">
        <f>무선!BG8/인건비!BH7</f>
        <v>20.418133333333333</v>
      </c>
      <c r="BI52" s="3088">
        <f>무선!BH8/인건비!BI7</f>
        <v>20.876326963906582</v>
      </c>
      <c r="BJ52" s="3088">
        <f>무선!BI8/인건비!BJ7</f>
        <v>22.14621409921671</v>
      </c>
      <c r="BK52" s="3088">
        <f>무선!BJ8/인건비!BK7</f>
        <v>22.470312499999999</v>
      </c>
      <c r="BL52" s="3088">
        <f>무선!BK8/인건비!BL7</f>
        <v>20.053898482469911</v>
      </c>
      <c r="BM52" s="3088">
        <f>무선!BL8/인건비!BM7</f>
        <v>28.755080771235018</v>
      </c>
      <c r="BN52" s="3088">
        <f>무선!BM8/인건비!BN7</f>
        <v>21.447107868681606</v>
      </c>
      <c r="BO52" s="3088">
        <f>무선!BN8/인건비!BO7</f>
        <v>32.407042982910411</v>
      </c>
      <c r="BP52" s="3088">
        <f>무선!BO8/인건비!BP7</f>
        <v>28.402351738241308</v>
      </c>
      <c r="BQ52" s="3088">
        <f>무선!BP8/인건비!BQ7</f>
        <v>21.903144016227181</v>
      </c>
      <c r="BR52" s="3089">
        <f>무선!BQ8/인건비!BR7</f>
        <v>17.84247258225324</v>
      </c>
      <c r="BS52" s="3097">
        <f>AVERAGE(BT52:CE52)</f>
        <v>26.682170427458715</v>
      </c>
      <c r="BT52" s="3087">
        <f>무선!BS8/인건비!BT7</f>
        <v>16.556210112911145</v>
      </c>
      <c r="BU52" s="3088">
        <f>무선!BT8/인건비!BU7</f>
        <v>33.287192118226599</v>
      </c>
      <c r="BV52" s="3088">
        <f>무선!BU8/인건비!BV7</f>
        <v>21.057729941291583</v>
      </c>
      <c r="BW52" s="3088">
        <f>무선!BV8/인건비!BW7</f>
        <v>22.809848854217456</v>
      </c>
      <c r="BX52" s="3088">
        <f>무선!BW8/인건비!BX7</f>
        <v>30.896433805569124</v>
      </c>
      <c r="BY52" s="3088">
        <f>무선!BX8/인건비!BY7</f>
        <v>25.192818494835219</v>
      </c>
      <c r="BZ52" s="3088">
        <f>무선!BY8/인건비!BZ7</f>
        <v>34.232835820895524</v>
      </c>
      <c r="CA52" s="3088">
        <f>무선!BZ8/인건비!CA7</f>
        <v>25.071032745591939</v>
      </c>
      <c r="CB52" s="3088">
        <f>무선!CA8/인건비!CB7</f>
        <v>35.048460373548714</v>
      </c>
      <c r="CC52" s="3088">
        <f>무선!CB8/인건비!CC7</f>
        <v>28.750766087844738</v>
      </c>
      <c r="CD52" s="3088">
        <f>무선!CC8/인건비!CD7</f>
        <v>23.811830698623151</v>
      </c>
      <c r="CE52" s="3089">
        <f>무선!CD8/인건비!CE7</f>
        <v>23.470886075949366</v>
      </c>
      <c r="CF52" s="3097">
        <f>AVERAGE(CG52:CR52)</f>
        <v>28.77041995583151</v>
      </c>
      <c r="CG52" s="3087">
        <f>무선!CF8/인건비!CG7</f>
        <v>30.423752432453888</v>
      </c>
      <c r="CH52" s="3088">
        <f>무선!CG8/인건비!CH7</f>
        <v>24.863684326466259</v>
      </c>
      <c r="CI52" s="3088">
        <f>무선!CH8/인건비!CI7</f>
        <v>32.999783166502127</v>
      </c>
      <c r="CJ52" s="3088">
        <f>무선!CI8/인건비!CJ7</f>
        <v>26.533617845817947</v>
      </c>
      <c r="CK52" s="3088">
        <f>무선!CJ8/인건비!CK7</f>
        <v>26.388674230647442</v>
      </c>
      <c r="CL52" s="3088">
        <f>무선!CK8/인건비!CL7</f>
        <v>26.063259387278848</v>
      </c>
      <c r="CM52" s="3088">
        <f>무선!CL8/인건비!CM7</f>
        <v>34.202400686635933</v>
      </c>
      <c r="CN52" s="3088">
        <f>무선!CM8/인건비!CN7</f>
        <v>27.061480967286016</v>
      </c>
      <c r="CO52" s="3088">
        <f>무선!CN8/인건비!CO7</f>
        <v>36.041558720442922</v>
      </c>
      <c r="CP52" s="3088">
        <f>무선!CO8/인건비!CP7</f>
        <v>29.418748104878564</v>
      </c>
      <c r="CQ52" s="3088">
        <f>무선!CP8/인건비!CQ7</f>
        <v>27.474010018413367</v>
      </c>
      <c r="CR52" s="3089">
        <f>무선!CQ8/인건비!CR7</f>
        <v>23.774069583154791</v>
      </c>
    </row>
    <row r="53" spans="2:97" hidden="1">
      <c r="AG53" s="610"/>
      <c r="AS53" s="371"/>
      <c r="AT53" s="610"/>
      <c r="BF53" s="2210"/>
      <c r="BG53" s="3090"/>
      <c r="BH53" s="2210"/>
      <c r="BI53" s="2210"/>
      <c r="BJ53" s="2210"/>
      <c r="BK53" s="2210"/>
      <c r="BL53" s="2210"/>
      <c r="BM53" s="2210"/>
      <c r="BN53" s="2210"/>
      <c r="BO53" s="2210"/>
      <c r="BP53" s="2210"/>
      <c r="BQ53" s="2210"/>
      <c r="BR53" s="2974"/>
      <c r="BS53" s="2210"/>
      <c r="BT53" s="3090"/>
      <c r="BU53" s="2210"/>
      <c r="BV53" s="2210"/>
      <c r="BW53" s="2210"/>
      <c r="BX53" s="2210"/>
      <c r="BY53" s="2210"/>
      <c r="BZ53" s="2210"/>
      <c r="CA53" s="2210"/>
      <c r="CB53" s="2210"/>
      <c r="CC53" s="2210"/>
      <c r="CD53" s="2210"/>
      <c r="CE53" s="2210"/>
      <c r="CF53" s="2210"/>
      <c r="CG53" s="3090"/>
      <c r="CH53" s="2210"/>
      <c r="CI53" s="2210"/>
      <c r="CJ53" s="2210"/>
      <c r="CK53" s="2210"/>
      <c r="CL53" s="2210"/>
      <c r="CM53" s="2210"/>
      <c r="CN53" s="2210"/>
      <c r="CO53" s="2210"/>
      <c r="CP53" s="2210"/>
      <c r="CQ53" s="2210"/>
      <c r="CR53" s="2210"/>
    </row>
    <row r="54" spans="2:97">
      <c r="AG54" s="729"/>
      <c r="AS54" s="371"/>
      <c r="AT54" s="729"/>
      <c r="BD54" s="991">
        <f>BD53*1900</f>
        <v>0</v>
      </c>
      <c r="BF54" s="2210"/>
      <c r="BG54" s="3093"/>
      <c r="BH54" s="2210"/>
      <c r="BI54" s="2210"/>
      <c r="BJ54" s="2210"/>
      <c r="BK54" s="2210"/>
      <c r="BL54" s="2210"/>
      <c r="BM54" s="2210"/>
      <c r="BN54" s="2210"/>
      <c r="BO54" s="2210"/>
      <c r="BP54" s="2210"/>
      <c r="BQ54" s="3098"/>
      <c r="BR54" s="2974"/>
      <c r="BS54" s="3095" t="s">
        <v>876</v>
      </c>
      <c r="BT54" s="3085">
        <f>BT17/인프라!BS5</f>
        <v>8.1428571428571423</v>
      </c>
      <c r="BU54" s="3085">
        <f>BU17/인프라!BT5</f>
        <v>8.1190476190476186</v>
      </c>
      <c r="BV54" s="3085">
        <f>BV17/인프라!BU5</f>
        <v>8.2142857142857135</v>
      </c>
      <c r="BW54" s="3085">
        <f>BW17/인프라!BV5</f>
        <v>7.9523809523809526</v>
      </c>
      <c r="BX54" s="3085">
        <f>BX17/인프라!BW5</f>
        <v>7.8095238095238093</v>
      </c>
      <c r="BY54" s="3085">
        <f>BY17/인프라!BX5</f>
        <v>7.666666666666667</v>
      </c>
      <c r="BZ54" s="3085">
        <f>BZ17/인프라!BY5</f>
        <v>7.7380952380952381</v>
      </c>
      <c r="CA54" s="3085">
        <f>CA17/인프라!BZ5</f>
        <v>7.6428571428571432</v>
      </c>
      <c r="CB54" s="3085">
        <f>CB17/인프라!CA5</f>
        <v>7.5238095238095237</v>
      </c>
      <c r="CC54" s="3085">
        <f>CC17/인프라!CB5</f>
        <v>7.5</v>
      </c>
      <c r="CD54" s="3085">
        <f>CD17/인프라!CC5</f>
        <v>7.666666666666667</v>
      </c>
      <c r="CE54" s="3085">
        <f>CE17/인프라!CD5</f>
        <v>7.7142857142857144</v>
      </c>
      <c r="CF54" s="3095" t="s">
        <v>876</v>
      </c>
      <c r="CG54" s="3085">
        <v>7.666666666666667</v>
      </c>
      <c r="CH54" s="3085">
        <f>CG54</f>
        <v>7.666666666666667</v>
      </c>
      <c r="CI54" s="3085">
        <f t="shared" ref="CI54:CR54" si="157">CH54</f>
        <v>7.666666666666667</v>
      </c>
      <c r="CJ54" s="3085">
        <f t="shared" si="157"/>
        <v>7.666666666666667</v>
      </c>
      <c r="CK54" s="3085">
        <f t="shared" si="157"/>
        <v>7.666666666666667</v>
      </c>
      <c r="CL54" s="3085">
        <f t="shared" si="157"/>
        <v>7.666666666666667</v>
      </c>
      <c r="CM54" s="3085">
        <f t="shared" si="157"/>
        <v>7.666666666666667</v>
      </c>
      <c r="CN54" s="3085">
        <f t="shared" si="157"/>
        <v>7.666666666666667</v>
      </c>
      <c r="CO54" s="3085">
        <f t="shared" si="157"/>
        <v>7.666666666666667</v>
      </c>
      <c r="CP54" s="3085">
        <f t="shared" si="157"/>
        <v>7.666666666666667</v>
      </c>
      <c r="CQ54" s="3085">
        <f t="shared" si="157"/>
        <v>7.666666666666667</v>
      </c>
      <c r="CR54" s="3085">
        <f t="shared" si="157"/>
        <v>7.666666666666667</v>
      </c>
    </row>
    <row r="55" spans="2:97">
      <c r="AS55" s="371"/>
    </row>
    <row r="56" spans="2:97">
      <c r="AS56" s="371"/>
      <c r="CE56" s="2837" t="s">
        <v>756</v>
      </c>
      <c r="CF56" s="2838">
        <v>0.03</v>
      </c>
      <c r="CR56" s="2060"/>
    </row>
    <row r="57" spans="2:97">
      <c r="CS57" s="1022"/>
    </row>
    <row r="58" spans="2:97">
      <c r="CS58" s="2553"/>
    </row>
    <row r="59" spans="2:97">
      <c r="CS59" s="2553"/>
    </row>
  </sheetData>
  <mergeCells count="21">
    <mergeCell ref="S3:AE3"/>
    <mergeCell ref="C14:C18"/>
    <mergeCell ref="B3:E4"/>
    <mergeCell ref="C5:C13"/>
    <mergeCell ref="D12:D13"/>
    <mergeCell ref="CF3:CR3"/>
    <mergeCell ref="B52:C52"/>
    <mergeCell ref="B51:C51"/>
    <mergeCell ref="BS3:CE3"/>
    <mergeCell ref="BF3:BR3"/>
    <mergeCell ref="AS3:BE3"/>
    <mergeCell ref="B47:C47"/>
    <mergeCell ref="B37:C44"/>
    <mergeCell ref="B24:C27"/>
    <mergeCell ref="B28:C33"/>
    <mergeCell ref="B34:C34"/>
    <mergeCell ref="B35:C36"/>
    <mergeCell ref="C19:C23"/>
    <mergeCell ref="AF3:AR3"/>
    <mergeCell ref="B5:B23"/>
    <mergeCell ref="F3:R3"/>
  </mergeCells>
  <phoneticPr fontId="2" type="noConversion"/>
  <pageMargins left="0.7" right="0.7" top="0.75" bottom="0.75" header="0.3" footer="0.3"/>
  <pageSetup paperSize="9" orientation="portrait" r:id="rId1"/>
  <ignoredErrors>
    <ignoredError sqref="BF5 BS5:CE5 BS38:CE38 BS32 BS31 BS7:CE9 BS6 BS13:CE13 BS11:BS12 BS19:CE21 BS15:BS18 BS10 BS27:CE27 BS29:BS30 BS33 BS34 BS35 BS36 BS40 BS39 BS42:CD42 BS41 BS44:BX44 BS43 BS37 BS23:CE23 BS22:BW22 BZ22:CE22 CA35:CD35 CF5:CF14 CG17 CF24 BS14:CD14 BS24:BX24 CF39:CF42 CF44 CF27:CF37" formula="1"/>
    <ignoredError sqref="CE35 CE42" evalError="1" formula="1"/>
    <ignoredError sqref="CE44:CE54 CE24:CE26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tabColor theme="8" tint="0.39997558519241921"/>
  </sheetPr>
  <dimension ref="B1:CS49"/>
  <sheetViews>
    <sheetView showGridLines="0" zoomScale="85" zoomScaleNormal="85" workbookViewId="0">
      <pane xSplit="4" ySplit="4" topLeftCell="E5" activePane="bottomRight" state="frozen"/>
      <selection activeCell="DA43" sqref="DA43"/>
      <selection pane="topRight" activeCell="DA43" sqref="DA43"/>
      <selection pane="bottomLeft" activeCell="DA43" sqref="DA43"/>
      <selection pane="bottomRight" activeCell="B3" sqref="B3:D4"/>
    </sheetView>
  </sheetViews>
  <sheetFormatPr defaultRowHeight="17" outlineLevelCol="1"/>
  <cols>
    <col min="1" max="1" width="4" customWidth="1"/>
    <col min="2" max="2" width="7.5" customWidth="1"/>
    <col min="3" max="3" width="13.08203125" bestFit="1" customWidth="1"/>
    <col min="4" max="4" width="14.75" customWidth="1"/>
    <col min="5" max="5" width="10.58203125" customWidth="1"/>
    <col min="6" max="17" width="10.58203125" hidden="1" customWidth="1" outlineLevel="1"/>
    <col min="18" max="18" width="10.58203125" customWidth="1" collapsed="1"/>
    <col min="19" max="30" width="10.58203125" hidden="1" customWidth="1" outlineLevel="1"/>
    <col min="31" max="31" width="10.58203125" customWidth="1" collapsed="1"/>
    <col min="32" max="43" width="10.58203125" hidden="1" customWidth="1" outlineLevel="1"/>
    <col min="44" max="44" width="10.58203125" customWidth="1" collapsed="1"/>
    <col min="45" max="56" width="10.58203125" hidden="1" customWidth="1" outlineLevel="1"/>
    <col min="57" max="57" width="10.58203125" customWidth="1" collapsed="1"/>
    <col min="58" max="68" width="10.58203125" customWidth="1" outlineLevel="1"/>
    <col min="69" max="70" width="10.58203125" customWidth="1"/>
    <col min="71" max="81" width="10.58203125" customWidth="1" outlineLevel="1"/>
    <col min="82" max="82" width="10.58203125" customWidth="1"/>
    <col min="83" max="83" width="10.58203125" customWidth="1" collapsed="1"/>
    <col min="84" max="94" width="10.58203125" customWidth="1" outlineLevel="1"/>
    <col min="95" max="95" width="10.58203125" customWidth="1"/>
  </cols>
  <sheetData>
    <row r="1" spans="2:95">
      <c r="BE1" s="785"/>
      <c r="BF1" s="1306"/>
      <c r="BR1" s="2112"/>
      <c r="BS1" s="2113"/>
      <c r="BT1" s="2113"/>
      <c r="BU1" s="2113"/>
      <c r="BV1" s="2113"/>
      <c r="BW1" s="2113"/>
      <c r="BX1" s="2113"/>
      <c r="BY1" s="2113"/>
      <c r="BZ1" s="2113"/>
      <c r="CA1" s="2113"/>
      <c r="CB1" s="2113"/>
      <c r="CC1" s="2113"/>
      <c r="CD1" s="2113"/>
      <c r="CE1" s="2112"/>
      <c r="CF1" s="2113"/>
      <c r="CG1" s="2113"/>
      <c r="CH1" s="2113"/>
      <c r="CI1" s="2113"/>
      <c r="CJ1" s="2113"/>
      <c r="CK1" s="2113"/>
      <c r="CL1" s="2113"/>
      <c r="CM1" s="2113"/>
      <c r="CN1" s="2113"/>
      <c r="CO1" s="2113"/>
      <c r="CP1" s="2113"/>
      <c r="CQ1" s="2113"/>
    </row>
    <row r="2" spans="2:95" ht="21">
      <c r="B2" s="11" t="s">
        <v>138</v>
      </c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2114"/>
      <c r="BS2" s="2114"/>
      <c r="BT2" s="2114"/>
      <c r="BU2" s="2114"/>
      <c r="BV2" s="2114"/>
      <c r="BW2" s="2114"/>
      <c r="BX2" s="2114"/>
      <c r="BY2" s="2114"/>
      <c r="BZ2" s="2114"/>
      <c r="CA2" s="2114"/>
      <c r="CB2" s="2114"/>
      <c r="CC2" s="2114"/>
      <c r="CD2" s="2114"/>
      <c r="CE2" s="2114"/>
      <c r="CF2" s="2114"/>
      <c r="CG2" s="2114"/>
      <c r="CH2" s="2114"/>
      <c r="CI2" s="2114"/>
      <c r="CJ2" s="2114"/>
      <c r="CK2" s="2114"/>
      <c r="CL2" s="2114"/>
      <c r="CM2" s="2114"/>
      <c r="CN2" s="2114"/>
      <c r="CO2" s="2114"/>
      <c r="CP2" s="2114"/>
      <c r="CQ2" s="2114"/>
    </row>
    <row r="3" spans="2:95">
      <c r="B3" s="3410" t="s">
        <v>27</v>
      </c>
      <c r="C3" s="3410"/>
      <c r="D3" s="3411"/>
      <c r="E3" s="3329" t="s">
        <v>359</v>
      </c>
      <c r="F3" s="3310"/>
      <c r="G3" s="3310"/>
      <c r="H3" s="3310"/>
      <c r="I3" s="3310"/>
      <c r="J3" s="3310"/>
      <c r="K3" s="3310"/>
      <c r="L3" s="3310"/>
      <c r="M3" s="3310"/>
      <c r="N3" s="3310"/>
      <c r="O3" s="3310"/>
      <c r="P3" s="3310"/>
      <c r="Q3" s="3362"/>
      <c r="R3" s="3310" t="s">
        <v>377</v>
      </c>
      <c r="S3" s="3310"/>
      <c r="T3" s="3310"/>
      <c r="U3" s="3310"/>
      <c r="V3" s="3310"/>
      <c r="W3" s="3310"/>
      <c r="X3" s="3310"/>
      <c r="Y3" s="3310"/>
      <c r="Z3" s="3310"/>
      <c r="AA3" s="3310"/>
      <c r="AB3" s="3310"/>
      <c r="AC3" s="3310"/>
      <c r="AD3" s="3310"/>
      <c r="AE3" s="3409" t="s">
        <v>396</v>
      </c>
      <c r="AF3" s="3310"/>
      <c r="AG3" s="3310"/>
      <c r="AH3" s="3310"/>
      <c r="AI3" s="3310"/>
      <c r="AJ3" s="3310"/>
      <c r="AK3" s="3310"/>
      <c r="AL3" s="3310"/>
      <c r="AM3" s="3310"/>
      <c r="AN3" s="3310"/>
      <c r="AO3" s="3310"/>
      <c r="AP3" s="3310"/>
      <c r="AQ3" s="3310"/>
      <c r="AR3" s="3409" t="s">
        <v>413</v>
      </c>
      <c r="AS3" s="3310"/>
      <c r="AT3" s="3310"/>
      <c r="AU3" s="3310"/>
      <c r="AV3" s="3310"/>
      <c r="AW3" s="3310"/>
      <c r="AX3" s="3310"/>
      <c r="AY3" s="3310"/>
      <c r="AZ3" s="3310"/>
      <c r="BA3" s="3310"/>
      <c r="BB3" s="3310"/>
      <c r="BC3" s="3310"/>
      <c r="BD3" s="3362"/>
      <c r="BE3" s="3409" t="s">
        <v>468</v>
      </c>
      <c r="BF3" s="3310"/>
      <c r="BG3" s="3310"/>
      <c r="BH3" s="3310"/>
      <c r="BI3" s="3310"/>
      <c r="BJ3" s="3310"/>
      <c r="BK3" s="3310"/>
      <c r="BL3" s="3310"/>
      <c r="BM3" s="3310"/>
      <c r="BN3" s="3310"/>
      <c r="BO3" s="3310"/>
      <c r="BP3" s="3310"/>
      <c r="BQ3" s="3362"/>
      <c r="BR3" s="3310" t="s">
        <v>849</v>
      </c>
      <c r="BS3" s="3310"/>
      <c r="BT3" s="3310"/>
      <c r="BU3" s="3310"/>
      <c r="BV3" s="3310"/>
      <c r="BW3" s="3310"/>
      <c r="BX3" s="3310"/>
      <c r="BY3" s="3310"/>
      <c r="BZ3" s="3310"/>
      <c r="CA3" s="3310"/>
      <c r="CB3" s="3310"/>
      <c r="CC3" s="3310"/>
      <c r="CD3" s="3310"/>
      <c r="CE3" s="3258" t="s">
        <v>699</v>
      </c>
      <c r="CF3" s="3259"/>
      <c r="CG3" s="3259"/>
      <c r="CH3" s="3259"/>
      <c r="CI3" s="3259"/>
      <c r="CJ3" s="3259"/>
      <c r="CK3" s="3259"/>
      <c r="CL3" s="3259"/>
      <c r="CM3" s="3259"/>
      <c r="CN3" s="3259"/>
      <c r="CO3" s="3259"/>
      <c r="CP3" s="3259"/>
      <c r="CQ3" s="3259"/>
    </row>
    <row r="4" spans="2:95">
      <c r="B4" s="3412"/>
      <c r="C4" s="3412"/>
      <c r="D4" s="3413"/>
      <c r="E4" s="294" t="s">
        <v>360</v>
      </c>
      <c r="F4" s="295" t="s">
        <v>361</v>
      </c>
      <c r="G4" s="296" t="s">
        <v>362</v>
      </c>
      <c r="H4" s="296" t="s">
        <v>4</v>
      </c>
      <c r="I4" s="296" t="s">
        <v>5</v>
      </c>
      <c r="J4" s="296" t="s">
        <v>6</v>
      </c>
      <c r="K4" s="296" t="s">
        <v>7</v>
      </c>
      <c r="L4" s="296" t="s">
        <v>8</v>
      </c>
      <c r="M4" s="296" t="s">
        <v>9</v>
      </c>
      <c r="N4" s="296" t="s">
        <v>10</v>
      </c>
      <c r="O4" s="296" t="s">
        <v>11</v>
      </c>
      <c r="P4" s="296" t="s">
        <v>12</v>
      </c>
      <c r="Q4" s="297" t="s">
        <v>13</v>
      </c>
      <c r="R4" s="294" t="s">
        <v>117</v>
      </c>
      <c r="S4" s="295" t="s">
        <v>118</v>
      </c>
      <c r="T4" s="296" t="s">
        <v>119</v>
      </c>
      <c r="U4" s="296" t="s">
        <v>4</v>
      </c>
      <c r="V4" s="296" t="s">
        <v>5</v>
      </c>
      <c r="W4" s="296" t="s">
        <v>6</v>
      </c>
      <c r="X4" s="296" t="s">
        <v>7</v>
      </c>
      <c r="Y4" s="296" t="s">
        <v>8</v>
      </c>
      <c r="Z4" s="296" t="s">
        <v>9</v>
      </c>
      <c r="AA4" s="296" t="s">
        <v>10</v>
      </c>
      <c r="AB4" s="296" t="s">
        <v>11</v>
      </c>
      <c r="AC4" s="296" t="s">
        <v>12</v>
      </c>
      <c r="AD4" s="828" t="s">
        <v>13</v>
      </c>
      <c r="AE4" s="842" t="s">
        <v>117</v>
      </c>
      <c r="AF4" s="295" t="s">
        <v>118</v>
      </c>
      <c r="AG4" s="296" t="s">
        <v>119</v>
      </c>
      <c r="AH4" s="296" t="s">
        <v>4</v>
      </c>
      <c r="AI4" s="296" t="s">
        <v>5</v>
      </c>
      <c r="AJ4" s="296" t="s">
        <v>6</v>
      </c>
      <c r="AK4" s="296" t="s">
        <v>7</v>
      </c>
      <c r="AL4" s="296" t="s">
        <v>8</v>
      </c>
      <c r="AM4" s="296" t="s">
        <v>9</v>
      </c>
      <c r="AN4" s="296" t="s">
        <v>10</v>
      </c>
      <c r="AO4" s="296" t="s">
        <v>11</v>
      </c>
      <c r="AP4" s="296" t="s">
        <v>12</v>
      </c>
      <c r="AQ4" s="828" t="s">
        <v>13</v>
      </c>
      <c r="AR4" s="842" t="s">
        <v>1</v>
      </c>
      <c r="AS4" s="295" t="s">
        <v>2</v>
      </c>
      <c r="AT4" s="296" t="s">
        <v>119</v>
      </c>
      <c r="AU4" s="296" t="s">
        <v>4</v>
      </c>
      <c r="AV4" s="296" t="s">
        <v>5</v>
      </c>
      <c r="AW4" s="296" t="s">
        <v>6</v>
      </c>
      <c r="AX4" s="296" t="s">
        <v>7</v>
      </c>
      <c r="AY4" s="296" t="s">
        <v>8</v>
      </c>
      <c r="AZ4" s="296" t="s">
        <v>9</v>
      </c>
      <c r="BA4" s="296" t="s">
        <v>10</v>
      </c>
      <c r="BB4" s="296" t="s">
        <v>11</v>
      </c>
      <c r="BC4" s="296" t="s">
        <v>12</v>
      </c>
      <c r="BD4" s="297" t="s">
        <v>13</v>
      </c>
      <c r="BE4" s="829" t="s">
        <v>1</v>
      </c>
      <c r="BF4" s="827" t="s">
        <v>2</v>
      </c>
      <c r="BG4" s="296" t="s">
        <v>3</v>
      </c>
      <c r="BH4" s="296" t="s">
        <v>4</v>
      </c>
      <c r="BI4" s="296" t="s">
        <v>5</v>
      </c>
      <c r="BJ4" s="296" t="s">
        <v>6</v>
      </c>
      <c r="BK4" s="296" t="s">
        <v>7</v>
      </c>
      <c r="BL4" s="296" t="s">
        <v>8</v>
      </c>
      <c r="BM4" s="296" t="s">
        <v>9</v>
      </c>
      <c r="BN4" s="296" t="s">
        <v>10</v>
      </c>
      <c r="BO4" s="296" t="s">
        <v>11</v>
      </c>
      <c r="BP4" s="296" t="s">
        <v>12</v>
      </c>
      <c r="BQ4" s="1441" t="s">
        <v>13</v>
      </c>
      <c r="BR4" s="829" t="s">
        <v>1</v>
      </c>
      <c r="BS4" s="827" t="s">
        <v>2</v>
      </c>
      <c r="BT4" s="296" t="s">
        <v>3</v>
      </c>
      <c r="BU4" s="296" t="s">
        <v>4</v>
      </c>
      <c r="BV4" s="296" t="s">
        <v>5</v>
      </c>
      <c r="BW4" s="296" t="s">
        <v>6</v>
      </c>
      <c r="BX4" s="296" t="s">
        <v>7</v>
      </c>
      <c r="BY4" s="296" t="s">
        <v>851</v>
      </c>
      <c r="BZ4" s="296" t="s">
        <v>852</v>
      </c>
      <c r="CA4" s="296" t="s">
        <v>853</v>
      </c>
      <c r="CB4" s="296" t="s">
        <v>854</v>
      </c>
      <c r="CC4" s="296" t="s">
        <v>855</v>
      </c>
      <c r="CD4" s="828" t="s">
        <v>856</v>
      </c>
      <c r="CE4" s="2533" t="s">
        <v>1</v>
      </c>
      <c r="CF4" s="2534" t="s">
        <v>711</v>
      </c>
      <c r="CG4" s="2535" t="s">
        <v>709</v>
      </c>
      <c r="CH4" s="2535" t="s">
        <v>736</v>
      </c>
      <c r="CI4" s="2535" t="s">
        <v>737</v>
      </c>
      <c r="CJ4" s="2535" t="s">
        <v>738</v>
      </c>
      <c r="CK4" s="2535" t="s">
        <v>739</v>
      </c>
      <c r="CL4" s="2535" t="s">
        <v>729</v>
      </c>
      <c r="CM4" s="2535" t="s">
        <v>730</v>
      </c>
      <c r="CN4" s="2535" t="s">
        <v>731</v>
      </c>
      <c r="CO4" s="2535" t="s">
        <v>732</v>
      </c>
      <c r="CP4" s="2535" t="s">
        <v>733</v>
      </c>
      <c r="CQ4" s="2536" t="s">
        <v>734</v>
      </c>
    </row>
    <row r="5" spans="2:95">
      <c r="B5" s="3338" t="s">
        <v>42</v>
      </c>
      <c r="C5" s="3339"/>
      <c r="D5" s="71" t="s">
        <v>43</v>
      </c>
      <c r="E5" s="290">
        <f t="shared" ref="E5:E12" si="0">AVERAGE(F5:Q5)</f>
        <v>56</v>
      </c>
      <c r="F5" s="324">
        <v>56</v>
      </c>
      <c r="G5" s="324">
        <f>F5</f>
        <v>56</v>
      </c>
      <c r="H5" s="324">
        <f t="shared" ref="H5:K5" si="1">G5</f>
        <v>56</v>
      </c>
      <c r="I5" s="324">
        <f t="shared" si="1"/>
        <v>56</v>
      </c>
      <c r="J5" s="324">
        <v>56</v>
      </c>
      <c r="K5" s="324">
        <f t="shared" si="1"/>
        <v>56</v>
      </c>
      <c r="L5" s="324">
        <v>56</v>
      </c>
      <c r="M5" s="324">
        <v>56</v>
      </c>
      <c r="N5" s="324">
        <v>56</v>
      </c>
      <c r="O5" s="324">
        <v>56</v>
      </c>
      <c r="P5" s="324">
        <f t="shared" ref="P5:Q5" si="2">O5</f>
        <v>56</v>
      </c>
      <c r="Q5" s="324">
        <f t="shared" si="2"/>
        <v>56</v>
      </c>
      <c r="R5" s="290">
        <f t="shared" ref="R5:R10" si="3">AVERAGE(S5:AD5)</f>
        <v>52.25</v>
      </c>
      <c r="S5" s="324">
        <v>56</v>
      </c>
      <c r="T5" s="324">
        <v>56</v>
      </c>
      <c r="U5" s="324">
        <v>56</v>
      </c>
      <c r="V5" s="324">
        <v>51</v>
      </c>
      <c r="W5" s="324">
        <v>51</v>
      </c>
      <c r="X5" s="324">
        <v>51</v>
      </c>
      <c r="Y5" s="324">
        <v>51</v>
      </c>
      <c r="Z5" s="324">
        <v>51</v>
      </c>
      <c r="AA5" s="324">
        <v>51</v>
      </c>
      <c r="AB5" s="324">
        <v>51</v>
      </c>
      <c r="AC5" s="324">
        <v>51</v>
      </c>
      <c r="AD5" s="749">
        <v>51</v>
      </c>
      <c r="AE5" s="843">
        <f t="shared" ref="AE5:AE12" si="4">AVERAGE(AF5:AQ5)</f>
        <v>49</v>
      </c>
      <c r="AF5" s="749">
        <v>49</v>
      </c>
      <c r="AG5" s="749">
        <v>49</v>
      </c>
      <c r="AH5" s="749">
        <v>49</v>
      </c>
      <c r="AI5" s="324">
        <v>49</v>
      </c>
      <c r="AJ5" s="324">
        <v>49</v>
      </c>
      <c r="AK5" s="324">
        <v>49</v>
      </c>
      <c r="AL5" s="324">
        <v>49</v>
      </c>
      <c r="AM5" s="324">
        <v>49</v>
      </c>
      <c r="AN5" s="324">
        <v>49</v>
      </c>
      <c r="AO5" s="324">
        <v>49</v>
      </c>
      <c r="AP5" s="324">
        <v>49</v>
      </c>
      <c r="AQ5" s="749">
        <f>AP5</f>
        <v>49</v>
      </c>
      <c r="AR5" s="843">
        <f>BD5</f>
        <v>42</v>
      </c>
      <c r="AS5" s="749">
        <v>49</v>
      </c>
      <c r="AT5" s="749">
        <v>49</v>
      </c>
      <c r="AU5" s="749">
        <v>42</v>
      </c>
      <c r="AV5" s="324">
        <v>42</v>
      </c>
      <c r="AW5" s="324">
        <v>42</v>
      </c>
      <c r="AX5" s="324">
        <v>42</v>
      </c>
      <c r="AY5" s="324">
        <v>42</v>
      </c>
      <c r="AZ5" s="324">
        <v>42</v>
      </c>
      <c r="BA5" s="324">
        <v>42</v>
      </c>
      <c r="BB5" s="324">
        <v>42</v>
      </c>
      <c r="BC5" s="324">
        <v>42</v>
      </c>
      <c r="BD5" s="1594">
        <v>42</v>
      </c>
      <c r="BE5" s="830">
        <f t="shared" ref="BE5:BE12" si="5">AVERAGE(BF5:BQ5)</f>
        <v>42</v>
      </c>
      <c r="BF5" s="2092">
        <v>42</v>
      </c>
      <c r="BG5" s="2093">
        <f>BF5</f>
        <v>42</v>
      </c>
      <c r="BH5" s="2093">
        <f t="shared" ref="BH5:BI5" si="6">BG5</f>
        <v>42</v>
      </c>
      <c r="BI5" s="2093">
        <f t="shared" si="6"/>
        <v>42</v>
      </c>
      <c r="BJ5" s="2093">
        <v>42</v>
      </c>
      <c r="BK5" s="2093">
        <v>42</v>
      </c>
      <c r="BL5" s="2093">
        <v>42</v>
      </c>
      <c r="BM5" s="2093">
        <v>42</v>
      </c>
      <c r="BN5" s="2093">
        <v>42</v>
      </c>
      <c r="BO5" s="2093">
        <v>42</v>
      </c>
      <c r="BP5" s="2093">
        <v>42</v>
      </c>
      <c r="BQ5" s="2094">
        <v>42</v>
      </c>
      <c r="BR5" s="830">
        <f t="shared" ref="BR5:BR12" si="7">AVERAGE(BS5:CD5)</f>
        <v>42</v>
      </c>
      <c r="BS5" s="2092">
        <v>42</v>
      </c>
      <c r="BT5" s="2093">
        <v>42</v>
      </c>
      <c r="BU5" s="2093">
        <v>42</v>
      </c>
      <c r="BV5" s="2093">
        <v>42</v>
      </c>
      <c r="BW5" s="2093">
        <v>42</v>
      </c>
      <c r="BX5" s="2093">
        <v>42</v>
      </c>
      <c r="BY5" s="2093">
        <v>42</v>
      </c>
      <c r="BZ5" s="2093">
        <v>42</v>
      </c>
      <c r="CA5" s="2093">
        <v>42</v>
      </c>
      <c r="CB5" s="2093">
        <v>42</v>
      </c>
      <c r="CC5" s="2093">
        <v>42</v>
      </c>
      <c r="CD5" s="749">
        <v>42</v>
      </c>
      <c r="CE5" s="830">
        <f t="shared" ref="CE5:CE10" si="8">AVERAGE(CF5:CQ5)</f>
        <v>38.5</v>
      </c>
      <c r="CF5" s="2827">
        <v>42</v>
      </c>
      <c r="CG5" s="2828">
        <v>41</v>
      </c>
      <c r="CH5" s="2828">
        <v>41</v>
      </c>
      <c r="CI5" s="2828">
        <v>40</v>
      </c>
      <c r="CJ5" s="2828">
        <v>40</v>
      </c>
      <c r="CK5" s="2828">
        <v>39</v>
      </c>
      <c r="CL5" s="2828">
        <v>39</v>
      </c>
      <c r="CM5" s="2828">
        <v>38</v>
      </c>
      <c r="CN5" s="2828">
        <v>38</v>
      </c>
      <c r="CO5" s="2828">
        <v>36</v>
      </c>
      <c r="CP5" s="2828">
        <v>34</v>
      </c>
      <c r="CQ5" s="2829">
        <v>34</v>
      </c>
    </row>
    <row r="6" spans="2:95">
      <c r="B6" s="3414" t="s">
        <v>44</v>
      </c>
      <c r="C6" s="3415"/>
      <c r="D6" s="73" t="s">
        <v>43</v>
      </c>
      <c r="E6" s="287">
        <f t="shared" si="0"/>
        <v>256.75</v>
      </c>
      <c r="F6" s="431">
        <f t="shared" ref="F6:K6" si="9">SUM(F7:F9)</f>
        <v>254</v>
      </c>
      <c r="G6" s="323">
        <f t="shared" si="9"/>
        <v>252</v>
      </c>
      <c r="H6" s="323">
        <f t="shared" si="9"/>
        <v>255</v>
      </c>
      <c r="I6" s="323">
        <f t="shared" si="9"/>
        <v>254</v>
      </c>
      <c r="J6" s="323">
        <f t="shared" si="9"/>
        <v>257</v>
      </c>
      <c r="K6" s="323">
        <f t="shared" si="9"/>
        <v>257</v>
      </c>
      <c r="L6" s="323">
        <v>259</v>
      </c>
      <c r="M6" s="323">
        <v>256</v>
      </c>
      <c r="N6" s="323">
        <v>258</v>
      </c>
      <c r="O6" s="323">
        <v>259</v>
      </c>
      <c r="P6" s="323">
        <f t="shared" ref="P6" si="10">SUM(P7:P9)</f>
        <v>260</v>
      </c>
      <c r="Q6" s="431">
        <v>260</v>
      </c>
      <c r="R6" s="287">
        <f t="shared" si="3"/>
        <v>255.58333333333334</v>
      </c>
      <c r="S6" s="431">
        <f t="shared" ref="S6:T6" si="11">SUM(S7:S9)</f>
        <v>256</v>
      </c>
      <c r="T6" s="431">
        <f t="shared" si="11"/>
        <v>255</v>
      </c>
      <c r="U6" s="323">
        <f t="shared" ref="U6" si="12">SUM(U7:U9)</f>
        <v>256</v>
      </c>
      <c r="V6" s="323">
        <f t="shared" ref="V6:Z6" si="13">SUM(V7:V9)</f>
        <v>256</v>
      </c>
      <c r="W6" s="323">
        <f t="shared" si="13"/>
        <v>256</v>
      </c>
      <c r="X6" s="323">
        <f t="shared" si="13"/>
        <v>254</v>
      </c>
      <c r="Y6" s="323">
        <f t="shared" si="13"/>
        <v>257</v>
      </c>
      <c r="Z6" s="323">
        <f t="shared" si="13"/>
        <v>256</v>
      </c>
      <c r="AA6" s="323">
        <f t="shared" ref="AA6:AQ6" si="14">SUM(AA7:AA9)</f>
        <v>256</v>
      </c>
      <c r="AB6" s="323">
        <f t="shared" si="14"/>
        <v>255</v>
      </c>
      <c r="AC6" s="323">
        <f t="shared" si="14"/>
        <v>255</v>
      </c>
      <c r="AD6" s="431">
        <f t="shared" si="14"/>
        <v>255</v>
      </c>
      <c r="AE6" s="844">
        <f t="shared" si="4"/>
        <v>260.08333333333331</v>
      </c>
      <c r="AF6" s="323">
        <f t="shared" si="14"/>
        <v>255</v>
      </c>
      <c r="AG6" s="323">
        <f t="shared" si="14"/>
        <v>258</v>
      </c>
      <c r="AH6" s="323">
        <f t="shared" si="14"/>
        <v>257</v>
      </c>
      <c r="AI6" s="323">
        <f t="shared" si="14"/>
        <v>262</v>
      </c>
      <c r="AJ6" s="323">
        <f t="shared" si="14"/>
        <v>262</v>
      </c>
      <c r="AK6" s="323">
        <f t="shared" si="14"/>
        <v>259</v>
      </c>
      <c r="AL6" s="323">
        <f t="shared" si="14"/>
        <v>262</v>
      </c>
      <c r="AM6" s="323">
        <f t="shared" si="14"/>
        <v>261</v>
      </c>
      <c r="AN6" s="323">
        <f t="shared" si="14"/>
        <v>262</v>
      </c>
      <c r="AO6" s="323">
        <f t="shared" si="14"/>
        <v>261</v>
      </c>
      <c r="AP6" s="323">
        <f t="shared" si="14"/>
        <v>261</v>
      </c>
      <c r="AQ6" s="431">
        <f t="shared" si="14"/>
        <v>261</v>
      </c>
      <c r="AR6" s="844">
        <f t="shared" ref="AR6:AR12" si="15">AVERAGE(AS6:BD6)</f>
        <v>256.75</v>
      </c>
      <c r="AS6" s="323">
        <f t="shared" ref="AS6:BC6" si="16">SUM(AS7:AS9)</f>
        <v>259</v>
      </c>
      <c r="AT6" s="323">
        <f t="shared" si="16"/>
        <v>259</v>
      </c>
      <c r="AU6" s="323">
        <f t="shared" si="16"/>
        <v>254</v>
      </c>
      <c r="AV6" s="323">
        <f t="shared" si="16"/>
        <v>258</v>
      </c>
      <c r="AW6" s="323">
        <f t="shared" si="16"/>
        <v>258</v>
      </c>
      <c r="AX6" s="323">
        <f t="shared" si="16"/>
        <v>257</v>
      </c>
      <c r="AY6" s="323">
        <f t="shared" si="16"/>
        <v>257</v>
      </c>
      <c r="AZ6" s="323">
        <f t="shared" si="16"/>
        <v>257</v>
      </c>
      <c r="BA6" s="323">
        <f t="shared" si="16"/>
        <v>257</v>
      </c>
      <c r="BB6" s="323">
        <f t="shared" si="16"/>
        <v>256</v>
      </c>
      <c r="BC6" s="323">
        <f t="shared" si="16"/>
        <v>256</v>
      </c>
      <c r="BD6" s="323">
        <f t="shared" ref="BD6:BQ6" si="17">SUM(BD7:BD9)</f>
        <v>253</v>
      </c>
      <c r="BE6" s="831">
        <f t="shared" si="5"/>
        <v>267.25</v>
      </c>
      <c r="BF6" s="2095">
        <f>SUM(BF7:BF9)</f>
        <v>254</v>
      </c>
      <c r="BG6" s="323">
        <f t="shared" si="17"/>
        <v>259</v>
      </c>
      <c r="BH6" s="323">
        <f t="shared" si="17"/>
        <v>261</v>
      </c>
      <c r="BI6" s="323">
        <f t="shared" si="17"/>
        <v>266</v>
      </c>
      <c r="BJ6" s="323">
        <f t="shared" si="17"/>
        <v>266</v>
      </c>
      <c r="BK6" s="323">
        <f t="shared" si="17"/>
        <v>271</v>
      </c>
      <c r="BL6" s="323">
        <f t="shared" si="17"/>
        <v>271</v>
      </c>
      <c r="BM6" s="323">
        <f t="shared" si="17"/>
        <v>272</v>
      </c>
      <c r="BN6" s="323">
        <f t="shared" ref="BN6" si="18">SUM(BN7:BN9)</f>
        <v>272</v>
      </c>
      <c r="BO6" s="323">
        <f>SUM(BO7:BO9)</f>
        <v>272</v>
      </c>
      <c r="BP6" s="323">
        <f t="shared" si="17"/>
        <v>271</v>
      </c>
      <c r="BQ6" s="2096">
        <f t="shared" si="17"/>
        <v>272</v>
      </c>
      <c r="BR6" s="831">
        <f t="shared" si="7"/>
        <v>256.75</v>
      </c>
      <c r="BS6" s="2095">
        <f>SUM(BS7:BS9)</f>
        <v>272</v>
      </c>
      <c r="BT6" s="323">
        <f t="shared" ref="BT6:CD6" si="19">SUM(BT7:BT9)</f>
        <v>269</v>
      </c>
      <c r="BU6" s="323">
        <f t="shared" si="19"/>
        <v>258</v>
      </c>
      <c r="BV6" s="323">
        <f t="shared" si="19"/>
        <v>258</v>
      </c>
      <c r="BW6" s="323">
        <f t="shared" si="19"/>
        <v>257</v>
      </c>
      <c r="BX6" s="323">
        <f t="shared" si="19"/>
        <v>252</v>
      </c>
      <c r="BY6" s="323">
        <f t="shared" si="19"/>
        <v>254</v>
      </c>
      <c r="BZ6" s="323">
        <f t="shared" si="19"/>
        <v>253</v>
      </c>
      <c r="CA6" s="323">
        <f t="shared" si="19"/>
        <v>253</v>
      </c>
      <c r="CB6" s="323">
        <f t="shared" si="19"/>
        <v>252</v>
      </c>
      <c r="CC6" s="323">
        <f t="shared" si="19"/>
        <v>252</v>
      </c>
      <c r="CD6" s="3012">
        <f t="shared" si="19"/>
        <v>251</v>
      </c>
      <c r="CE6" s="831">
        <f t="shared" si="8"/>
        <v>257.91666666666669</v>
      </c>
      <c r="CF6" s="2061">
        <f>SUM(CF7:CF9)</f>
        <v>251</v>
      </c>
      <c r="CG6" s="2062">
        <f t="shared" ref="CG6:CQ6" si="20">SUM(CG7:CG9)</f>
        <v>251</v>
      </c>
      <c r="CH6" s="2062">
        <f t="shared" si="20"/>
        <v>251</v>
      </c>
      <c r="CI6" s="2062">
        <f t="shared" si="20"/>
        <v>252</v>
      </c>
      <c r="CJ6" s="2062">
        <f t="shared" si="20"/>
        <v>254</v>
      </c>
      <c r="CK6" s="2062">
        <f t="shared" si="20"/>
        <v>256</v>
      </c>
      <c r="CL6" s="2062">
        <f t="shared" si="20"/>
        <v>258</v>
      </c>
      <c r="CM6" s="2062">
        <f t="shared" si="20"/>
        <v>260</v>
      </c>
      <c r="CN6" s="2062">
        <f t="shared" si="20"/>
        <v>262</v>
      </c>
      <c r="CO6" s="2062">
        <f t="shared" si="20"/>
        <v>264</v>
      </c>
      <c r="CP6" s="2062">
        <f t="shared" si="20"/>
        <v>266</v>
      </c>
      <c r="CQ6" s="2118">
        <f t="shared" si="20"/>
        <v>270</v>
      </c>
    </row>
    <row r="7" spans="2:95">
      <c r="B7" s="1918"/>
      <c r="C7" s="16" t="s">
        <v>50</v>
      </c>
      <c r="D7" s="70" t="s">
        <v>43</v>
      </c>
      <c r="E7" s="288">
        <f t="shared" si="0"/>
        <v>33.583333333333336</v>
      </c>
      <c r="F7" s="324">
        <v>35</v>
      </c>
      <c r="G7" s="324">
        <v>38</v>
      </c>
      <c r="H7" s="324">
        <v>38</v>
      </c>
      <c r="I7" s="324">
        <v>37</v>
      </c>
      <c r="J7" s="324">
        <v>37</v>
      </c>
      <c r="K7" s="324">
        <v>36</v>
      </c>
      <c r="L7" s="324">
        <v>36</v>
      </c>
      <c r="M7" s="324">
        <v>33</v>
      </c>
      <c r="N7" s="324">
        <v>31</v>
      </c>
      <c r="O7" s="324">
        <v>29</v>
      </c>
      <c r="P7" s="324">
        <v>26</v>
      </c>
      <c r="Q7" s="432">
        <v>27</v>
      </c>
      <c r="R7" s="288">
        <f t="shared" si="3"/>
        <v>22.166666666666668</v>
      </c>
      <c r="S7" s="324">
        <v>25</v>
      </c>
      <c r="T7" s="324">
        <v>25</v>
      </c>
      <c r="U7" s="324">
        <v>25</v>
      </c>
      <c r="V7" s="324">
        <v>25</v>
      </c>
      <c r="W7" s="324">
        <v>25</v>
      </c>
      <c r="X7" s="324">
        <v>22</v>
      </c>
      <c r="Y7" s="324">
        <f>X7</f>
        <v>22</v>
      </c>
      <c r="Z7" s="324">
        <v>22</v>
      </c>
      <c r="AA7" s="324">
        <v>22</v>
      </c>
      <c r="AB7" s="324">
        <v>20</v>
      </c>
      <c r="AC7" s="324">
        <v>18</v>
      </c>
      <c r="AD7" s="432">
        <v>15</v>
      </c>
      <c r="AE7" s="845">
        <f t="shared" si="4"/>
        <v>14.916666666666666</v>
      </c>
      <c r="AF7" s="432">
        <v>15</v>
      </c>
      <c r="AG7" s="432">
        <v>15</v>
      </c>
      <c r="AH7" s="432">
        <v>15</v>
      </c>
      <c r="AI7" s="324">
        <v>15</v>
      </c>
      <c r="AJ7" s="324">
        <v>15</v>
      </c>
      <c r="AK7" s="324">
        <v>15</v>
      </c>
      <c r="AL7" s="324">
        <v>15</v>
      </c>
      <c r="AM7" s="324">
        <v>15</v>
      </c>
      <c r="AN7" s="324">
        <v>15</v>
      </c>
      <c r="AO7" s="324">
        <v>15</v>
      </c>
      <c r="AP7" s="324">
        <v>15</v>
      </c>
      <c r="AQ7" s="432">
        <v>14</v>
      </c>
      <c r="AR7" s="845">
        <f t="shared" si="15"/>
        <v>12.666666666666666</v>
      </c>
      <c r="AS7" s="432">
        <v>13</v>
      </c>
      <c r="AT7" s="432">
        <v>13</v>
      </c>
      <c r="AU7" s="432">
        <v>13</v>
      </c>
      <c r="AV7" s="324">
        <v>13</v>
      </c>
      <c r="AW7" s="324">
        <v>13</v>
      </c>
      <c r="AX7" s="324">
        <v>13</v>
      </c>
      <c r="AY7" s="324">
        <v>13</v>
      </c>
      <c r="AZ7" s="432">
        <v>13</v>
      </c>
      <c r="BA7" s="432">
        <v>13</v>
      </c>
      <c r="BB7" s="432">
        <v>12</v>
      </c>
      <c r="BC7" s="432">
        <v>12</v>
      </c>
      <c r="BD7" s="1594">
        <v>11</v>
      </c>
      <c r="BE7" s="832">
        <f t="shared" si="5"/>
        <v>10</v>
      </c>
      <c r="BF7" s="2097">
        <v>10</v>
      </c>
      <c r="BG7" s="324">
        <v>10</v>
      </c>
      <c r="BH7" s="324">
        <v>10</v>
      </c>
      <c r="BI7" s="324">
        <v>11</v>
      </c>
      <c r="BJ7" s="324">
        <v>10</v>
      </c>
      <c r="BK7" s="324">
        <v>10</v>
      </c>
      <c r="BL7" s="324">
        <v>10</v>
      </c>
      <c r="BM7" s="324">
        <v>10</v>
      </c>
      <c r="BN7" s="324">
        <v>10</v>
      </c>
      <c r="BO7" s="324">
        <v>10</v>
      </c>
      <c r="BP7" s="324">
        <v>10</v>
      </c>
      <c r="BQ7" s="2098">
        <v>9</v>
      </c>
      <c r="BR7" s="832">
        <f t="shared" si="7"/>
        <v>6.666666666666667</v>
      </c>
      <c r="BS7" s="2097">
        <v>8</v>
      </c>
      <c r="BT7" s="324">
        <v>8</v>
      </c>
      <c r="BU7" s="324">
        <v>6</v>
      </c>
      <c r="BV7" s="324">
        <v>6</v>
      </c>
      <c r="BW7" s="324">
        <v>6</v>
      </c>
      <c r="BX7" s="324">
        <v>6</v>
      </c>
      <c r="BY7" s="324">
        <v>6</v>
      </c>
      <c r="BZ7" s="324">
        <v>6</v>
      </c>
      <c r="CA7" s="324">
        <v>7</v>
      </c>
      <c r="CB7" s="324">
        <v>7</v>
      </c>
      <c r="CC7" s="324">
        <v>7</v>
      </c>
      <c r="CD7" s="432">
        <v>7</v>
      </c>
      <c r="CE7" s="832">
        <f t="shared" si="8"/>
        <v>7</v>
      </c>
      <c r="CF7" s="2063">
        <v>7</v>
      </c>
      <c r="CG7" s="289">
        <v>7</v>
      </c>
      <c r="CH7" s="289">
        <v>7</v>
      </c>
      <c r="CI7" s="289">
        <v>7</v>
      </c>
      <c r="CJ7" s="289">
        <v>7</v>
      </c>
      <c r="CK7" s="289">
        <v>7</v>
      </c>
      <c r="CL7" s="289">
        <v>7</v>
      </c>
      <c r="CM7" s="289">
        <v>7</v>
      </c>
      <c r="CN7" s="289">
        <v>7</v>
      </c>
      <c r="CO7" s="289">
        <v>7</v>
      </c>
      <c r="CP7" s="289">
        <v>7</v>
      </c>
      <c r="CQ7" s="388">
        <v>7</v>
      </c>
    </row>
    <row r="8" spans="2:95">
      <c r="B8" s="1918"/>
      <c r="C8" s="2298" t="s">
        <v>735</v>
      </c>
      <c r="D8" s="70" t="s">
        <v>43</v>
      </c>
      <c r="E8" s="288">
        <f t="shared" si="0"/>
        <v>3.0833333333333335</v>
      </c>
      <c r="F8" s="324">
        <v>6</v>
      </c>
      <c r="G8" s="324">
        <v>2</v>
      </c>
      <c r="H8" s="324">
        <v>2</v>
      </c>
      <c r="I8" s="324">
        <v>3</v>
      </c>
      <c r="J8" s="324">
        <v>3</v>
      </c>
      <c r="K8" s="324">
        <v>3</v>
      </c>
      <c r="L8" s="324">
        <v>3</v>
      </c>
      <c r="M8" s="324">
        <v>3</v>
      </c>
      <c r="N8" s="324">
        <v>3</v>
      </c>
      <c r="O8" s="324">
        <v>3</v>
      </c>
      <c r="P8" s="324">
        <v>3</v>
      </c>
      <c r="Q8" s="432">
        <v>3</v>
      </c>
      <c r="R8" s="288">
        <f t="shared" si="3"/>
        <v>1.5833333333333333</v>
      </c>
      <c r="S8" s="324">
        <v>2</v>
      </c>
      <c r="T8" s="324">
        <v>2</v>
      </c>
      <c r="U8" s="324">
        <v>2</v>
      </c>
      <c r="V8" s="324">
        <v>2</v>
      </c>
      <c r="W8" s="324">
        <v>2</v>
      </c>
      <c r="X8" s="324">
        <v>2</v>
      </c>
      <c r="Y8" s="324">
        <f>X8</f>
        <v>2</v>
      </c>
      <c r="Z8" s="324">
        <v>1</v>
      </c>
      <c r="AA8" s="324">
        <v>1</v>
      </c>
      <c r="AB8" s="324">
        <v>1</v>
      </c>
      <c r="AC8" s="324">
        <v>1</v>
      </c>
      <c r="AD8" s="432">
        <v>1</v>
      </c>
      <c r="AE8" s="845">
        <f t="shared" si="4"/>
        <v>1</v>
      </c>
      <c r="AF8" s="432">
        <v>1</v>
      </c>
      <c r="AG8" s="432">
        <v>1</v>
      </c>
      <c r="AH8" s="432">
        <v>1</v>
      </c>
      <c r="AI8" s="324">
        <v>1</v>
      </c>
      <c r="AJ8" s="324">
        <v>1</v>
      </c>
      <c r="AK8" s="324">
        <v>1</v>
      </c>
      <c r="AL8" s="324">
        <v>1</v>
      </c>
      <c r="AM8" s="324">
        <v>1</v>
      </c>
      <c r="AN8" s="324">
        <v>1</v>
      </c>
      <c r="AO8" s="324">
        <v>1</v>
      </c>
      <c r="AP8" s="324">
        <v>1</v>
      </c>
      <c r="AQ8" s="432">
        <v>1</v>
      </c>
      <c r="AR8" s="845">
        <f t="shared" si="15"/>
        <v>1</v>
      </c>
      <c r="AS8" s="432">
        <v>1</v>
      </c>
      <c r="AT8" s="432">
        <v>1</v>
      </c>
      <c r="AU8" s="432">
        <v>1</v>
      </c>
      <c r="AV8" s="324">
        <v>1</v>
      </c>
      <c r="AW8" s="324">
        <v>1</v>
      </c>
      <c r="AX8" s="324">
        <v>1</v>
      </c>
      <c r="AY8" s="324">
        <v>1</v>
      </c>
      <c r="AZ8" s="432">
        <v>1</v>
      </c>
      <c r="BA8" s="432">
        <v>1</v>
      </c>
      <c r="BB8" s="432">
        <v>1</v>
      </c>
      <c r="BC8" s="432">
        <v>1</v>
      </c>
      <c r="BD8" s="1594">
        <v>1</v>
      </c>
      <c r="BE8" s="832">
        <f t="shared" si="5"/>
        <v>1</v>
      </c>
      <c r="BF8" s="2097">
        <v>1</v>
      </c>
      <c r="BG8" s="324">
        <v>1</v>
      </c>
      <c r="BH8" s="324">
        <v>1</v>
      </c>
      <c r="BI8" s="324">
        <v>1</v>
      </c>
      <c r="BJ8" s="324">
        <v>1</v>
      </c>
      <c r="BK8" s="324">
        <v>1</v>
      </c>
      <c r="BL8" s="324">
        <v>1</v>
      </c>
      <c r="BM8" s="324">
        <v>1</v>
      </c>
      <c r="BN8" s="324">
        <v>1</v>
      </c>
      <c r="BO8" s="324">
        <v>1</v>
      </c>
      <c r="BP8" s="324">
        <v>1</v>
      </c>
      <c r="BQ8" s="2098">
        <v>1</v>
      </c>
      <c r="BR8" s="832">
        <f t="shared" si="7"/>
        <v>1</v>
      </c>
      <c r="BS8" s="2097">
        <v>1</v>
      </c>
      <c r="BT8" s="324">
        <v>1</v>
      </c>
      <c r="BU8" s="324">
        <v>1</v>
      </c>
      <c r="BV8" s="324">
        <v>1</v>
      </c>
      <c r="BW8" s="324">
        <v>1</v>
      </c>
      <c r="BX8" s="324">
        <v>1</v>
      </c>
      <c r="BY8" s="324">
        <v>1</v>
      </c>
      <c r="BZ8" s="324">
        <v>1</v>
      </c>
      <c r="CA8" s="324">
        <v>1</v>
      </c>
      <c r="CB8" s="324">
        <v>1</v>
      </c>
      <c r="CC8" s="324">
        <v>1</v>
      </c>
      <c r="CD8" s="432">
        <v>1</v>
      </c>
      <c r="CE8" s="832">
        <f t="shared" si="8"/>
        <v>1</v>
      </c>
      <c r="CF8" s="2063">
        <v>1</v>
      </c>
      <c r="CG8" s="289">
        <v>1</v>
      </c>
      <c r="CH8" s="289">
        <v>1</v>
      </c>
      <c r="CI8" s="289">
        <v>1</v>
      </c>
      <c r="CJ8" s="289">
        <v>1</v>
      </c>
      <c r="CK8" s="289">
        <v>1</v>
      </c>
      <c r="CL8" s="289">
        <v>1</v>
      </c>
      <c r="CM8" s="289">
        <v>1</v>
      </c>
      <c r="CN8" s="289">
        <v>1</v>
      </c>
      <c r="CO8" s="289">
        <v>1</v>
      </c>
      <c r="CP8" s="289">
        <v>1</v>
      </c>
      <c r="CQ8" s="388">
        <v>1</v>
      </c>
    </row>
    <row r="9" spans="2:95">
      <c r="B9" s="1918"/>
      <c r="C9" s="2298" t="s">
        <v>284</v>
      </c>
      <c r="D9" s="70" t="s">
        <v>43</v>
      </c>
      <c r="E9" s="288">
        <f t="shared" si="0"/>
        <v>220.08333333333334</v>
      </c>
      <c r="F9" s="324">
        <v>213</v>
      </c>
      <c r="G9" s="324">
        <v>212</v>
      </c>
      <c r="H9" s="324">
        <v>215</v>
      </c>
      <c r="I9" s="324">
        <v>214</v>
      </c>
      <c r="J9" s="324">
        <v>217</v>
      </c>
      <c r="K9" s="324">
        <v>218</v>
      </c>
      <c r="L9" s="324">
        <v>220</v>
      </c>
      <c r="M9" s="324">
        <v>220</v>
      </c>
      <c r="N9" s="324">
        <v>224</v>
      </c>
      <c r="O9" s="324">
        <v>227</v>
      </c>
      <c r="P9" s="324">
        <v>231</v>
      </c>
      <c r="Q9" s="432">
        <v>230</v>
      </c>
      <c r="R9" s="288">
        <f t="shared" si="3"/>
        <v>231.83333333333334</v>
      </c>
      <c r="S9" s="324">
        <v>229</v>
      </c>
      <c r="T9" s="324">
        <v>228</v>
      </c>
      <c r="U9" s="324">
        <v>229</v>
      </c>
      <c r="V9" s="324">
        <v>229</v>
      </c>
      <c r="W9" s="324">
        <v>229</v>
      </c>
      <c r="X9" s="324">
        <v>230</v>
      </c>
      <c r="Y9" s="324">
        <v>233</v>
      </c>
      <c r="Z9" s="324">
        <v>233</v>
      </c>
      <c r="AA9" s="324">
        <v>233</v>
      </c>
      <c r="AB9" s="324">
        <v>234</v>
      </c>
      <c r="AC9" s="324">
        <v>236</v>
      </c>
      <c r="AD9" s="432">
        <v>239</v>
      </c>
      <c r="AE9" s="845">
        <f t="shared" si="4"/>
        <v>244.16666666666666</v>
      </c>
      <c r="AF9" s="432">
        <v>239</v>
      </c>
      <c r="AG9" s="432">
        <v>242</v>
      </c>
      <c r="AH9" s="432">
        <v>241</v>
      </c>
      <c r="AI9" s="324">
        <v>246</v>
      </c>
      <c r="AJ9" s="324">
        <v>246</v>
      </c>
      <c r="AK9" s="324">
        <v>243</v>
      </c>
      <c r="AL9" s="324">
        <v>246</v>
      </c>
      <c r="AM9" s="324">
        <v>245</v>
      </c>
      <c r="AN9" s="324">
        <v>246</v>
      </c>
      <c r="AO9" s="324">
        <v>245</v>
      </c>
      <c r="AP9" s="324">
        <v>245</v>
      </c>
      <c r="AQ9" s="432">
        <v>246</v>
      </c>
      <c r="AR9" s="845">
        <f t="shared" si="15"/>
        <v>243.08333333333334</v>
      </c>
      <c r="AS9" s="432">
        <v>245</v>
      </c>
      <c r="AT9" s="432">
        <v>245</v>
      </c>
      <c r="AU9" s="432">
        <v>240</v>
      </c>
      <c r="AV9" s="324">
        <v>244</v>
      </c>
      <c r="AW9" s="324">
        <v>244</v>
      </c>
      <c r="AX9" s="324">
        <v>243</v>
      </c>
      <c r="AY9" s="324">
        <v>243</v>
      </c>
      <c r="AZ9" s="432">
        <v>243</v>
      </c>
      <c r="BA9" s="432">
        <v>243</v>
      </c>
      <c r="BB9" s="432">
        <v>243</v>
      </c>
      <c r="BC9" s="432">
        <v>243</v>
      </c>
      <c r="BD9" s="1594">
        <v>241</v>
      </c>
      <c r="BE9" s="832">
        <f t="shared" si="5"/>
        <v>256.25</v>
      </c>
      <c r="BF9" s="2097">
        <v>243</v>
      </c>
      <c r="BG9" s="324">
        <v>248</v>
      </c>
      <c r="BH9" s="324">
        <v>250</v>
      </c>
      <c r="BI9" s="324">
        <v>254</v>
      </c>
      <c r="BJ9" s="324">
        <v>255</v>
      </c>
      <c r="BK9" s="324">
        <v>260</v>
      </c>
      <c r="BL9" s="324">
        <v>260</v>
      </c>
      <c r="BM9" s="324">
        <v>261</v>
      </c>
      <c r="BN9" s="324">
        <v>261</v>
      </c>
      <c r="BO9" s="324">
        <v>261</v>
      </c>
      <c r="BP9" s="324">
        <v>260</v>
      </c>
      <c r="BQ9" s="2098">
        <v>262</v>
      </c>
      <c r="BR9" s="832">
        <f t="shared" si="7"/>
        <v>249.08333333333334</v>
      </c>
      <c r="BS9" s="2097">
        <v>263</v>
      </c>
      <c r="BT9" s="324">
        <v>260</v>
      </c>
      <c r="BU9" s="324">
        <v>251</v>
      </c>
      <c r="BV9" s="324">
        <v>251</v>
      </c>
      <c r="BW9" s="324">
        <v>250</v>
      </c>
      <c r="BX9" s="324">
        <v>245</v>
      </c>
      <c r="BY9" s="324">
        <v>247</v>
      </c>
      <c r="BZ9" s="324">
        <v>246</v>
      </c>
      <c r="CA9" s="324">
        <v>245</v>
      </c>
      <c r="CB9" s="324">
        <v>244</v>
      </c>
      <c r="CC9" s="324">
        <v>244</v>
      </c>
      <c r="CD9" s="432">
        <v>243</v>
      </c>
      <c r="CE9" s="832">
        <f t="shared" si="8"/>
        <v>249.91666666666666</v>
      </c>
      <c r="CF9" s="2063">
        <v>243</v>
      </c>
      <c r="CG9" s="289">
        <v>243</v>
      </c>
      <c r="CH9" s="289">
        <v>243</v>
      </c>
      <c r="CI9" s="289">
        <f>243+1</f>
        <v>244</v>
      </c>
      <c r="CJ9" s="289">
        <f>CI9+2</f>
        <v>246</v>
      </c>
      <c r="CK9" s="289">
        <f t="shared" ref="CK9:CO9" si="21">CJ9+2</f>
        <v>248</v>
      </c>
      <c r="CL9" s="289">
        <f t="shared" si="21"/>
        <v>250</v>
      </c>
      <c r="CM9" s="289">
        <f t="shared" si="21"/>
        <v>252</v>
      </c>
      <c r="CN9" s="289">
        <f t="shared" si="21"/>
        <v>254</v>
      </c>
      <c r="CO9" s="289">
        <f t="shared" si="21"/>
        <v>256</v>
      </c>
      <c r="CP9" s="289">
        <f>CO9+2</f>
        <v>258</v>
      </c>
      <c r="CQ9" s="388">
        <f>CP9+4</f>
        <v>262</v>
      </c>
    </row>
    <row r="10" spans="2:95">
      <c r="B10" s="1918"/>
      <c r="C10" s="75" t="s">
        <v>346</v>
      </c>
      <c r="D10" s="70" t="s">
        <v>347</v>
      </c>
      <c r="E10" s="288">
        <f t="shared" si="0"/>
        <v>152.33333333333334</v>
      </c>
      <c r="F10" s="324">
        <v>129</v>
      </c>
      <c r="G10" s="324">
        <v>129</v>
      </c>
      <c r="H10" s="324">
        <v>133</v>
      </c>
      <c r="I10" s="324">
        <v>132</v>
      </c>
      <c r="J10" s="324">
        <v>134</v>
      </c>
      <c r="K10" s="324">
        <v>139</v>
      </c>
      <c r="L10" s="324">
        <v>141</v>
      </c>
      <c r="M10" s="324">
        <v>142</v>
      </c>
      <c r="N10" s="324">
        <v>182</v>
      </c>
      <c r="O10" s="324">
        <v>186</v>
      </c>
      <c r="P10" s="324">
        <v>190</v>
      </c>
      <c r="Q10" s="432">
        <v>191</v>
      </c>
      <c r="R10" s="288">
        <f t="shared" si="3"/>
        <v>207.33333333333334</v>
      </c>
      <c r="S10" s="324">
        <v>192</v>
      </c>
      <c r="T10" s="324">
        <v>189</v>
      </c>
      <c r="U10" s="324">
        <v>190</v>
      </c>
      <c r="V10" s="324">
        <v>191</v>
      </c>
      <c r="W10" s="324">
        <v>193</v>
      </c>
      <c r="X10" s="324">
        <v>197</v>
      </c>
      <c r="Y10" s="324">
        <v>198</v>
      </c>
      <c r="Z10" s="324">
        <v>206</v>
      </c>
      <c r="AA10" s="324">
        <v>227</v>
      </c>
      <c r="AB10" s="324">
        <v>232</v>
      </c>
      <c r="AC10" s="324">
        <v>235</v>
      </c>
      <c r="AD10" s="432">
        <v>238</v>
      </c>
      <c r="AE10" s="845">
        <f t="shared" si="4"/>
        <v>255.58333333333334</v>
      </c>
      <c r="AF10" s="324">
        <v>239</v>
      </c>
      <c r="AG10" s="324">
        <v>242</v>
      </c>
      <c r="AH10" s="324">
        <v>241</v>
      </c>
      <c r="AI10" s="324">
        <v>262</v>
      </c>
      <c r="AJ10" s="324">
        <v>261</v>
      </c>
      <c r="AK10" s="324">
        <v>260</v>
      </c>
      <c r="AL10" s="324">
        <v>259</v>
      </c>
      <c r="AM10" s="324">
        <v>260</v>
      </c>
      <c r="AN10" s="324">
        <v>260</v>
      </c>
      <c r="AO10" s="324">
        <v>261</v>
      </c>
      <c r="AP10" s="324">
        <v>261</v>
      </c>
      <c r="AQ10" s="432">
        <f t="shared" ref="AQ10" si="22">AP10</f>
        <v>261</v>
      </c>
      <c r="AR10" s="845">
        <f t="shared" si="15"/>
        <v>256.75</v>
      </c>
      <c r="AS10" s="324">
        <f>AS6</f>
        <v>259</v>
      </c>
      <c r="AT10" s="324">
        <f t="shared" ref="AT10:BD10" si="23">AT6</f>
        <v>259</v>
      </c>
      <c r="AU10" s="324">
        <f t="shared" si="23"/>
        <v>254</v>
      </c>
      <c r="AV10" s="324">
        <f t="shared" si="23"/>
        <v>258</v>
      </c>
      <c r="AW10" s="324">
        <f t="shared" si="23"/>
        <v>258</v>
      </c>
      <c r="AX10" s="324">
        <f t="shared" si="23"/>
        <v>257</v>
      </c>
      <c r="AY10" s="324">
        <f t="shared" si="23"/>
        <v>257</v>
      </c>
      <c r="AZ10" s="324">
        <f t="shared" si="23"/>
        <v>257</v>
      </c>
      <c r="BA10" s="324">
        <f t="shared" si="23"/>
        <v>257</v>
      </c>
      <c r="BB10" s="324">
        <f t="shared" si="23"/>
        <v>256</v>
      </c>
      <c r="BC10" s="324">
        <f t="shared" si="23"/>
        <v>256</v>
      </c>
      <c r="BD10" s="1594">
        <f t="shared" si="23"/>
        <v>253</v>
      </c>
      <c r="BE10" s="832">
        <f t="shared" si="5"/>
        <v>267.25</v>
      </c>
      <c r="BF10" s="2097">
        <f>BF6</f>
        <v>254</v>
      </c>
      <c r="BG10" s="324">
        <f t="shared" ref="BG10:BQ10" si="24">BG6</f>
        <v>259</v>
      </c>
      <c r="BH10" s="324">
        <f t="shared" si="24"/>
        <v>261</v>
      </c>
      <c r="BI10" s="324">
        <f t="shared" si="24"/>
        <v>266</v>
      </c>
      <c r="BJ10" s="324">
        <f t="shared" si="24"/>
        <v>266</v>
      </c>
      <c r="BK10" s="324">
        <f t="shared" si="24"/>
        <v>271</v>
      </c>
      <c r="BL10" s="324">
        <f t="shared" si="24"/>
        <v>271</v>
      </c>
      <c r="BM10" s="324">
        <f t="shared" si="24"/>
        <v>272</v>
      </c>
      <c r="BN10" s="324">
        <f t="shared" si="24"/>
        <v>272</v>
      </c>
      <c r="BO10" s="324">
        <f t="shared" si="24"/>
        <v>272</v>
      </c>
      <c r="BP10" s="324">
        <f t="shared" si="24"/>
        <v>271</v>
      </c>
      <c r="BQ10" s="2098">
        <f t="shared" si="24"/>
        <v>272</v>
      </c>
      <c r="BR10" s="832">
        <f t="shared" si="7"/>
        <v>256.75</v>
      </c>
      <c r="BS10" s="2097">
        <f>BS6</f>
        <v>272</v>
      </c>
      <c r="BT10" s="324">
        <f t="shared" ref="BT10:CD10" si="25">BT6</f>
        <v>269</v>
      </c>
      <c r="BU10" s="324">
        <f t="shared" si="25"/>
        <v>258</v>
      </c>
      <c r="BV10" s="324">
        <f t="shared" si="25"/>
        <v>258</v>
      </c>
      <c r="BW10" s="324">
        <f t="shared" si="25"/>
        <v>257</v>
      </c>
      <c r="BX10" s="324">
        <f t="shared" si="25"/>
        <v>252</v>
      </c>
      <c r="BY10" s="324">
        <f t="shared" si="25"/>
        <v>254</v>
      </c>
      <c r="BZ10" s="324">
        <f t="shared" si="25"/>
        <v>253</v>
      </c>
      <c r="CA10" s="324">
        <f t="shared" si="25"/>
        <v>253</v>
      </c>
      <c r="CB10" s="324">
        <f t="shared" si="25"/>
        <v>252</v>
      </c>
      <c r="CC10" s="324">
        <f t="shared" si="25"/>
        <v>252</v>
      </c>
      <c r="CD10" s="432">
        <f t="shared" si="25"/>
        <v>251</v>
      </c>
      <c r="CE10" s="832">
        <f t="shared" si="8"/>
        <v>257.91666666666669</v>
      </c>
      <c r="CF10" s="2063">
        <f>CF6</f>
        <v>251</v>
      </c>
      <c r="CG10" s="289">
        <f t="shared" ref="CG10:CQ10" si="26">CG6</f>
        <v>251</v>
      </c>
      <c r="CH10" s="289">
        <f t="shared" si="26"/>
        <v>251</v>
      </c>
      <c r="CI10" s="289">
        <f t="shared" si="26"/>
        <v>252</v>
      </c>
      <c r="CJ10" s="289">
        <f t="shared" si="26"/>
        <v>254</v>
      </c>
      <c r="CK10" s="289">
        <f t="shared" si="26"/>
        <v>256</v>
      </c>
      <c r="CL10" s="289">
        <f t="shared" si="26"/>
        <v>258</v>
      </c>
      <c r="CM10" s="289">
        <f t="shared" si="26"/>
        <v>260</v>
      </c>
      <c r="CN10" s="289">
        <f t="shared" si="26"/>
        <v>262</v>
      </c>
      <c r="CO10" s="289">
        <f t="shared" si="26"/>
        <v>264</v>
      </c>
      <c r="CP10" s="289">
        <f t="shared" si="26"/>
        <v>266</v>
      </c>
      <c r="CQ10" s="388">
        <f t="shared" si="26"/>
        <v>270</v>
      </c>
    </row>
    <row r="11" spans="2:95">
      <c r="B11" s="3420" t="s">
        <v>580</v>
      </c>
      <c r="C11" s="3421"/>
      <c r="D11" s="73"/>
      <c r="E11" s="287">
        <f>IFERROR(AVERAGE(F11:Q11),0)</f>
        <v>0</v>
      </c>
      <c r="F11" s="431"/>
      <c r="G11" s="431"/>
      <c r="H11" s="431"/>
      <c r="I11" s="431"/>
      <c r="J11" s="431"/>
      <c r="K11" s="431"/>
      <c r="L11" s="431"/>
      <c r="M11" s="431"/>
      <c r="N11" s="431"/>
      <c r="O11" s="431"/>
      <c r="P11" s="431"/>
      <c r="Q11" s="431"/>
      <c r="R11" s="287">
        <f>IFERROR(AVERAGE(S11:AD11),0)</f>
        <v>0</v>
      </c>
      <c r="S11" s="431"/>
      <c r="T11" s="431"/>
      <c r="U11" s="431"/>
      <c r="V11" s="431"/>
      <c r="W11" s="431"/>
      <c r="X11" s="431"/>
      <c r="Y11" s="431"/>
      <c r="Z11" s="431"/>
      <c r="AA11" s="431"/>
      <c r="AB11" s="431"/>
      <c r="AC11" s="431"/>
      <c r="AD11" s="431"/>
      <c r="AE11" s="287">
        <f>IFERROR(AVERAGE(AF11:AQ11),0)</f>
        <v>0</v>
      </c>
      <c r="AF11" s="287">
        <v>0</v>
      </c>
      <c r="AG11" s="431"/>
      <c r="AH11" s="431"/>
      <c r="AI11" s="431"/>
      <c r="AJ11" s="431"/>
      <c r="AK11" s="431"/>
      <c r="AL11" s="431"/>
      <c r="AM11" s="431"/>
      <c r="AN11" s="431"/>
      <c r="AO11" s="431"/>
      <c r="AP11" s="431"/>
      <c r="AQ11" s="431"/>
      <c r="AR11" s="287">
        <f>IFERROR(AVERAGE(AS11:BD11),0)</f>
        <v>0</v>
      </c>
      <c r="AS11" s="431"/>
      <c r="AT11" s="431"/>
      <c r="AU11" s="431"/>
      <c r="AV11" s="431"/>
      <c r="AW11" s="431"/>
      <c r="AX11" s="431"/>
      <c r="AY11" s="431"/>
      <c r="AZ11" s="431"/>
      <c r="BA11" s="431"/>
      <c r="BB11" s="431"/>
      <c r="BC11" s="431"/>
      <c r="BD11" s="1595"/>
      <c r="BE11" s="287">
        <f>IFERROR(AVERAGE(BF11:BQ11),0)</f>
        <v>0</v>
      </c>
      <c r="BF11" s="2095"/>
      <c r="BG11" s="323"/>
      <c r="BH11" s="323"/>
      <c r="BI11" s="323"/>
      <c r="BJ11" s="323"/>
      <c r="BK11" s="323"/>
      <c r="BL11" s="323"/>
      <c r="BM11" s="323"/>
      <c r="BN11" s="323"/>
      <c r="BO11" s="323"/>
      <c r="BP11" s="323"/>
      <c r="BQ11" s="2096"/>
      <c r="BR11" s="287">
        <f>IFERROR(AVERAGE(BS11:CD11),0)</f>
        <v>1</v>
      </c>
      <c r="BS11" s="2095">
        <v>1</v>
      </c>
      <c r="BT11" s="323">
        <v>1</v>
      </c>
      <c r="BU11" s="323">
        <v>1</v>
      </c>
      <c r="BV11" s="323">
        <v>1</v>
      </c>
      <c r="BW11" s="323">
        <v>1</v>
      </c>
      <c r="BX11" s="323">
        <v>1</v>
      </c>
      <c r="BY11" s="323">
        <v>1</v>
      </c>
      <c r="BZ11" s="323">
        <v>1</v>
      </c>
      <c r="CA11" s="323">
        <v>1</v>
      </c>
      <c r="CB11" s="323">
        <v>1</v>
      </c>
      <c r="CC11" s="323">
        <v>1</v>
      </c>
      <c r="CD11" s="431">
        <v>1</v>
      </c>
      <c r="CE11" s="287">
        <f>IFERROR(AVERAGE(CF11:CQ11),0)</f>
        <v>2</v>
      </c>
      <c r="CF11" s="2061">
        <v>1</v>
      </c>
      <c r="CG11" s="2062">
        <v>1</v>
      </c>
      <c r="CH11" s="2062">
        <v>1</v>
      </c>
      <c r="CI11" s="2062">
        <v>2</v>
      </c>
      <c r="CJ11" s="2062">
        <v>2</v>
      </c>
      <c r="CK11" s="2062">
        <v>2</v>
      </c>
      <c r="CL11" s="2062">
        <v>2</v>
      </c>
      <c r="CM11" s="2062">
        <v>2</v>
      </c>
      <c r="CN11" s="2062">
        <v>2</v>
      </c>
      <c r="CO11" s="2062">
        <v>3</v>
      </c>
      <c r="CP11" s="2062">
        <v>3</v>
      </c>
      <c r="CQ11" s="498">
        <v>3</v>
      </c>
    </row>
    <row r="12" spans="2:95" hidden="1">
      <c r="B12" s="3416" t="s">
        <v>45</v>
      </c>
      <c r="C12" s="3337"/>
      <c r="D12" s="73" t="s">
        <v>43</v>
      </c>
      <c r="E12" s="287">
        <f t="shared" si="0"/>
        <v>29.333333333333332</v>
      </c>
      <c r="F12" s="431">
        <f t="shared" ref="F12:K12" si="27">SUM(F13:F15)</f>
        <v>66</v>
      </c>
      <c r="G12" s="431">
        <f t="shared" si="27"/>
        <v>66</v>
      </c>
      <c r="H12" s="431">
        <f t="shared" si="27"/>
        <v>66</v>
      </c>
      <c r="I12" s="431">
        <f t="shared" si="27"/>
        <v>66</v>
      </c>
      <c r="J12" s="431"/>
      <c r="K12" s="431">
        <f t="shared" si="27"/>
        <v>0</v>
      </c>
      <c r="L12" s="431">
        <v>0</v>
      </c>
      <c r="M12" s="431">
        <v>0</v>
      </c>
      <c r="N12" s="431">
        <v>0</v>
      </c>
      <c r="O12" s="431">
        <v>0</v>
      </c>
      <c r="P12" s="431"/>
      <c r="Q12" s="431"/>
      <c r="R12" s="287" t="e">
        <f t="shared" ref="R12" si="28">AVERAGE(S12:AD12)</f>
        <v>#DIV/0!</v>
      </c>
      <c r="S12" s="498"/>
      <c r="T12" s="498"/>
      <c r="U12" s="498"/>
      <c r="V12" s="498"/>
      <c r="W12" s="498"/>
      <c r="X12" s="498"/>
      <c r="Y12" s="498"/>
      <c r="Z12" s="498"/>
      <c r="AA12" s="498"/>
      <c r="AB12" s="498"/>
      <c r="AC12" s="498"/>
      <c r="AD12" s="498"/>
      <c r="AE12" s="844" t="e">
        <f t="shared" si="4"/>
        <v>#DIV/0!</v>
      </c>
      <c r="AF12" s="498"/>
      <c r="AG12" s="498"/>
      <c r="AH12" s="498"/>
      <c r="AI12" s="498"/>
      <c r="AJ12" s="498"/>
      <c r="AK12" s="498"/>
      <c r="AL12" s="498"/>
      <c r="AM12" s="498"/>
      <c r="AN12" s="498"/>
      <c r="AO12" s="498"/>
      <c r="AP12" s="498"/>
      <c r="AQ12" s="498"/>
      <c r="AR12" s="844">
        <f t="shared" si="15"/>
        <v>0</v>
      </c>
      <c r="AS12" s="431">
        <f>SUM(AS13:AS15)</f>
        <v>0</v>
      </c>
      <c r="AT12" s="431">
        <f t="shared" ref="AT12:BD12" si="29">SUM(AT13:AT15)</f>
        <v>0</v>
      </c>
      <c r="AU12" s="431">
        <f t="shared" si="29"/>
        <v>0</v>
      </c>
      <c r="AV12" s="431">
        <f t="shared" si="29"/>
        <v>0</v>
      </c>
      <c r="AW12" s="431">
        <f t="shared" si="29"/>
        <v>0</v>
      </c>
      <c r="AX12" s="431">
        <f t="shared" si="29"/>
        <v>0</v>
      </c>
      <c r="AY12" s="431">
        <f t="shared" si="29"/>
        <v>0</v>
      </c>
      <c r="AZ12" s="431">
        <f t="shared" si="29"/>
        <v>0</v>
      </c>
      <c r="BA12" s="431">
        <f t="shared" si="29"/>
        <v>0</v>
      </c>
      <c r="BB12" s="431">
        <f t="shared" si="29"/>
        <v>0</v>
      </c>
      <c r="BC12" s="431">
        <f t="shared" si="29"/>
        <v>0</v>
      </c>
      <c r="BD12" s="1595">
        <f t="shared" si="29"/>
        <v>0</v>
      </c>
      <c r="BE12" s="831">
        <f t="shared" si="5"/>
        <v>0</v>
      </c>
      <c r="BF12" s="2095">
        <f>SUM(BF13:BF15)</f>
        <v>0</v>
      </c>
      <c r="BG12" s="323">
        <f t="shared" ref="BG12:BQ12" si="30">SUM(BG13:BG15)</f>
        <v>0</v>
      </c>
      <c r="BH12" s="323">
        <f t="shared" si="30"/>
        <v>0</v>
      </c>
      <c r="BI12" s="323">
        <f t="shared" si="30"/>
        <v>0</v>
      </c>
      <c r="BJ12" s="323">
        <f t="shared" si="30"/>
        <v>0</v>
      </c>
      <c r="BK12" s="323">
        <f t="shared" si="30"/>
        <v>0</v>
      </c>
      <c r="BL12" s="323">
        <f t="shared" si="30"/>
        <v>0</v>
      </c>
      <c r="BM12" s="323">
        <f t="shared" si="30"/>
        <v>0</v>
      </c>
      <c r="BN12" s="323">
        <f t="shared" ref="BN12" si="31">SUM(BN13:BN15)</f>
        <v>0</v>
      </c>
      <c r="BO12" s="323">
        <f t="shared" si="30"/>
        <v>0</v>
      </c>
      <c r="BP12" s="323">
        <f t="shared" si="30"/>
        <v>0</v>
      </c>
      <c r="BQ12" s="2096">
        <f t="shared" si="30"/>
        <v>0</v>
      </c>
      <c r="BR12" s="831">
        <f t="shared" si="7"/>
        <v>0</v>
      </c>
      <c r="BS12" s="2061">
        <f>BQ12</f>
        <v>0</v>
      </c>
      <c r="BT12" s="2062">
        <f t="shared" ref="BT12:CD15" si="32">BS12</f>
        <v>0</v>
      </c>
      <c r="BU12" s="2062">
        <f t="shared" si="32"/>
        <v>0</v>
      </c>
      <c r="BV12" s="2062">
        <f t="shared" si="32"/>
        <v>0</v>
      </c>
      <c r="BW12" s="2062">
        <f t="shared" si="32"/>
        <v>0</v>
      </c>
      <c r="BX12" s="2062">
        <f t="shared" si="32"/>
        <v>0</v>
      </c>
      <c r="BY12" s="2062">
        <f t="shared" si="32"/>
        <v>0</v>
      </c>
      <c r="BZ12" s="2062">
        <f t="shared" si="32"/>
        <v>0</v>
      </c>
      <c r="CA12" s="2062">
        <f t="shared" si="32"/>
        <v>0</v>
      </c>
      <c r="CB12" s="2062">
        <f t="shared" si="32"/>
        <v>0</v>
      </c>
      <c r="CC12" s="2062">
        <f t="shared" si="32"/>
        <v>0</v>
      </c>
      <c r="CD12" s="498">
        <f t="shared" si="32"/>
        <v>0</v>
      </c>
      <c r="CE12" s="831">
        <f t="shared" ref="CE12" si="33">AVERAGE(CF12:CQ12)</f>
        <v>0</v>
      </c>
      <c r="CF12" s="2061">
        <f>CD12</f>
        <v>0</v>
      </c>
      <c r="CG12" s="2062">
        <f t="shared" ref="CG12:CG15" si="34">CF12</f>
        <v>0</v>
      </c>
      <c r="CH12" s="2062">
        <f t="shared" ref="CH12:CH15" si="35">CG12</f>
        <v>0</v>
      </c>
      <c r="CI12" s="2062">
        <f t="shared" ref="CI12:CI15" si="36">CH12</f>
        <v>0</v>
      </c>
      <c r="CJ12" s="2062">
        <f t="shared" ref="CJ12:CJ15" si="37">CI12</f>
        <v>0</v>
      </c>
      <c r="CK12" s="2062">
        <f t="shared" ref="CK12:CK15" si="38">CJ12</f>
        <v>0</v>
      </c>
      <c r="CL12" s="2062">
        <f t="shared" ref="CL12:CL15" si="39">CK12</f>
        <v>0</v>
      </c>
      <c r="CM12" s="2062">
        <f t="shared" ref="CM12:CM15" si="40">CL12</f>
        <v>0</v>
      </c>
      <c r="CN12" s="2062">
        <f t="shared" ref="CN12:CN15" si="41">CM12</f>
        <v>0</v>
      </c>
      <c r="CO12" s="2062">
        <f t="shared" ref="CO12:CO15" si="42">CN12</f>
        <v>0</v>
      </c>
      <c r="CP12" s="2062">
        <f t="shared" ref="CP12:CP15" si="43">CO12</f>
        <v>0</v>
      </c>
      <c r="CQ12" s="498">
        <f t="shared" ref="CQ12:CQ15" si="44">CP12</f>
        <v>0</v>
      </c>
    </row>
    <row r="13" spans="2:95" hidden="1">
      <c r="B13" s="1918"/>
      <c r="C13" s="16" t="s">
        <v>235</v>
      </c>
      <c r="D13" s="77" t="s">
        <v>238</v>
      </c>
      <c r="E13" s="390">
        <f>AVERAGE(F13:Q13)</f>
        <v>29.333333333333332</v>
      </c>
      <c r="F13" s="471">
        <v>66</v>
      </c>
      <c r="G13" s="471">
        <v>66</v>
      </c>
      <c r="H13" s="471">
        <v>66</v>
      </c>
      <c r="I13" s="471">
        <v>66</v>
      </c>
      <c r="J13" s="471"/>
      <c r="K13" s="471">
        <f t="shared" ref="K13" si="45">J13</f>
        <v>0</v>
      </c>
      <c r="L13" s="471">
        <v>0</v>
      </c>
      <c r="M13" s="471">
        <v>0</v>
      </c>
      <c r="N13" s="471">
        <v>0</v>
      </c>
      <c r="O13" s="471">
        <v>0</v>
      </c>
      <c r="P13" s="471"/>
      <c r="Q13" s="706"/>
      <c r="R13" s="390" t="e">
        <f>AVERAGE(S13:AD13)</f>
        <v>#DIV/0!</v>
      </c>
      <c r="S13" s="389"/>
      <c r="T13" s="389"/>
      <c r="U13" s="389"/>
      <c r="V13" s="389"/>
      <c r="W13" s="389"/>
      <c r="X13" s="389"/>
      <c r="Y13" s="389"/>
      <c r="Z13" s="389"/>
      <c r="AA13" s="389"/>
      <c r="AB13" s="389"/>
      <c r="AC13" s="389"/>
      <c r="AD13" s="499"/>
      <c r="AE13" s="846" t="e">
        <f>AVERAGE(AF13:AQ13)</f>
        <v>#DIV/0!</v>
      </c>
      <c r="AF13" s="389"/>
      <c r="AG13" s="389"/>
      <c r="AH13" s="389"/>
      <c r="AI13" s="389"/>
      <c r="AJ13" s="389"/>
      <c r="AK13" s="389"/>
      <c r="AL13" s="389"/>
      <c r="AM13" s="389"/>
      <c r="AN13" s="389"/>
      <c r="AO13" s="389"/>
      <c r="AP13" s="389"/>
      <c r="AQ13" s="499"/>
      <c r="AR13" s="846">
        <f>AVERAGE(AS13:BD13)</f>
        <v>0</v>
      </c>
      <c r="AS13" s="471">
        <v>0</v>
      </c>
      <c r="AT13" s="471">
        <v>0</v>
      </c>
      <c r="AU13" s="471">
        <v>0</v>
      </c>
      <c r="AV13" s="471">
        <v>0</v>
      </c>
      <c r="AW13" s="471">
        <v>0</v>
      </c>
      <c r="AX13" s="471">
        <v>0</v>
      </c>
      <c r="AY13" s="471">
        <v>0</v>
      </c>
      <c r="AZ13" s="471">
        <v>0</v>
      </c>
      <c r="BA13" s="471">
        <v>0</v>
      </c>
      <c r="BB13" s="471">
        <v>0</v>
      </c>
      <c r="BC13" s="471">
        <v>0</v>
      </c>
      <c r="BD13" s="1596">
        <v>0</v>
      </c>
      <c r="BE13" s="833">
        <f>AVERAGE(BF13:BQ13)</f>
        <v>0</v>
      </c>
      <c r="BF13" s="2099">
        <v>0</v>
      </c>
      <c r="BG13" s="471">
        <v>0</v>
      </c>
      <c r="BH13" s="471">
        <v>0</v>
      </c>
      <c r="BI13" s="471">
        <v>0</v>
      </c>
      <c r="BJ13" s="471">
        <v>0</v>
      </c>
      <c r="BK13" s="471">
        <v>0</v>
      </c>
      <c r="BL13" s="471">
        <v>0</v>
      </c>
      <c r="BM13" s="471">
        <v>0</v>
      </c>
      <c r="BN13" s="471">
        <v>0</v>
      </c>
      <c r="BO13" s="471">
        <v>0</v>
      </c>
      <c r="BP13" s="471">
        <v>0</v>
      </c>
      <c r="BQ13" s="2100">
        <v>0</v>
      </c>
      <c r="BR13" s="833">
        <f>AVERAGE(BS13:CD13)</f>
        <v>0</v>
      </c>
      <c r="BS13" s="2064">
        <f>BQ13</f>
        <v>0</v>
      </c>
      <c r="BT13" s="389">
        <f t="shared" si="32"/>
        <v>0</v>
      </c>
      <c r="BU13" s="389">
        <f t="shared" si="32"/>
        <v>0</v>
      </c>
      <c r="BV13" s="389">
        <f t="shared" si="32"/>
        <v>0</v>
      </c>
      <c r="BW13" s="389">
        <f t="shared" si="32"/>
        <v>0</v>
      </c>
      <c r="BX13" s="389">
        <f t="shared" si="32"/>
        <v>0</v>
      </c>
      <c r="BY13" s="389">
        <f t="shared" si="32"/>
        <v>0</v>
      </c>
      <c r="BZ13" s="389">
        <f t="shared" si="32"/>
        <v>0</v>
      </c>
      <c r="CA13" s="389">
        <f t="shared" si="32"/>
        <v>0</v>
      </c>
      <c r="CB13" s="389">
        <f t="shared" si="32"/>
        <v>0</v>
      </c>
      <c r="CC13" s="389">
        <f t="shared" si="32"/>
        <v>0</v>
      </c>
      <c r="CD13" s="499">
        <f t="shared" si="32"/>
        <v>0</v>
      </c>
      <c r="CE13" s="833">
        <f>AVERAGE(CF13:CQ13)</f>
        <v>0</v>
      </c>
      <c r="CF13" s="2064">
        <f>CD13</f>
        <v>0</v>
      </c>
      <c r="CG13" s="389">
        <f t="shared" si="34"/>
        <v>0</v>
      </c>
      <c r="CH13" s="389">
        <f t="shared" si="35"/>
        <v>0</v>
      </c>
      <c r="CI13" s="389">
        <f t="shared" si="36"/>
        <v>0</v>
      </c>
      <c r="CJ13" s="389">
        <f t="shared" si="37"/>
        <v>0</v>
      </c>
      <c r="CK13" s="389">
        <f t="shared" si="38"/>
        <v>0</v>
      </c>
      <c r="CL13" s="389">
        <f t="shared" si="39"/>
        <v>0</v>
      </c>
      <c r="CM13" s="389">
        <f t="shared" si="40"/>
        <v>0</v>
      </c>
      <c r="CN13" s="389">
        <f t="shared" si="41"/>
        <v>0</v>
      </c>
      <c r="CO13" s="389">
        <f t="shared" si="42"/>
        <v>0</v>
      </c>
      <c r="CP13" s="389">
        <f t="shared" si="43"/>
        <v>0</v>
      </c>
      <c r="CQ13" s="499">
        <f t="shared" si="44"/>
        <v>0</v>
      </c>
    </row>
    <row r="14" spans="2:95" hidden="1">
      <c r="B14" s="1918"/>
      <c r="C14" s="75" t="s">
        <v>237</v>
      </c>
      <c r="D14" s="70" t="s">
        <v>238</v>
      </c>
      <c r="E14" s="288">
        <f>AVERAGE(F14:Q14)</f>
        <v>0</v>
      </c>
      <c r="F14" s="324">
        <v>0</v>
      </c>
      <c r="G14" s="324">
        <v>0</v>
      </c>
      <c r="H14" s="324">
        <v>0</v>
      </c>
      <c r="I14" s="324">
        <v>0</v>
      </c>
      <c r="J14" s="324"/>
      <c r="K14" s="324">
        <v>0</v>
      </c>
      <c r="L14" s="324">
        <v>0</v>
      </c>
      <c r="M14" s="324">
        <v>0</v>
      </c>
      <c r="N14" s="324">
        <v>0</v>
      </c>
      <c r="O14" s="324">
        <v>0</v>
      </c>
      <c r="P14" s="324"/>
      <c r="Q14" s="432"/>
      <c r="R14" s="288" t="e">
        <f>AVERAGE(S14:AD14)</f>
        <v>#DIV/0!</v>
      </c>
      <c r="S14" s="289"/>
      <c r="T14" s="289"/>
      <c r="U14" s="289"/>
      <c r="V14" s="289"/>
      <c r="W14" s="289"/>
      <c r="X14" s="289"/>
      <c r="Y14" s="289"/>
      <c r="Z14" s="289"/>
      <c r="AA14" s="289"/>
      <c r="AB14" s="289"/>
      <c r="AC14" s="289"/>
      <c r="AD14" s="388"/>
      <c r="AE14" s="845" t="e">
        <f>AVERAGE(AF14:AQ14)</f>
        <v>#DIV/0!</v>
      </c>
      <c r="AF14" s="289"/>
      <c r="AG14" s="289"/>
      <c r="AH14" s="289"/>
      <c r="AI14" s="289"/>
      <c r="AJ14" s="289"/>
      <c r="AK14" s="289"/>
      <c r="AL14" s="289"/>
      <c r="AM14" s="289"/>
      <c r="AN14" s="289"/>
      <c r="AO14" s="289"/>
      <c r="AP14" s="289"/>
      <c r="AQ14" s="388"/>
      <c r="AR14" s="845">
        <f>AVERAGE(AS14:BD14)</f>
        <v>0</v>
      </c>
      <c r="AS14" s="324">
        <v>0</v>
      </c>
      <c r="AT14" s="324">
        <v>0</v>
      </c>
      <c r="AU14" s="324">
        <v>0</v>
      </c>
      <c r="AV14" s="324">
        <v>0</v>
      </c>
      <c r="AW14" s="324">
        <v>0</v>
      </c>
      <c r="AX14" s="324">
        <v>0</v>
      </c>
      <c r="AY14" s="324">
        <v>0</v>
      </c>
      <c r="AZ14" s="324">
        <v>0</v>
      </c>
      <c r="BA14" s="324">
        <v>0</v>
      </c>
      <c r="BB14" s="324">
        <v>0</v>
      </c>
      <c r="BC14" s="324">
        <v>0</v>
      </c>
      <c r="BD14" s="1594">
        <v>0</v>
      </c>
      <c r="BE14" s="832">
        <f>AVERAGE(BF14:BQ14)</f>
        <v>0</v>
      </c>
      <c r="BF14" s="2097">
        <v>0</v>
      </c>
      <c r="BG14" s="324">
        <v>0</v>
      </c>
      <c r="BH14" s="324">
        <v>0</v>
      </c>
      <c r="BI14" s="324">
        <v>0</v>
      </c>
      <c r="BJ14" s="324">
        <v>0</v>
      </c>
      <c r="BK14" s="324">
        <v>0</v>
      </c>
      <c r="BL14" s="324">
        <v>0</v>
      </c>
      <c r="BM14" s="324">
        <v>0</v>
      </c>
      <c r="BN14" s="324">
        <v>0</v>
      </c>
      <c r="BO14" s="324">
        <v>0</v>
      </c>
      <c r="BP14" s="324">
        <v>0</v>
      </c>
      <c r="BQ14" s="2098">
        <v>0</v>
      </c>
      <c r="BR14" s="832">
        <f>AVERAGE(BS14:CD14)</f>
        <v>0</v>
      </c>
      <c r="BS14" s="2063">
        <f>BQ14</f>
        <v>0</v>
      </c>
      <c r="BT14" s="289">
        <f t="shared" si="32"/>
        <v>0</v>
      </c>
      <c r="BU14" s="289">
        <f t="shared" si="32"/>
        <v>0</v>
      </c>
      <c r="BV14" s="289">
        <f t="shared" si="32"/>
        <v>0</v>
      </c>
      <c r="BW14" s="289">
        <f t="shared" si="32"/>
        <v>0</v>
      </c>
      <c r="BX14" s="289">
        <f t="shared" si="32"/>
        <v>0</v>
      </c>
      <c r="BY14" s="289">
        <f t="shared" si="32"/>
        <v>0</v>
      </c>
      <c r="BZ14" s="289">
        <f t="shared" si="32"/>
        <v>0</v>
      </c>
      <c r="CA14" s="289">
        <f t="shared" si="32"/>
        <v>0</v>
      </c>
      <c r="CB14" s="289">
        <f t="shared" si="32"/>
        <v>0</v>
      </c>
      <c r="CC14" s="289">
        <f t="shared" si="32"/>
        <v>0</v>
      </c>
      <c r="CD14" s="388">
        <f t="shared" si="32"/>
        <v>0</v>
      </c>
      <c r="CE14" s="832">
        <f>AVERAGE(CF14:CQ14)</f>
        <v>0</v>
      </c>
      <c r="CF14" s="2063">
        <f>CD14</f>
        <v>0</v>
      </c>
      <c r="CG14" s="289">
        <f t="shared" si="34"/>
        <v>0</v>
      </c>
      <c r="CH14" s="289">
        <f t="shared" si="35"/>
        <v>0</v>
      </c>
      <c r="CI14" s="289">
        <f t="shared" si="36"/>
        <v>0</v>
      </c>
      <c r="CJ14" s="289">
        <f t="shared" si="37"/>
        <v>0</v>
      </c>
      <c r="CK14" s="289">
        <f t="shared" si="38"/>
        <v>0</v>
      </c>
      <c r="CL14" s="289">
        <f t="shared" si="39"/>
        <v>0</v>
      </c>
      <c r="CM14" s="289">
        <f t="shared" si="40"/>
        <v>0</v>
      </c>
      <c r="CN14" s="289">
        <f t="shared" si="41"/>
        <v>0</v>
      </c>
      <c r="CO14" s="289">
        <f t="shared" si="42"/>
        <v>0</v>
      </c>
      <c r="CP14" s="289">
        <f t="shared" si="43"/>
        <v>0</v>
      </c>
      <c r="CQ14" s="388">
        <f t="shared" si="44"/>
        <v>0</v>
      </c>
    </row>
    <row r="15" spans="2:95" hidden="1">
      <c r="B15" s="132"/>
      <c r="C15" s="76" t="s">
        <v>236</v>
      </c>
      <c r="D15" s="71" t="s">
        <v>43</v>
      </c>
      <c r="E15" s="290">
        <f>AVERAGE(F15:Q15)</f>
        <v>0</v>
      </c>
      <c r="F15" s="325">
        <v>0</v>
      </c>
      <c r="G15" s="325">
        <v>0</v>
      </c>
      <c r="H15" s="325">
        <v>0</v>
      </c>
      <c r="I15" s="325">
        <v>0</v>
      </c>
      <c r="J15" s="325"/>
      <c r="K15" s="325">
        <v>0</v>
      </c>
      <c r="L15" s="325">
        <v>0</v>
      </c>
      <c r="M15" s="325">
        <v>0</v>
      </c>
      <c r="N15" s="325">
        <v>0</v>
      </c>
      <c r="O15" s="325">
        <v>0</v>
      </c>
      <c r="P15" s="325"/>
      <c r="Q15" s="707"/>
      <c r="R15" s="290" t="e">
        <f>AVERAGE(S15:AD15)</f>
        <v>#DIV/0!</v>
      </c>
      <c r="S15" s="291"/>
      <c r="T15" s="291"/>
      <c r="U15" s="291"/>
      <c r="V15" s="291"/>
      <c r="W15" s="291"/>
      <c r="X15" s="291"/>
      <c r="Y15" s="291"/>
      <c r="Z15" s="291"/>
      <c r="AA15" s="291"/>
      <c r="AB15" s="291"/>
      <c r="AC15" s="291"/>
      <c r="AD15" s="500"/>
      <c r="AE15" s="843" t="e">
        <f>AVERAGE(AF15:AQ15)</f>
        <v>#DIV/0!</v>
      </c>
      <c r="AF15" s="291"/>
      <c r="AG15" s="291"/>
      <c r="AH15" s="291"/>
      <c r="AI15" s="291"/>
      <c r="AJ15" s="291"/>
      <c r="AK15" s="291"/>
      <c r="AL15" s="291"/>
      <c r="AM15" s="291"/>
      <c r="AN15" s="291"/>
      <c r="AO15" s="291"/>
      <c r="AP15" s="291"/>
      <c r="AQ15" s="500"/>
      <c r="AR15" s="843">
        <f>AVERAGE(AS15:BD15)</f>
        <v>0</v>
      </c>
      <c r="AS15" s="325">
        <v>0</v>
      </c>
      <c r="AT15" s="325">
        <v>0</v>
      </c>
      <c r="AU15" s="325">
        <v>0</v>
      </c>
      <c r="AV15" s="325">
        <v>0</v>
      </c>
      <c r="AW15" s="325">
        <v>0</v>
      </c>
      <c r="AX15" s="325">
        <v>0</v>
      </c>
      <c r="AY15" s="325">
        <v>0</v>
      </c>
      <c r="AZ15" s="325">
        <v>0</v>
      </c>
      <c r="BA15" s="325">
        <v>0</v>
      </c>
      <c r="BB15" s="325">
        <v>0</v>
      </c>
      <c r="BC15" s="325">
        <v>0</v>
      </c>
      <c r="BD15" s="1597">
        <v>0</v>
      </c>
      <c r="BE15" s="830">
        <f>AVERAGE(BF15:BQ15)</f>
        <v>0</v>
      </c>
      <c r="BF15" s="2101">
        <v>0</v>
      </c>
      <c r="BG15" s="325">
        <v>0</v>
      </c>
      <c r="BH15" s="325">
        <v>0</v>
      </c>
      <c r="BI15" s="325">
        <v>0</v>
      </c>
      <c r="BJ15" s="325">
        <v>0</v>
      </c>
      <c r="BK15" s="325">
        <v>0</v>
      </c>
      <c r="BL15" s="325">
        <v>0</v>
      </c>
      <c r="BM15" s="325">
        <v>0</v>
      </c>
      <c r="BN15" s="325">
        <v>0</v>
      </c>
      <c r="BO15" s="325">
        <v>0</v>
      </c>
      <c r="BP15" s="325">
        <v>0</v>
      </c>
      <c r="BQ15" s="2102">
        <v>0</v>
      </c>
      <c r="BR15" s="830">
        <f>AVERAGE(BS15:CD15)</f>
        <v>0</v>
      </c>
      <c r="BS15" s="2065">
        <f>BQ15</f>
        <v>0</v>
      </c>
      <c r="BT15" s="291">
        <f t="shared" si="32"/>
        <v>0</v>
      </c>
      <c r="BU15" s="291">
        <f t="shared" si="32"/>
        <v>0</v>
      </c>
      <c r="BV15" s="291">
        <f t="shared" si="32"/>
        <v>0</v>
      </c>
      <c r="BW15" s="291">
        <f t="shared" si="32"/>
        <v>0</v>
      </c>
      <c r="BX15" s="291">
        <f t="shared" si="32"/>
        <v>0</v>
      </c>
      <c r="BY15" s="291">
        <f t="shared" si="32"/>
        <v>0</v>
      </c>
      <c r="BZ15" s="291">
        <f t="shared" si="32"/>
        <v>0</v>
      </c>
      <c r="CA15" s="291">
        <f t="shared" si="32"/>
        <v>0</v>
      </c>
      <c r="CB15" s="291">
        <f t="shared" si="32"/>
        <v>0</v>
      </c>
      <c r="CC15" s="291">
        <f t="shared" si="32"/>
        <v>0</v>
      </c>
      <c r="CD15" s="500">
        <f t="shared" si="32"/>
        <v>0</v>
      </c>
      <c r="CE15" s="830">
        <f>AVERAGE(CF15:CQ15)</f>
        <v>0</v>
      </c>
      <c r="CF15" s="2065">
        <f>CD15</f>
        <v>0</v>
      </c>
      <c r="CG15" s="291">
        <f t="shared" si="34"/>
        <v>0</v>
      </c>
      <c r="CH15" s="291">
        <f t="shared" si="35"/>
        <v>0</v>
      </c>
      <c r="CI15" s="291">
        <f t="shared" si="36"/>
        <v>0</v>
      </c>
      <c r="CJ15" s="291">
        <f t="shared" si="37"/>
        <v>0</v>
      </c>
      <c r="CK15" s="291">
        <f t="shared" si="38"/>
        <v>0</v>
      </c>
      <c r="CL15" s="291">
        <f t="shared" si="39"/>
        <v>0</v>
      </c>
      <c r="CM15" s="291">
        <f t="shared" si="40"/>
        <v>0</v>
      </c>
      <c r="CN15" s="291">
        <f t="shared" si="41"/>
        <v>0</v>
      </c>
      <c r="CO15" s="291">
        <f t="shared" si="42"/>
        <v>0</v>
      </c>
      <c r="CP15" s="291">
        <f t="shared" si="43"/>
        <v>0</v>
      </c>
      <c r="CQ15" s="500">
        <f t="shared" si="44"/>
        <v>0</v>
      </c>
    </row>
    <row r="16" spans="2:95">
      <c r="B16" s="423"/>
      <c r="C16" s="423"/>
      <c r="D16" s="423"/>
      <c r="E16" s="825"/>
      <c r="F16" s="825"/>
      <c r="G16" s="825"/>
      <c r="H16" s="825"/>
      <c r="I16" s="746"/>
      <c r="J16" s="746"/>
      <c r="K16" s="746"/>
      <c r="L16" s="746"/>
      <c r="M16" s="746"/>
      <c r="N16" s="746"/>
      <c r="O16" s="746"/>
      <c r="P16" s="746"/>
      <c r="Q16" s="746"/>
      <c r="R16" s="825"/>
      <c r="S16" s="825"/>
      <c r="T16" s="825"/>
      <c r="U16" s="825"/>
      <c r="V16" s="746"/>
      <c r="W16" s="746"/>
      <c r="X16" s="746"/>
      <c r="Y16" s="746"/>
      <c r="Z16" s="746"/>
      <c r="AA16" s="746"/>
      <c r="AB16" s="746"/>
      <c r="AC16" s="746"/>
      <c r="AD16" s="746"/>
      <c r="AE16" s="834"/>
      <c r="AF16" s="825"/>
      <c r="AG16" s="825"/>
      <c r="AH16" s="825"/>
      <c r="AI16" s="746"/>
      <c r="AJ16" s="746"/>
      <c r="AK16" s="746"/>
      <c r="AL16" s="746"/>
      <c r="AM16" s="746"/>
      <c r="AN16" s="746"/>
      <c r="AO16" s="746"/>
      <c r="AP16" s="746"/>
      <c r="AQ16" s="746"/>
      <c r="AR16" s="834"/>
      <c r="AS16" s="825"/>
      <c r="AT16" s="825"/>
      <c r="AU16" s="825"/>
      <c r="AV16" s="746"/>
      <c r="AW16" s="746"/>
      <c r="AX16" s="746"/>
      <c r="AY16" s="746"/>
      <c r="AZ16" s="746"/>
      <c r="BA16" s="746"/>
      <c r="BB16" s="746"/>
      <c r="BC16" s="746"/>
      <c r="BD16" s="853"/>
      <c r="BE16" s="834"/>
      <c r="BF16" s="2066"/>
      <c r="BG16" s="2067"/>
      <c r="BH16" s="2067"/>
      <c r="BI16" s="2068"/>
      <c r="BJ16" s="2068"/>
      <c r="BK16" s="2068"/>
      <c r="BL16" s="2068"/>
      <c r="BM16" s="2069"/>
      <c r="BN16" s="2069"/>
      <c r="BO16" s="2069"/>
      <c r="BP16" s="2069"/>
      <c r="BQ16" s="2070"/>
      <c r="BR16" s="834"/>
      <c r="BS16" s="2116"/>
      <c r="BT16" s="2117"/>
      <c r="BU16" s="2117"/>
      <c r="BV16" s="2069"/>
      <c r="BW16" s="2069"/>
      <c r="BX16" s="2069"/>
      <c r="BY16" s="2069"/>
      <c r="BZ16" s="2068"/>
      <c r="CA16" s="2068"/>
      <c r="CB16" s="2068"/>
      <c r="CC16" s="2068"/>
      <c r="CD16" s="2119"/>
      <c r="CE16" s="834"/>
      <c r="CF16" s="2116"/>
      <c r="CG16" s="2117"/>
      <c r="CH16" s="2117"/>
      <c r="CI16" s="2069"/>
      <c r="CJ16" s="2069"/>
      <c r="CK16" s="2069"/>
      <c r="CL16" s="2069"/>
      <c r="CM16" s="2068"/>
      <c r="CN16" s="2068"/>
      <c r="CO16" s="2068"/>
      <c r="CP16" s="2068"/>
      <c r="CQ16" s="2119"/>
    </row>
    <row r="17" spans="2:97" ht="21">
      <c r="B17" s="2215" t="s">
        <v>234</v>
      </c>
      <c r="C17" s="423"/>
      <c r="D17" s="423"/>
      <c r="E17" s="746"/>
      <c r="F17" s="746"/>
      <c r="G17" s="746"/>
      <c r="H17" s="746"/>
      <c r="I17" s="746"/>
      <c r="J17" s="826"/>
      <c r="K17" s="826"/>
      <c r="L17" s="746"/>
      <c r="M17" s="746"/>
      <c r="N17" s="746"/>
      <c r="O17" s="746"/>
      <c r="P17" s="746"/>
      <c r="Q17" s="746"/>
      <c r="R17" s="746"/>
      <c r="S17" s="825"/>
      <c r="T17" s="746"/>
      <c r="U17" s="746"/>
      <c r="V17" s="746"/>
      <c r="W17" s="826"/>
      <c r="X17" s="826"/>
      <c r="Y17" s="746"/>
      <c r="Z17" s="746"/>
      <c r="AA17" s="746"/>
      <c r="AB17" s="746"/>
      <c r="AC17" s="746"/>
      <c r="AD17" s="746"/>
      <c r="AE17" s="835"/>
      <c r="AF17" s="825"/>
      <c r="AG17" s="746"/>
      <c r="AH17" s="746"/>
      <c r="AI17" s="746"/>
      <c r="AJ17" s="826"/>
      <c r="AK17" s="826"/>
      <c r="AL17" s="746"/>
      <c r="AM17" s="746"/>
      <c r="AN17" s="746"/>
      <c r="AO17" s="746"/>
      <c r="AP17" s="746"/>
      <c r="AQ17" s="746"/>
      <c r="AR17" s="835"/>
      <c r="AS17" s="825"/>
      <c r="AT17" s="746"/>
      <c r="AU17" s="746"/>
      <c r="AV17" s="746"/>
      <c r="AW17" s="826"/>
      <c r="AX17" s="826"/>
      <c r="AY17" s="746"/>
      <c r="AZ17" s="746"/>
      <c r="BA17" s="746"/>
      <c r="BB17" s="746"/>
      <c r="BC17" s="746"/>
      <c r="BD17" s="853"/>
      <c r="BE17" s="835"/>
      <c r="BF17" s="2066"/>
      <c r="BG17" s="2068"/>
      <c r="BH17" s="2068"/>
      <c r="BI17" s="2068"/>
      <c r="BJ17" s="2071"/>
      <c r="BK17" s="2071"/>
      <c r="BL17" s="2068"/>
      <c r="BM17" s="2069"/>
      <c r="BN17" s="2069"/>
      <c r="BO17" s="2069"/>
      <c r="BP17" s="2069"/>
      <c r="BQ17" s="2070"/>
      <c r="BR17" s="835"/>
      <c r="BS17" s="2116"/>
      <c r="BT17" s="2069"/>
      <c r="BU17" s="2069"/>
      <c r="BV17" s="2069"/>
      <c r="BW17" s="2115"/>
      <c r="BX17" s="2115"/>
      <c r="BY17" s="2069"/>
      <c r="BZ17" s="2068"/>
      <c r="CA17" s="2068"/>
      <c r="CB17" s="2068"/>
      <c r="CC17" s="2068"/>
      <c r="CD17" s="2119"/>
      <c r="CE17" s="835"/>
      <c r="CF17" s="2116"/>
      <c r="CG17" s="2069"/>
      <c r="CH17" s="2069"/>
      <c r="CI17" s="2069"/>
      <c r="CJ17" s="2115"/>
      <c r="CK17" s="2115"/>
      <c r="CL17" s="2069"/>
      <c r="CM17" s="2068"/>
      <c r="CN17" s="2068"/>
      <c r="CO17" s="2068"/>
      <c r="CP17" s="2068"/>
      <c r="CQ17" s="2119"/>
    </row>
    <row r="18" spans="2:97" ht="18" customHeight="1">
      <c r="B18" s="3417" t="s">
        <v>561</v>
      </c>
      <c r="C18" s="16" t="s">
        <v>50</v>
      </c>
      <c r="D18" s="77" t="s">
        <v>136</v>
      </c>
      <c r="E18" s="390">
        <f>AVERAGE(F18:Q18)</f>
        <v>5</v>
      </c>
      <c r="F18" s="501">
        <v>5</v>
      </c>
      <c r="G18" s="502">
        <f>F18</f>
        <v>5</v>
      </c>
      <c r="H18" s="502">
        <f>G18</f>
        <v>5</v>
      </c>
      <c r="I18" s="502">
        <f>H18</f>
        <v>5</v>
      </c>
      <c r="J18" s="502">
        <f>I18</f>
        <v>5</v>
      </c>
      <c r="K18" s="502">
        <f>J18</f>
        <v>5</v>
      </c>
      <c r="L18" s="502">
        <v>5</v>
      </c>
      <c r="M18" s="502">
        <v>5</v>
      </c>
      <c r="N18" s="502">
        <f t="shared" ref="N18:Q19" si="46">M18</f>
        <v>5</v>
      </c>
      <c r="O18" s="502">
        <f t="shared" si="46"/>
        <v>5</v>
      </c>
      <c r="P18" s="502">
        <f t="shared" si="46"/>
        <v>5</v>
      </c>
      <c r="Q18" s="502">
        <f t="shared" si="46"/>
        <v>5</v>
      </c>
      <c r="R18" s="390">
        <f>AVERAGE(S18:AD18)</f>
        <v>5</v>
      </c>
      <c r="S18" s="501">
        <v>5</v>
      </c>
      <c r="T18" s="502">
        <f t="shared" ref="T18:AD18" si="47">S18</f>
        <v>5</v>
      </c>
      <c r="U18" s="502">
        <f t="shared" si="47"/>
        <v>5</v>
      </c>
      <c r="V18" s="502">
        <f t="shared" si="47"/>
        <v>5</v>
      </c>
      <c r="W18" s="502">
        <f t="shared" si="47"/>
        <v>5</v>
      </c>
      <c r="X18" s="502">
        <f t="shared" si="47"/>
        <v>5</v>
      </c>
      <c r="Y18" s="502">
        <f t="shared" si="47"/>
        <v>5</v>
      </c>
      <c r="Z18" s="502">
        <f t="shared" si="47"/>
        <v>5</v>
      </c>
      <c r="AA18" s="502">
        <f t="shared" si="47"/>
        <v>5</v>
      </c>
      <c r="AB18" s="502">
        <f t="shared" si="47"/>
        <v>5</v>
      </c>
      <c r="AC18" s="502">
        <f t="shared" si="47"/>
        <v>5</v>
      </c>
      <c r="AD18" s="503">
        <f t="shared" si="47"/>
        <v>5</v>
      </c>
      <c r="AE18" s="846">
        <f>AVERAGE(AF18:AQ18)</f>
        <v>5</v>
      </c>
      <c r="AF18" s="501">
        <v>5</v>
      </c>
      <c r="AG18" s="502">
        <f t="shared" ref="AG18:AQ18" si="48">AF18</f>
        <v>5</v>
      </c>
      <c r="AH18" s="502">
        <f t="shared" si="48"/>
        <v>5</v>
      </c>
      <c r="AI18" s="502">
        <f t="shared" si="48"/>
        <v>5</v>
      </c>
      <c r="AJ18" s="502">
        <f t="shared" si="48"/>
        <v>5</v>
      </c>
      <c r="AK18" s="502">
        <f t="shared" si="48"/>
        <v>5</v>
      </c>
      <c r="AL18" s="502">
        <f t="shared" si="48"/>
        <v>5</v>
      </c>
      <c r="AM18" s="502">
        <f t="shared" si="48"/>
        <v>5</v>
      </c>
      <c r="AN18" s="502">
        <f t="shared" si="48"/>
        <v>5</v>
      </c>
      <c r="AO18" s="502">
        <f t="shared" si="48"/>
        <v>5</v>
      </c>
      <c r="AP18" s="502">
        <f t="shared" si="48"/>
        <v>5</v>
      </c>
      <c r="AQ18" s="503">
        <f t="shared" si="48"/>
        <v>5</v>
      </c>
      <c r="AR18" s="846">
        <f>AVERAGE(AS18:BD18)</f>
        <v>5</v>
      </c>
      <c r="AS18" s="501">
        <v>5</v>
      </c>
      <c r="AT18" s="502">
        <v>5</v>
      </c>
      <c r="AU18" s="502">
        <v>5</v>
      </c>
      <c r="AV18" s="502">
        <v>5</v>
      </c>
      <c r="AW18" s="502">
        <v>5</v>
      </c>
      <c r="AX18" s="502">
        <v>5</v>
      </c>
      <c r="AY18" s="502">
        <v>5</v>
      </c>
      <c r="AZ18" s="502">
        <v>5</v>
      </c>
      <c r="BA18" s="502">
        <v>5</v>
      </c>
      <c r="BB18" s="502">
        <v>5</v>
      </c>
      <c r="BC18" s="502">
        <v>5</v>
      </c>
      <c r="BD18" s="1601">
        <v>5</v>
      </c>
      <c r="BE18" s="833">
        <f>AVERAGE(BF18:BQ18)</f>
        <v>5</v>
      </c>
      <c r="BF18" s="3053">
        <v>5</v>
      </c>
      <c r="BG18" s="3054">
        <v>5</v>
      </c>
      <c r="BH18" s="3054">
        <v>5</v>
      </c>
      <c r="BI18" s="3054">
        <v>5</v>
      </c>
      <c r="BJ18" s="3054">
        <v>5</v>
      </c>
      <c r="BK18" s="3054">
        <v>5</v>
      </c>
      <c r="BL18" s="3054">
        <v>5</v>
      </c>
      <c r="BM18" s="3054">
        <v>5</v>
      </c>
      <c r="BN18" s="3054">
        <v>5</v>
      </c>
      <c r="BO18" s="3054">
        <v>5</v>
      </c>
      <c r="BP18" s="3054">
        <v>5</v>
      </c>
      <c r="BQ18" s="3049">
        <v>5</v>
      </c>
      <c r="BR18" s="833">
        <f>AVERAGE(BS18:CD18)</f>
        <v>5</v>
      </c>
      <c r="BS18" s="3053">
        <v>5</v>
      </c>
      <c r="BT18" s="3054">
        <v>5</v>
      </c>
      <c r="BU18" s="3054">
        <v>5</v>
      </c>
      <c r="BV18" s="3054">
        <v>5</v>
      </c>
      <c r="BW18" s="3054">
        <v>5</v>
      </c>
      <c r="BX18" s="3054">
        <v>5</v>
      </c>
      <c r="BY18" s="3054">
        <v>5</v>
      </c>
      <c r="BZ18" s="3054">
        <v>5</v>
      </c>
      <c r="CA18" s="3054">
        <v>5</v>
      </c>
      <c r="CB18" s="3054">
        <v>5</v>
      </c>
      <c r="CC18" s="3054">
        <v>5</v>
      </c>
      <c r="CD18" s="3051">
        <v>5</v>
      </c>
      <c r="CE18" s="833">
        <f>AVERAGE(CF18:CQ18)</f>
        <v>5</v>
      </c>
      <c r="CF18" s="2064">
        <v>5</v>
      </c>
      <c r="CG18" s="389">
        <v>5</v>
      </c>
      <c r="CH18" s="389">
        <v>5</v>
      </c>
      <c r="CI18" s="389">
        <v>5</v>
      </c>
      <c r="CJ18" s="389">
        <v>5</v>
      </c>
      <c r="CK18" s="389">
        <v>5</v>
      </c>
      <c r="CL18" s="389">
        <v>5</v>
      </c>
      <c r="CM18" s="389">
        <v>5</v>
      </c>
      <c r="CN18" s="389">
        <v>5</v>
      </c>
      <c r="CO18" s="389">
        <v>5</v>
      </c>
      <c r="CP18" s="389">
        <v>5</v>
      </c>
      <c r="CQ18" s="499">
        <v>5</v>
      </c>
    </row>
    <row r="19" spans="2:97" ht="17" customHeight="1">
      <c r="B19" s="3418"/>
      <c r="C19" s="75" t="s">
        <v>283</v>
      </c>
      <c r="D19" s="70" t="s">
        <v>136</v>
      </c>
      <c r="E19" s="288">
        <f>AVERAGE(F19:Q19)</f>
        <v>5</v>
      </c>
      <c r="F19" s="504">
        <v>5</v>
      </c>
      <c r="G19" s="505">
        <v>5</v>
      </c>
      <c r="H19" s="505">
        <v>5</v>
      </c>
      <c r="I19" s="505">
        <v>5</v>
      </c>
      <c r="J19" s="505">
        <v>5</v>
      </c>
      <c r="K19" s="505">
        <v>5</v>
      </c>
      <c r="L19" s="505">
        <v>5</v>
      </c>
      <c r="M19" s="505">
        <v>5</v>
      </c>
      <c r="N19" s="505">
        <f t="shared" si="46"/>
        <v>5</v>
      </c>
      <c r="O19" s="505">
        <f t="shared" si="46"/>
        <v>5</v>
      </c>
      <c r="P19" s="505">
        <f t="shared" si="46"/>
        <v>5</v>
      </c>
      <c r="Q19" s="505">
        <f t="shared" si="46"/>
        <v>5</v>
      </c>
      <c r="R19" s="288">
        <f>AVERAGE(S19:AD19)</f>
        <v>5</v>
      </c>
      <c r="S19" s="504">
        <v>5</v>
      </c>
      <c r="T19" s="505">
        <v>5</v>
      </c>
      <c r="U19" s="505">
        <v>5</v>
      </c>
      <c r="V19" s="505">
        <v>5</v>
      </c>
      <c r="W19" s="505">
        <v>5</v>
      </c>
      <c r="X19" s="505">
        <v>5</v>
      </c>
      <c r="Y19" s="505">
        <v>5</v>
      </c>
      <c r="Z19" s="505">
        <v>5</v>
      </c>
      <c r="AA19" s="505">
        <v>5</v>
      </c>
      <c r="AB19" s="505">
        <v>5</v>
      </c>
      <c r="AC19" s="505">
        <v>5</v>
      </c>
      <c r="AD19" s="506">
        <v>5</v>
      </c>
      <c r="AE19" s="845">
        <f>AVERAGE(AF19:AQ19)</f>
        <v>5</v>
      </c>
      <c r="AF19" s="504">
        <v>5</v>
      </c>
      <c r="AG19" s="505">
        <v>5</v>
      </c>
      <c r="AH19" s="505">
        <v>5</v>
      </c>
      <c r="AI19" s="505">
        <v>5</v>
      </c>
      <c r="AJ19" s="505">
        <v>5</v>
      </c>
      <c r="AK19" s="505">
        <v>5</v>
      </c>
      <c r="AL19" s="505">
        <v>5</v>
      </c>
      <c r="AM19" s="505">
        <v>5</v>
      </c>
      <c r="AN19" s="505">
        <v>5</v>
      </c>
      <c r="AO19" s="505">
        <v>5</v>
      </c>
      <c r="AP19" s="505">
        <v>5</v>
      </c>
      <c r="AQ19" s="506">
        <v>5</v>
      </c>
      <c r="AR19" s="845">
        <f>AVERAGE(AS19:BD19)</f>
        <v>5</v>
      </c>
      <c r="AS19" s="504">
        <v>5</v>
      </c>
      <c r="AT19" s="505">
        <v>5</v>
      </c>
      <c r="AU19" s="505">
        <v>5</v>
      </c>
      <c r="AV19" s="505">
        <v>5</v>
      </c>
      <c r="AW19" s="505">
        <v>5</v>
      </c>
      <c r="AX19" s="505">
        <v>5</v>
      </c>
      <c r="AY19" s="505">
        <v>5</v>
      </c>
      <c r="AZ19" s="505">
        <v>5</v>
      </c>
      <c r="BA19" s="505">
        <v>5</v>
      </c>
      <c r="BB19" s="505">
        <v>5</v>
      </c>
      <c r="BC19" s="505">
        <v>5</v>
      </c>
      <c r="BD19" s="1602">
        <v>5</v>
      </c>
      <c r="BE19" s="832">
        <f>AVERAGE(BF19:BQ19)</f>
        <v>5</v>
      </c>
      <c r="BF19" s="3055">
        <v>5</v>
      </c>
      <c r="BG19" s="3056">
        <v>5</v>
      </c>
      <c r="BH19" s="3056">
        <v>5</v>
      </c>
      <c r="BI19" s="3056">
        <v>5</v>
      </c>
      <c r="BJ19" s="3056">
        <v>5</v>
      </c>
      <c r="BK19" s="3056">
        <v>5</v>
      </c>
      <c r="BL19" s="3056">
        <v>5</v>
      </c>
      <c r="BM19" s="3056">
        <v>5</v>
      </c>
      <c r="BN19" s="3056">
        <v>5</v>
      </c>
      <c r="BO19" s="3056">
        <v>5</v>
      </c>
      <c r="BP19" s="3056">
        <v>5</v>
      </c>
      <c r="BQ19" s="3050">
        <v>5</v>
      </c>
      <c r="BR19" s="832">
        <f>AVERAGE(BS19:CD19)</f>
        <v>5</v>
      </c>
      <c r="BS19" s="3055">
        <v>5</v>
      </c>
      <c r="BT19" s="3056">
        <v>5</v>
      </c>
      <c r="BU19" s="3056">
        <v>5</v>
      </c>
      <c r="BV19" s="3056">
        <v>5</v>
      </c>
      <c r="BW19" s="3056">
        <v>5</v>
      </c>
      <c r="BX19" s="3056">
        <v>5</v>
      </c>
      <c r="BY19" s="3056">
        <v>5</v>
      </c>
      <c r="BZ19" s="3056">
        <v>5</v>
      </c>
      <c r="CA19" s="3056">
        <v>5</v>
      </c>
      <c r="CB19" s="3056">
        <v>5</v>
      </c>
      <c r="CC19" s="3056">
        <v>5</v>
      </c>
      <c r="CD19" s="3052">
        <v>5</v>
      </c>
      <c r="CE19" s="832">
        <f>AVERAGE(CF19:CQ19)</f>
        <v>5</v>
      </c>
      <c r="CF19" s="2063">
        <v>5</v>
      </c>
      <c r="CG19" s="289">
        <v>5</v>
      </c>
      <c r="CH19" s="289">
        <v>5</v>
      </c>
      <c r="CI19" s="289">
        <v>5</v>
      </c>
      <c r="CJ19" s="289">
        <v>5</v>
      </c>
      <c r="CK19" s="289">
        <v>5</v>
      </c>
      <c r="CL19" s="289">
        <v>5</v>
      </c>
      <c r="CM19" s="289">
        <v>5</v>
      </c>
      <c r="CN19" s="289">
        <v>5</v>
      </c>
      <c r="CO19" s="289">
        <v>5</v>
      </c>
      <c r="CP19" s="289">
        <v>5</v>
      </c>
      <c r="CQ19" s="388">
        <v>5</v>
      </c>
    </row>
    <row r="20" spans="2:97" ht="17" customHeight="1">
      <c r="B20" s="3418"/>
      <c r="C20" s="76" t="s">
        <v>284</v>
      </c>
      <c r="D20" s="70" t="s">
        <v>137</v>
      </c>
      <c r="E20" s="288">
        <f>AVERAGE(F20:Q20)</f>
        <v>0</v>
      </c>
      <c r="F20" s="504">
        <v>0</v>
      </c>
      <c r="G20" s="505">
        <f>F20</f>
        <v>0</v>
      </c>
      <c r="H20" s="505">
        <f>G20</f>
        <v>0</v>
      </c>
      <c r="I20" s="505">
        <f>H20</f>
        <v>0</v>
      </c>
      <c r="J20" s="505">
        <f>I20</f>
        <v>0</v>
      </c>
      <c r="K20" s="505">
        <f>J20</f>
        <v>0</v>
      </c>
      <c r="L20" s="505">
        <v>0</v>
      </c>
      <c r="M20" s="505">
        <v>0</v>
      </c>
      <c r="N20" s="505"/>
      <c r="O20" s="505"/>
      <c r="P20" s="505"/>
      <c r="Q20" s="506"/>
      <c r="R20" s="288">
        <f>AVERAGE(S20:AD20)</f>
        <v>0</v>
      </c>
      <c r="S20" s="504">
        <v>0</v>
      </c>
      <c r="T20" s="505">
        <f t="shared" ref="T20:AD20" si="49">S20</f>
        <v>0</v>
      </c>
      <c r="U20" s="505">
        <f t="shared" si="49"/>
        <v>0</v>
      </c>
      <c r="V20" s="505">
        <f t="shared" si="49"/>
        <v>0</v>
      </c>
      <c r="W20" s="505">
        <f t="shared" si="49"/>
        <v>0</v>
      </c>
      <c r="X20" s="505">
        <f t="shared" si="49"/>
        <v>0</v>
      </c>
      <c r="Y20" s="505">
        <f t="shared" si="49"/>
        <v>0</v>
      </c>
      <c r="Z20" s="505">
        <f t="shared" si="49"/>
        <v>0</v>
      </c>
      <c r="AA20" s="505">
        <f t="shared" si="49"/>
        <v>0</v>
      </c>
      <c r="AB20" s="505">
        <f t="shared" si="49"/>
        <v>0</v>
      </c>
      <c r="AC20" s="505">
        <f t="shared" si="49"/>
        <v>0</v>
      </c>
      <c r="AD20" s="506">
        <f t="shared" si="49"/>
        <v>0</v>
      </c>
      <c r="AE20" s="845">
        <f>AVERAGE(AF20:AQ20)</f>
        <v>0</v>
      </c>
      <c r="AF20" s="504">
        <v>0</v>
      </c>
      <c r="AG20" s="505">
        <f t="shared" ref="AG20:AQ20" si="50">AF20</f>
        <v>0</v>
      </c>
      <c r="AH20" s="505">
        <f t="shared" si="50"/>
        <v>0</v>
      </c>
      <c r="AI20" s="505">
        <f t="shared" si="50"/>
        <v>0</v>
      </c>
      <c r="AJ20" s="505">
        <f t="shared" si="50"/>
        <v>0</v>
      </c>
      <c r="AK20" s="505">
        <f t="shared" si="50"/>
        <v>0</v>
      </c>
      <c r="AL20" s="505">
        <f t="shared" si="50"/>
        <v>0</v>
      </c>
      <c r="AM20" s="505">
        <f t="shared" si="50"/>
        <v>0</v>
      </c>
      <c r="AN20" s="505">
        <f t="shared" si="50"/>
        <v>0</v>
      </c>
      <c r="AO20" s="505">
        <f t="shared" si="50"/>
        <v>0</v>
      </c>
      <c r="AP20" s="505">
        <f t="shared" si="50"/>
        <v>0</v>
      </c>
      <c r="AQ20" s="506">
        <f t="shared" si="50"/>
        <v>0</v>
      </c>
      <c r="AR20" s="845">
        <f>AVERAGE(AS20:BD20)</f>
        <v>0</v>
      </c>
      <c r="AS20" s="504">
        <v>0</v>
      </c>
      <c r="AT20" s="505">
        <v>0</v>
      </c>
      <c r="AU20" s="505">
        <v>0</v>
      </c>
      <c r="AV20" s="505">
        <v>0</v>
      </c>
      <c r="AW20" s="505">
        <v>0</v>
      </c>
      <c r="AX20" s="505">
        <v>0</v>
      </c>
      <c r="AY20" s="505">
        <v>0</v>
      </c>
      <c r="AZ20" s="505">
        <v>0</v>
      </c>
      <c r="BA20" s="505">
        <v>0</v>
      </c>
      <c r="BB20" s="505">
        <v>0</v>
      </c>
      <c r="BC20" s="505">
        <v>0</v>
      </c>
      <c r="BD20" s="1602">
        <v>0</v>
      </c>
      <c r="BE20" s="832">
        <f>AVERAGE(BF20:BQ20)</f>
        <v>0</v>
      </c>
      <c r="BF20" s="3055">
        <v>0</v>
      </c>
      <c r="BG20" s="3056">
        <v>0</v>
      </c>
      <c r="BH20" s="3056">
        <v>0</v>
      </c>
      <c r="BI20" s="3056">
        <v>0</v>
      </c>
      <c r="BJ20" s="3056">
        <v>0</v>
      </c>
      <c r="BK20" s="3056">
        <v>0</v>
      </c>
      <c r="BL20" s="3056">
        <v>0</v>
      </c>
      <c r="BM20" s="3056">
        <v>0</v>
      </c>
      <c r="BN20" s="3056">
        <v>0</v>
      </c>
      <c r="BO20" s="3056">
        <v>0</v>
      </c>
      <c r="BP20" s="3056">
        <v>0</v>
      </c>
      <c r="BQ20" s="3050">
        <v>0</v>
      </c>
      <c r="BR20" s="832">
        <f>AVERAGE(BS20:CD20)</f>
        <v>0</v>
      </c>
      <c r="BS20" s="3055">
        <v>0</v>
      </c>
      <c r="BT20" s="3056">
        <v>0</v>
      </c>
      <c r="BU20" s="3056">
        <v>0</v>
      </c>
      <c r="BV20" s="3056">
        <v>0</v>
      </c>
      <c r="BW20" s="3056">
        <v>0</v>
      </c>
      <c r="BX20" s="3056">
        <v>0</v>
      </c>
      <c r="BY20" s="3056">
        <v>0</v>
      </c>
      <c r="BZ20" s="3056">
        <v>0</v>
      </c>
      <c r="CA20" s="3056">
        <v>0</v>
      </c>
      <c r="CB20" s="3056">
        <v>0</v>
      </c>
      <c r="CC20" s="3056">
        <v>0</v>
      </c>
      <c r="CD20" s="3052">
        <v>0</v>
      </c>
      <c r="CE20" s="832">
        <f>AVERAGE(CF20:CQ20)</f>
        <v>0</v>
      </c>
      <c r="CF20" s="2063">
        <v>0</v>
      </c>
      <c r="CG20" s="289">
        <v>0</v>
      </c>
      <c r="CH20" s="289">
        <v>0</v>
      </c>
      <c r="CI20" s="289">
        <v>0</v>
      </c>
      <c r="CJ20" s="289">
        <v>0</v>
      </c>
      <c r="CK20" s="289">
        <v>0</v>
      </c>
      <c r="CL20" s="289">
        <v>0</v>
      </c>
      <c r="CM20" s="289">
        <v>0</v>
      </c>
      <c r="CN20" s="289">
        <v>0</v>
      </c>
      <c r="CO20" s="289">
        <v>0</v>
      </c>
      <c r="CP20" s="289">
        <v>0</v>
      </c>
      <c r="CQ20" s="388">
        <v>0</v>
      </c>
    </row>
    <row r="21" spans="2:97" s="489" customFormat="1">
      <c r="B21" s="3419"/>
      <c r="C21" s="714" t="s">
        <v>345</v>
      </c>
      <c r="D21" s="715"/>
      <c r="E21" s="716">
        <f>AVERAGE(F21:Q21)</f>
        <v>339.21045866666668</v>
      </c>
      <c r="F21" s="717">
        <f t="shared" ref="F21:G21" si="51">F26-(F7*F18+F8*F19)</f>
        <v>469.07275000000004</v>
      </c>
      <c r="G21" s="717">
        <f t="shared" si="51"/>
        <v>355.38111400000003</v>
      </c>
      <c r="H21" s="717">
        <f>H26-(H7*H18+H8*H19)</f>
        <v>386.25994200000002</v>
      </c>
      <c r="I21" s="717">
        <f>I26-(I7*I18+I8*I19)</f>
        <v>323.06651199999999</v>
      </c>
      <c r="J21" s="717">
        <f>J26-(J7*J18+J8*J19)</f>
        <v>324.67395599999998</v>
      </c>
      <c r="K21" s="717">
        <f>K26-(K7*K18+K8*K19)</f>
        <v>321.46033399999999</v>
      </c>
      <c r="L21" s="718">
        <v>312.73290100000003</v>
      </c>
      <c r="M21" s="718">
        <v>304.30969499999998</v>
      </c>
      <c r="N21" s="718">
        <v>317.68477000000001</v>
      </c>
      <c r="O21" s="718">
        <v>314.30701599999998</v>
      </c>
      <c r="P21" s="717">
        <f>P26-(P7*P18+P8*P19)</f>
        <v>320.78825699999999</v>
      </c>
      <c r="Q21" s="2185">
        <f>P21</f>
        <v>320.78825699999999</v>
      </c>
      <c r="R21" s="716">
        <f>AVERAGE(S21:AD21)</f>
        <v>300.52324591666667</v>
      </c>
      <c r="S21" s="717">
        <f t="shared" ref="S21:AD21" si="52">S26-((S7+S8)*S18)</f>
        <v>322.94233000000003</v>
      </c>
      <c r="T21" s="717">
        <f t="shared" si="52"/>
        <v>297.58420599999999</v>
      </c>
      <c r="U21" s="717">
        <f t="shared" si="52"/>
        <v>309.22910200000001</v>
      </c>
      <c r="V21" s="717">
        <f t="shared" si="52"/>
        <v>316.32874799999996</v>
      </c>
      <c r="W21" s="717">
        <f t="shared" si="52"/>
        <v>312.69655699999998</v>
      </c>
      <c r="X21" s="717">
        <f t="shared" si="52"/>
        <v>314.75817999999998</v>
      </c>
      <c r="Y21" s="717">
        <f t="shared" si="52"/>
        <v>309.404403</v>
      </c>
      <c r="Z21" s="717">
        <f t="shared" si="52"/>
        <v>306.84083300000003</v>
      </c>
      <c r="AA21" s="717">
        <f t="shared" si="52"/>
        <v>302.63423599999999</v>
      </c>
      <c r="AB21" s="717">
        <f t="shared" si="52"/>
        <v>304.25431899999995</v>
      </c>
      <c r="AC21" s="717">
        <f t="shared" si="52"/>
        <v>305.879954</v>
      </c>
      <c r="AD21" s="717">
        <f t="shared" si="52"/>
        <v>203.72608300000002</v>
      </c>
      <c r="AE21" s="847">
        <f>AVERAGE(AF21:AQ21)</f>
        <v>296.19111725000005</v>
      </c>
      <c r="AF21" s="717">
        <f t="shared" ref="AF21:AQ21" si="53">AF26-((AF7+AF8)*AF18)</f>
        <v>314.641548</v>
      </c>
      <c r="AG21" s="717">
        <f t="shared" si="53"/>
        <v>292.63955499999997</v>
      </c>
      <c r="AH21" s="717">
        <f t="shared" si="53"/>
        <v>314.41446200000001</v>
      </c>
      <c r="AI21" s="717">
        <f t="shared" si="53"/>
        <v>319.55758100000003</v>
      </c>
      <c r="AJ21" s="717">
        <f t="shared" si="53"/>
        <v>302.477935</v>
      </c>
      <c r="AK21" s="717">
        <f t="shared" si="53"/>
        <v>287.10325799999998</v>
      </c>
      <c r="AL21" s="717">
        <f t="shared" si="53"/>
        <v>293.05108100000001</v>
      </c>
      <c r="AM21" s="717">
        <f t="shared" si="53"/>
        <v>295.69596100000001</v>
      </c>
      <c r="AN21" s="717">
        <f t="shared" si="53"/>
        <v>294.11746599999998</v>
      </c>
      <c r="AO21" s="717">
        <f t="shared" si="53"/>
        <v>348.73088300000001</v>
      </c>
      <c r="AP21" s="717">
        <f t="shared" si="53"/>
        <v>292.05671899999999</v>
      </c>
      <c r="AQ21" s="717">
        <f t="shared" si="53"/>
        <v>199.80695800000001</v>
      </c>
      <c r="AR21" s="847">
        <f>AVERAGE(AS21:BD21)</f>
        <v>267.85384683333331</v>
      </c>
      <c r="AS21" s="717">
        <f t="shared" ref="AS21:BD21" si="54">AS26-((AS7+AS8)*AS18)</f>
        <v>291.52257800000001</v>
      </c>
      <c r="AT21" s="717">
        <f t="shared" si="54"/>
        <v>271.96664299999998</v>
      </c>
      <c r="AU21" s="717">
        <f t="shared" si="54"/>
        <v>272.05903899999998</v>
      </c>
      <c r="AV21" s="717">
        <f t="shared" si="54"/>
        <v>268.59307200000001</v>
      </c>
      <c r="AW21" s="717">
        <f t="shared" si="54"/>
        <v>273.37973399999998</v>
      </c>
      <c r="AX21" s="717">
        <f t="shared" si="54"/>
        <v>272.081525</v>
      </c>
      <c r="AY21" s="717">
        <f t="shared" si="54"/>
        <v>260.26905799999997</v>
      </c>
      <c r="AZ21" s="717">
        <f t="shared" si="54"/>
        <v>276.26322900000002</v>
      </c>
      <c r="BA21" s="717">
        <f t="shared" si="54"/>
        <v>295.496376</v>
      </c>
      <c r="BB21" s="717">
        <f t="shared" si="54"/>
        <v>265.53079700000001</v>
      </c>
      <c r="BC21" s="717">
        <f t="shared" si="54"/>
        <v>292.633419</v>
      </c>
      <c r="BD21" s="1598">
        <f t="shared" si="54"/>
        <v>174.450692</v>
      </c>
      <c r="BE21" s="836">
        <f>AVERAGE(BF21:BQ21)</f>
        <v>282.33153133333337</v>
      </c>
      <c r="BF21" s="2103">
        <f t="shared" ref="BF21:BQ21" si="55">BF26-((BF7+BF8)*BF18)</f>
        <v>282.16733199999999</v>
      </c>
      <c r="BG21" s="2104">
        <f t="shared" si="55"/>
        <v>281.01703500000002</v>
      </c>
      <c r="BH21" s="2104">
        <f t="shared" si="55"/>
        <v>280.91721000000001</v>
      </c>
      <c r="BI21" s="2104">
        <f t="shared" si="55"/>
        <v>287.47853500000002</v>
      </c>
      <c r="BJ21" s="2104">
        <f t="shared" si="55"/>
        <v>286.37481200000002</v>
      </c>
      <c r="BK21" s="2104">
        <f t="shared" si="55"/>
        <v>295.20608900000002</v>
      </c>
      <c r="BL21" s="2104">
        <f t="shared" si="55"/>
        <v>280.78802200000001</v>
      </c>
      <c r="BM21" s="2104">
        <f t="shared" si="55"/>
        <v>303.184482</v>
      </c>
      <c r="BN21" s="2104">
        <f t="shared" si="55"/>
        <v>289.45446800000002</v>
      </c>
      <c r="BO21" s="2104">
        <f t="shared" si="55"/>
        <v>268.66360600000002</v>
      </c>
      <c r="BP21" s="2104">
        <f t="shared" si="55"/>
        <v>256.60251799999998</v>
      </c>
      <c r="BQ21" s="2105">
        <f t="shared" si="55"/>
        <v>276.12426699999997</v>
      </c>
      <c r="BR21" s="836">
        <f>AVERAGE(BS21:CD21)</f>
        <v>326.18633225000002</v>
      </c>
      <c r="BS21" s="2103">
        <f t="shared" ref="BS21:CD21" si="56">BS26-((BS7+BS8)*BS18)</f>
        <v>296.66360200000003</v>
      </c>
      <c r="BT21" s="2104">
        <f t="shared" si="56"/>
        <v>280.734285</v>
      </c>
      <c r="BU21" s="2104">
        <f t="shared" si="56"/>
        <v>282.04922199999999</v>
      </c>
      <c r="BV21" s="2104">
        <f t="shared" si="56"/>
        <v>312.88042999999999</v>
      </c>
      <c r="BW21" s="2104">
        <f t="shared" si="56"/>
        <v>314.68278500000002</v>
      </c>
      <c r="BX21" s="2104">
        <f t="shared" si="56"/>
        <v>306.74726099999998</v>
      </c>
      <c r="BY21" s="2104">
        <f t="shared" si="56"/>
        <v>319.04413599999998</v>
      </c>
      <c r="BZ21" s="2104">
        <f t="shared" si="56"/>
        <v>326.04883799999999</v>
      </c>
      <c r="CA21" s="2104">
        <f t="shared" si="56"/>
        <v>375.30161800000002</v>
      </c>
      <c r="CB21" s="2104">
        <f t="shared" si="56"/>
        <v>341.57677100000001</v>
      </c>
      <c r="CC21" s="2104">
        <f t="shared" si="56"/>
        <v>426.66952199999997</v>
      </c>
      <c r="CD21" s="3013">
        <f t="shared" si="56"/>
        <v>331.83751699999999</v>
      </c>
      <c r="CE21" s="836">
        <f>AVERAGE(CF21:CQ21)</f>
        <v>331.83751699999999</v>
      </c>
      <c r="CF21" s="2072">
        <f t="shared" ref="CF21:CQ21" si="57">CF26-((CF7+CF8)*CF18)</f>
        <v>331.83751699999999</v>
      </c>
      <c r="CG21" s="2073">
        <f t="shared" si="57"/>
        <v>331.83751699999999</v>
      </c>
      <c r="CH21" s="2073">
        <f t="shared" si="57"/>
        <v>331.83751699999999</v>
      </c>
      <c r="CI21" s="2073">
        <f t="shared" si="57"/>
        <v>331.83751699999999</v>
      </c>
      <c r="CJ21" s="2073">
        <f t="shared" si="57"/>
        <v>331.83751699999999</v>
      </c>
      <c r="CK21" s="2073">
        <f t="shared" si="57"/>
        <v>331.83751699999999</v>
      </c>
      <c r="CL21" s="2073">
        <f t="shared" si="57"/>
        <v>331.83751699999999</v>
      </c>
      <c r="CM21" s="2073">
        <f t="shared" si="57"/>
        <v>331.83751699999999</v>
      </c>
      <c r="CN21" s="2073">
        <f t="shared" si="57"/>
        <v>331.83751699999999</v>
      </c>
      <c r="CO21" s="2073">
        <f t="shared" si="57"/>
        <v>331.83751699999999</v>
      </c>
      <c r="CP21" s="2073">
        <f t="shared" si="57"/>
        <v>331.83751699999999</v>
      </c>
      <c r="CQ21" s="2120">
        <f t="shared" si="57"/>
        <v>331.83751699999999</v>
      </c>
    </row>
    <row r="22" spans="2:97">
      <c r="B22" s="3330" t="s">
        <v>233</v>
      </c>
      <c r="C22" s="3331"/>
      <c r="D22" s="3019" t="s">
        <v>44</v>
      </c>
      <c r="E22" s="390">
        <f>SUM(F22:Q22)</f>
        <v>1694.825444205228</v>
      </c>
      <c r="F22" s="391">
        <v>139.88864495115865</v>
      </c>
      <c r="G22" s="598">
        <v>150.64066012016207</v>
      </c>
      <c r="H22" s="598">
        <v>150.91542932893046</v>
      </c>
      <c r="I22" s="612">
        <v>136.85665613417163</v>
      </c>
      <c r="J22" s="612">
        <v>127.87912700301804</v>
      </c>
      <c r="K22" s="612">
        <v>142.36397211968409</v>
      </c>
      <c r="L22" s="612">
        <v>143.69244015139944</v>
      </c>
      <c r="M22" s="612">
        <v>147.41118656128336</v>
      </c>
      <c r="N22" s="391">
        <v>148.99113506825012</v>
      </c>
      <c r="O22" s="391">
        <v>136.6315608603546</v>
      </c>
      <c r="P22" s="612">
        <v>124.83016563639731</v>
      </c>
      <c r="Q22" s="2186">
        <f t="shared" ref="Q22" si="58">Q6*Q24/1000000</f>
        <v>144.72446627041822</v>
      </c>
      <c r="R22" s="390">
        <f>SUM(S22:AD22)</f>
        <v>1544.4867629356006</v>
      </c>
      <c r="S22" s="2186">
        <v>147.93627531789153</v>
      </c>
      <c r="T22" s="2186">
        <v>152.69110271830016</v>
      </c>
      <c r="U22" s="2186">
        <v>132.6543866809867</v>
      </c>
      <c r="V22" s="2186">
        <v>112.27957001740315</v>
      </c>
      <c r="W22" s="2186">
        <v>112.87737524226411</v>
      </c>
      <c r="X22" s="2186">
        <v>118.33744630598999</v>
      </c>
      <c r="Y22" s="2186">
        <v>123.48856411616995</v>
      </c>
      <c r="Z22" s="2186">
        <v>130.8774221703928</v>
      </c>
      <c r="AA22" s="2186">
        <v>139.0964105221918</v>
      </c>
      <c r="AB22" s="2186">
        <v>122.8169434188701</v>
      </c>
      <c r="AC22" s="2186">
        <v>113.71126716943769</v>
      </c>
      <c r="AD22" s="2186">
        <v>137.71999925570304</v>
      </c>
      <c r="AE22" s="846">
        <f>SUM(AF22:AQ22)</f>
        <v>1789.1121607654463</v>
      </c>
      <c r="AF22" s="391">
        <v>150.9232821512332</v>
      </c>
      <c r="AG22" s="391">
        <v>152.46076861824508</v>
      </c>
      <c r="AH22" s="391">
        <v>147.92663848675215</v>
      </c>
      <c r="AI22" s="391">
        <v>137.1559436467179</v>
      </c>
      <c r="AJ22" s="391">
        <v>195.28423416733179</v>
      </c>
      <c r="AK22" s="391">
        <v>135.75363574534904</v>
      </c>
      <c r="AL22" s="391">
        <v>140.395848</v>
      </c>
      <c r="AM22" s="391">
        <v>147.6546991876192</v>
      </c>
      <c r="AN22" s="391">
        <v>151.19300000000001</v>
      </c>
      <c r="AO22" s="391">
        <v>141.59800000000001</v>
      </c>
      <c r="AP22" s="391">
        <v>137.19999999999999</v>
      </c>
      <c r="AQ22" s="391">
        <v>151.56611076219818</v>
      </c>
      <c r="AR22" s="846">
        <f>SUM(AS22:BD22)</f>
        <v>1828.0154525728153</v>
      </c>
      <c r="AS22" s="391">
        <v>170.17449300000001</v>
      </c>
      <c r="AT22" s="391">
        <v>114.50371348377963</v>
      </c>
      <c r="AU22" s="391">
        <v>163.10102742025578</v>
      </c>
      <c r="AV22" s="391">
        <v>146.95539047659321</v>
      </c>
      <c r="AW22" s="391">
        <v>138.52913694698543</v>
      </c>
      <c r="AX22" s="391">
        <v>144.10827367482005</v>
      </c>
      <c r="AY22" s="391">
        <v>160.54913601613387</v>
      </c>
      <c r="AZ22" s="324">
        <v>170.97319215288147</v>
      </c>
      <c r="BA22" s="324">
        <v>162.22406979273825</v>
      </c>
      <c r="BB22" s="324">
        <v>156.70091977407014</v>
      </c>
      <c r="BC22" s="324">
        <v>139.37044428566315</v>
      </c>
      <c r="BD22" s="1594">
        <v>160.82565554889453</v>
      </c>
      <c r="BE22" s="833">
        <f>SUM(BF22:BQ22)</f>
        <v>2021.6569741172591</v>
      </c>
      <c r="BF22" s="2099">
        <v>165.83808902745901</v>
      </c>
      <c r="BG22" s="471">
        <v>181.80847719494199</v>
      </c>
      <c r="BH22" s="471">
        <v>162.64579765346301</v>
      </c>
      <c r="BI22" s="471">
        <v>152.62207256108701</v>
      </c>
      <c r="BJ22" s="471">
        <v>146.01716328295799</v>
      </c>
      <c r="BK22" s="471">
        <v>157.29396259564302</v>
      </c>
      <c r="BL22" s="471">
        <v>169.177592306283</v>
      </c>
      <c r="BM22" s="471">
        <v>180.96268866528101</v>
      </c>
      <c r="BN22" s="471">
        <v>191.470560132103</v>
      </c>
      <c r="BO22" s="471">
        <v>173.991185820315</v>
      </c>
      <c r="BP22" s="471">
        <v>159.49622317549301</v>
      </c>
      <c r="BQ22" s="2100">
        <v>180.33316170223199</v>
      </c>
      <c r="BR22" s="833">
        <f>SUM(BS22:CD22)</f>
        <v>2003.5949909531048</v>
      </c>
      <c r="BS22" s="2099">
        <v>185.43820120216887</v>
      </c>
      <c r="BT22" s="471">
        <v>181.09990324678111</v>
      </c>
      <c r="BU22" s="471">
        <v>171.943350813574</v>
      </c>
      <c r="BV22" s="471">
        <v>160.66180592162902</v>
      </c>
      <c r="BW22" s="471">
        <v>151.60809874948498</v>
      </c>
      <c r="BX22" s="471">
        <v>146.35008448315901</v>
      </c>
      <c r="BY22" s="471">
        <v>160.17133322072701</v>
      </c>
      <c r="BZ22" s="471">
        <v>182.72681719981699</v>
      </c>
      <c r="CA22" s="471">
        <v>182.72681719981699</v>
      </c>
      <c r="CB22" s="471">
        <v>156.88205883840098</v>
      </c>
      <c r="CC22" s="471">
        <v>159.96879552332601</v>
      </c>
      <c r="CD22" s="706">
        <v>164.01772455422</v>
      </c>
      <c r="CE22" s="833">
        <f>SUM(CF22:CQ22)</f>
        <v>2026.8500620514283</v>
      </c>
      <c r="CF22" s="2064">
        <f t="shared" ref="CF22:CQ22" si="59">(CF24*CF6)/1000000</f>
        <v>164.37459307751482</v>
      </c>
      <c r="CG22" s="389">
        <f t="shared" si="59"/>
        <v>164.37459307751482</v>
      </c>
      <c r="CH22" s="389">
        <f t="shared" si="59"/>
        <v>164.37459307751482</v>
      </c>
      <c r="CI22" s="389">
        <f t="shared" si="59"/>
        <v>165.02947193439738</v>
      </c>
      <c r="CJ22" s="389">
        <f t="shared" si="59"/>
        <v>166.33922964816242</v>
      </c>
      <c r="CK22" s="389">
        <f t="shared" si="59"/>
        <v>167.64898736192748</v>
      </c>
      <c r="CL22" s="389">
        <f t="shared" si="59"/>
        <v>168.95874507569255</v>
      </c>
      <c r="CM22" s="389">
        <f t="shared" si="59"/>
        <v>170.26850278945759</v>
      </c>
      <c r="CN22" s="389">
        <f t="shared" si="59"/>
        <v>171.57826050322265</v>
      </c>
      <c r="CO22" s="389">
        <f t="shared" si="59"/>
        <v>172.88801821698769</v>
      </c>
      <c r="CP22" s="389">
        <f t="shared" si="59"/>
        <v>174.19777593075278</v>
      </c>
      <c r="CQ22" s="499">
        <f t="shared" si="59"/>
        <v>176.81729135828289</v>
      </c>
    </row>
    <row r="23" spans="2:97" s="489" customFormat="1">
      <c r="B23" s="3332"/>
      <c r="C23" s="3333"/>
      <c r="D23" s="719" t="s">
        <v>22</v>
      </c>
      <c r="E23" s="720">
        <f>SUM(F23:Q23)</f>
        <v>1059.595899428793</v>
      </c>
      <c r="F23" s="721">
        <f t="shared" ref="F23:K23" si="60">F27-F22</f>
        <v>87.395063048841337</v>
      </c>
      <c r="G23" s="721">
        <f t="shared" si="60"/>
        <v>85.552358879837925</v>
      </c>
      <c r="H23" s="721">
        <f t="shared" si="60"/>
        <v>86.476178671069533</v>
      </c>
      <c r="I23" s="721">
        <f t="shared" si="60"/>
        <v>87.02709086582837</v>
      </c>
      <c r="J23" s="721">
        <f t="shared" si="60"/>
        <v>74.24680299698197</v>
      </c>
      <c r="K23" s="721">
        <f t="shared" si="60"/>
        <v>83.637657880315913</v>
      </c>
      <c r="L23" s="722">
        <v>94.431140848600563</v>
      </c>
      <c r="M23" s="722">
        <v>96.210929438716647</v>
      </c>
      <c r="N23" s="722">
        <v>93.640150931749872</v>
      </c>
      <c r="O23" s="722">
        <v>88.827635139645395</v>
      </c>
      <c r="P23" s="721">
        <f t="shared" ref="P23" si="61">P27-P22</f>
        <v>91.075445363602682</v>
      </c>
      <c r="Q23" s="2187">
        <f t="shared" ref="Q23" si="62">P23</f>
        <v>91.075445363602682</v>
      </c>
      <c r="R23" s="720">
        <f>SUM(S23:AD23)</f>
        <v>1135.112357064399</v>
      </c>
      <c r="S23" s="2189">
        <f>S27-S22</f>
        <v>96.410640682108465</v>
      </c>
      <c r="T23" s="2189">
        <f t="shared" ref="T23:Y23" si="63">T27-T22</f>
        <v>94.755024281699832</v>
      </c>
      <c r="U23" s="2189">
        <f t="shared" si="63"/>
        <v>94.664123319013299</v>
      </c>
      <c r="V23" s="2189">
        <f t="shared" si="63"/>
        <v>87.10366798259686</v>
      </c>
      <c r="W23" s="2189">
        <f t="shared" si="63"/>
        <v>72.201303757735886</v>
      </c>
      <c r="X23" s="2189">
        <f t="shared" si="63"/>
        <v>88.07585969401002</v>
      </c>
      <c r="Y23" s="2189">
        <f t="shared" si="63"/>
        <v>89.980722883830055</v>
      </c>
      <c r="Z23" s="2189">
        <f t="shared" ref="Z23:AQ23" si="64">Z27-Z22</f>
        <v>89.818913829607197</v>
      </c>
      <c r="AA23" s="2189">
        <f t="shared" si="64"/>
        <v>89.119209477808198</v>
      </c>
      <c r="AB23" s="2189">
        <f t="shared" si="64"/>
        <v>91.937775581129898</v>
      </c>
      <c r="AC23" s="2189">
        <f t="shared" si="64"/>
        <v>90.667058830562297</v>
      </c>
      <c r="AD23" s="2189">
        <f t="shared" si="64"/>
        <v>150.37805674429694</v>
      </c>
      <c r="AE23" s="848">
        <f>SUM(AF23:AQ23)</f>
        <v>922.07563023455339</v>
      </c>
      <c r="AF23" s="721">
        <f t="shared" si="64"/>
        <v>90.644810848766809</v>
      </c>
      <c r="AG23" s="721">
        <f t="shared" si="64"/>
        <v>92.96348438175491</v>
      </c>
      <c r="AH23" s="721">
        <f t="shared" si="64"/>
        <v>90.412583513247824</v>
      </c>
      <c r="AI23" s="721">
        <f t="shared" si="64"/>
        <v>87.261192353282098</v>
      </c>
      <c r="AJ23" s="721">
        <f t="shared" si="64"/>
        <v>25.990198832668199</v>
      </c>
      <c r="AK23" s="721">
        <f t="shared" si="64"/>
        <v>86.534439254650948</v>
      </c>
      <c r="AL23" s="721">
        <f t="shared" si="64"/>
        <v>84.552150000000012</v>
      </c>
      <c r="AM23" s="721">
        <f t="shared" si="64"/>
        <v>86.05361881238079</v>
      </c>
      <c r="AN23" s="721">
        <f t="shared" si="64"/>
        <v>86.900467999999989</v>
      </c>
      <c r="AO23" s="721">
        <f t="shared" si="64"/>
        <v>22.960375999999997</v>
      </c>
      <c r="AP23" s="721">
        <f t="shared" si="64"/>
        <v>83.833301000000006</v>
      </c>
      <c r="AQ23" s="721">
        <f t="shared" si="64"/>
        <v>83.969007237801833</v>
      </c>
      <c r="AR23" s="848">
        <f>SUM(AS23:BD23)</f>
        <v>1221.6119484271846</v>
      </c>
      <c r="AS23" s="721">
        <f t="shared" ref="AS23:BQ23" si="65">AS27-AS22</f>
        <v>93.796420999999981</v>
      </c>
      <c r="AT23" s="721">
        <f t="shared" si="65"/>
        <v>170.51256351622038</v>
      </c>
      <c r="AU23" s="721">
        <f t="shared" si="65"/>
        <v>97.665939579744247</v>
      </c>
      <c r="AV23" s="721">
        <f t="shared" si="65"/>
        <v>94.233558523406799</v>
      </c>
      <c r="AW23" s="721">
        <f t="shared" si="65"/>
        <v>98.78050305301457</v>
      </c>
      <c r="AX23" s="721">
        <f t="shared" si="65"/>
        <v>100.59230032517993</v>
      </c>
      <c r="AY23" s="721">
        <f t="shared" si="65"/>
        <v>81.682270983866118</v>
      </c>
      <c r="AZ23" s="721">
        <f t="shared" si="65"/>
        <v>111.79135984711851</v>
      </c>
      <c r="BA23" s="721">
        <f t="shared" si="65"/>
        <v>86.818610207261742</v>
      </c>
      <c r="BB23" s="721">
        <f t="shared" si="65"/>
        <v>96.092850225929851</v>
      </c>
      <c r="BC23" s="721">
        <f t="shared" si="65"/>
        <v>94.828526714336846</v>
      </c>
      <c r="BD23" s="1599">
        <f t="shared" si="65"/>
        <v>94.81704445110546</v>
      </c>
      <c r="BE23" s="837">
        <f>SUM(BF23:BQ23)</f>
        <v>1261.0439868827411</v>
      </c>
      <c r="BF23" s="2106">
        <f t="shared" si="65"/>
        <v>102.91412197254098</v>
      </c>
      <c r="BG23" s="2107">
        <f t="shared" si="65"/>
        <v>102.055901805058</v>
      </c>
      <c r="BH23" s="2107">
        <f t="shared" si="65"/>
        <v>99.185033346536983</v>
      </c>
      <c r="BI23" s="2107">
        <f t="shared" si="65"/>
        <v>98.236156438912985</v>
      </c>
      <c r="BJ23" s="2107">
        <f t="shared" si="65"/>
        <v>97.250747717042003</v>
      </c>
      <c r="BK23" s="2107">
        <f t="shared" si="65"/>
        <v>95.500330404356987</v>
      </c>
      <c r="BL23" s="2107">
        <f t="shared" si="65"/>
        <v>136.14203869371701</v>
      </c>
      <c r="BM23" s="2107">
        <f t="shared" si="65"/>
        <v>131.41211333471898</v>
      </c>
      <c r="BN23" s="2107">
        <f t="shared" si="65"/>
        <v>110.433277867897</v>
      </c>
      <c r="BO23" s="2107">
        <f t="shared" si="65"/>
        <v>104.51892717968499</v>
      </c>
      <c r="BP23" s="2107">
        <f t="shared" si="65"/>
        <v>89.307884824506999</v>
      </c>
      <c r="BQ23" s="2108">
        <f t="shared" si="65"/>
        <v>94.087453297768008</v>
      </c>
      <c r="BR23" s="837">
        <f>SUM(BS23:CD23)</f>
        <v>1358.2889120468951</v>
      </c>
      <c r="BS23" s="2106">
        <f t="shared" ref="BS23:CB23" si="66">BS27-BS22</f>
        <v>104.53648579783115</v>
      </c>
      <c r="BT23" s="2107">
        <f t="shared" si="66"/>
        <v>108.88995175321887</v>
      </c>
      <c r="BU23" s="2107">
        <f t="shared" si="66"/>
        <v>116.37383518642599</v>
      </c>
      <c r="BV23" s="2107">
        <f t="shared" si="66"/>
        <v>103.60003807837097</v>
      </c>
      <c r="BW23" s="2107">
        <f t="shared" si="66"/>
        <v>109.09583225051503</v>
      </c>
      <c r="BX23" s="2107">
        <f t="shared" si="66"/>
        <v>106.11785551684099</v>
      </c>
      <c r="BY23" s="2107">
        <f t="shared" si="66"/>
        <v>116.12346377927301</v>
      </c>
      <c r="BZ23" s="2107">
        <f t="shared" si="66"/>
        <v>118.60888480018303</v>
      </c>
      <c r="CA23" s="2107">
        <f t="shared" si="66"/>
        <v>112.664869800183</v>
      </c>
      <c r="CB23" s="2107">
        <f t="shared" si="66"/>
        <v>123.88222016159901</v>
      </c>
      <c r="CC23" s="2107">
        <f>CC27-CC22</f>
        <v>118.93278247667396</v>
      </c>
      <c r="CD23" s="3014">
        <f>CD27-CD22</f>
        <v>119.46269244577999</v>
      </c>
      <c r="CE23" s="837">
        <f>SUM(CF23:CQ23)</f>
        <v>1374.9149419485716</v>
      </c>
      <c r="CF23" s="1719">
        <f t="shared" ref="CF23:CQ23" si="67">CF27-CF22</f>
        <v>119.10582392248517</v>
      </c>
      <c r="CG23" s="772">
        <f t="shared" si="67"/>
        <v>119.10582392248517</v>
      </c>
      <c r="CH23" s="772">
        <f t="shared" si="67"/>
        <v>119.10582392248517</v>
      </c>
      <c r="CI23" s="772">
        <f t="shared" si="67"/>
        <v>118.45094506560261</v>
      </c>
      <c r="CJ23" s="772">
        <f t="shared" si="67"/>
        <v>117.14118735183757</v>
      </c>
      <c r="CK23" s="772">
        <f t="shared" si="67"/>
        <v>115.83142963807251</v>
      </c>
      <c r="CL23" s="772">
        <f t="shared" si="67"/>
        <v>114.52167192430744</v>
      </c>
      <c r="CM23" s="772">
        <f t="shared" si="67"/>
        <v>113.2119142105424</v>
      </c>
      <c r="CN23" s="772">
        <f t="shared" si="67"/>
        <v>111.90215649677734</v>
      </c>
      <c r="CO23" s="772">
        <f t="shared" si="67"/>
        <v>110.5923987830123</v>
      </c>
      <c r="CP23" s="772">
        <f t="shared" si="67"/>
        <v>109.28264106924721</v>
      </c>
      <c r="CQ23" s="2121">
        <f t="shared" si="67"/>
        <v>106.6631256417171</v>
      </c>
    </row>
    <row r="24" spans="2:97" s="489" customFormat="1">
      <c r="B24" s="3334"/>
      <c r="C24" s="3335"/>
      <c r="D24" s="715" t="s">
        <v>232</v>
      </c>
      <c r="E24" s="716">
        <f>AVERAGE(F24:Q24)</f>
        <v>556632.56257853168</v>
      </c>
      <c r="F24" s="2188">
        <f>F22*1000000/F6</f>
        <v>550742.69665810489</v>
      </c>
      <c r="G24" s="2188">
        <f t="shared" ref="G24:O24" si="68">G22*1000000/G6</f>
        <v>597780.39730223047</v>
      </c>
      <c r="H24" s="2188">
        <f t="shared" si="68"/>
        <v>591825.21305462928</v>
      </c>
      <c r="I24" s="2188">
        <f t="shared" si="68"/>
        <v>538805.73281169939</v>
      </c>
      <c r="J24" s="2188">
        <f t="shared" si="68"/>
        <v>497584.15176271612</v>
      </c>
      <c r="K24" s="2188">
        <f t="shared" si="68"/>
        <v>553945.41680810938</v>
      </c>
      <c r="L24" s="2188">
        <f t="shared" si="68"/>
        <v>554797.06622161949</v>
      </c>
      <c r="M24" s="2188">
        <f t="shared" si="68"/>
        <v>575824.94750501309</v>
      </c>
      <c r="N24" s="2188">
        <f t="shared" si="68"/>
        <v>577485.01964438031</v>
      </c>
      <c r="O24" s="2188">
        <f t="shared" si="68"/>
        <v>527534.9840168131</v>
      </c>
      <c r="P24" s="2185">
        <f>AVERAGE(F24:O24)</f>
        <v>556632.56257853168</v>
      </c>
      <c r="Q24" s="2190">
        <f>P24</f>
        <v>556632.56257853168</v>
      </c>
      <c r="R24" s="716">
        <f>AVERAGE(S24:AD24)</f>
        <v>503582.18824174226</v>
      </c>
      <c r="S24" s="717">
        <f>S22*1000000/S6</f>
        <v>577876.07546051382</v>
      </c>
      <c r="T24" s="717">
        <f>T22*1000000/T6</f>
        <v>598788.63811098109</v>
      </c>
      <c r="U24" s="717">
        <f t="shared" ref="U24:Y24" si="69">U22*1000000/U6</f>
        <v>518181.19797260431</v>
      </c>
      <c r="V24" s="717">
        <f t="shared" si="69"/>
        <v>438592.07038048102</v>
      </c>
      <c r="W24" s="717">
        <f t="shared" si="69"/>
        <v>440927.24704009417</v>
      </c>
      <c r="X24" s="717">
        <f t="shared" si="69"/>
        <v>465895.45789759833</v>
      </c>
      <c r="Y24" s="717">
        <f t="shared" si="69"/>
        <v>480500.24947926053</v>
      </c>
      <c r="Z24" s="717">
        <f t="shared" ref="Z24:AQ24" si="70">Z22*1000000/Z6</f>
        <v>511239.93035309692</v>
      </c>
      <c r="AA24" s="717">
        <f t="shared" si="70"/>
        <v>543345.35360231169</v>
      </c>
      <c r="AB24" s="717">
        <f t="shared" si="70"/>
        <v>481635.07223086309</v>
      </c>
      <c r="AC24" s="717">
        <f t="shared" si="70"/>
        <v>445926.53791936347</v>
      </c>
      <c r="AD24" s="717">
        <f t="shared" si="70"/>
        <v>540078.4284537374</v>
      </c>
      <c r="AE24" s="847">
        <f>AVERAGE(AF24:AQ24)</f>
        <v>573245.51629371091</v>
      </c>
      <c r="AF24" s="717">
        <f t="shared" si="70"/>
        <v>591856.00843620859</v>
      </c>
      <c r="AG24" s="717">
        <f t="shared" si="70"/>
        <v>590933.21169862442</v>
      </c>
      <c r="AH24" s="717">
        <f t="shared" si="70"/>
        <v>575590.03302238195</v>
      </c>
      <c r="AI24" s="717">
        <f t="shared" si="70"/>
        <v>523495.9681172439</v>
      </c>
      <c r="AJ24" s="717">
        <f t="shared" si="70"/>
        <v>745359.67239439616</v>
      </c>
      <c r="AK24" s="717">
        <f t="shared" si="70"/>
        <v>524145.31175810442</v>
      </c>
      <c r="AL24" s="717">
        <f t="shared" si="70"/>
        <v>535862.01526717562</v>
      </c>
      <c r="AM24" s="717">
        <f t="shared" si="70"/>
        <v>565726.81681080163</v>
      </c>
      <c r="AN24" s="717">
        <f t="shared" si="70"/>
        <v>577072.51908396941</v>
      </c>
      <c r="AO24" s="717">
        <f t="shared" si="70"/>
        <v>542521.07279693487</v>
      </c>
      <c r="AP24" s="717">
        <f t="shared" si="70"/>
        <v>525670.49808429123</v>
      </c>
      <c r="AQ24" s="717">
        <f t="shared" si="70"/>
        <v>580713.0680543991</v>
      </c>
      <c r="AR24" s="847">
        <f>AVERAGE(AS24:BD24)</f>
        <v>593494.24547760841</v>
      </c>
      <c r="AS24" s="717">
        <f t="shared" ref="AS24:BQ24" si="71">AS22*1000000/AS6</f>
        <v>657044.37451737456</v>
      </c>
      <c r="AT24" s="717">
        <f t="shared" si="71"/>
        <v>442099.27986015304</v>
      </c>
      <c r="AU24" s="717">
        <f t="shared" si="71"/>
        <v>642130.02921360545</v>
      </c>
      <c r="AV24" s="717">
        <f t="shared" si="71"/>
        <v>569594.53673098143</v>
      </c>
      <c r="AW24" s="717">
        <f t="shared" si="71"/>
        <v>536934.63932940084</v>
      </c>
      <c r="AX24" s="717">
        <f t="shared" si="71"/>
        <v>560732.58239229594</v>
      </c>
      <c r="AY24" s="717">
        <f t="shared" si="71"/>
        <v>624704.80940129911</v>
      </c>
      <c r="AZ24" s="717">
        <f t="shared" si="71"/>
        <v>665265.3391162703</v>
      </c>
      <c r="BA24" s="717">
        <f t="shared" si="71"/>
        <v>631222.06145034346</v>
      </c>
      <c r="BB24" s="717">
        <f t="shared" si="71"/>
        <v>612112.9678674615</v>
      </c>
      <c r="BC24" s="717">
        <f t="shared" si="71"/>
        <v>544415.79799087171</v>
      </c>
      <c r="BD24" s="1598">
        <f t="shared" si="71"/>
        <v>635674.52786124323</v>
      </c>
      <c r="BE24" s="836">
        <f>AVERAGE(BF24:BQ24)</f>
        <v>630489.91047523858</v>
      </c>
      <c r="BF24" s="2103">
        <f t="shared" si="71"/>
        <v>652905.86231283064</v>
      </c>
      <c r="BG24" s="2104">
        <f t="shared" si="71"/>
        <v>701963.23241290345</v>
      </c>
      <c r="BH24" s="2104">
        <f t="shared" si="71"/>
        <v>623163.9756837663</v>
      </c>
      <c r="BI24" s="2104">
        <f t="shared" si="71"/>
        <v>573767.19007927447</v>
      </c>
      <c r="BJ24" s="2104">
        <f t="shared" si="71"/>
        <v>548936.70407127065</v>
      </c>
      <c r="BK24" s="2104">
        <f t="shared" si="71"/>
        <v>580420.52618318459</v>
      </c>
      <c r="BL24" s="2104">
        <f t="shared" si="71"/>
        <v>624271.55832576752</v>
      </c>
      <c r="BM24" s="2104">
        <f t="shared" si="71"/>
        <v>665304.00244588603</v>
      </c>
      <c r="BN24" s="2104">
        <f t="shared" si="71"/>
        <v>703935.88283861394</v>
      </c>
      <c r="BO24" s="2104">
        <f t="shared" si="71"/>
        <v>639673.47728056984</v>
      </c>
      <c r="BP24" s="2104">
        <f t="shared" si="71"/>
        <v>588546.94898705906</v>
      </c>
      <c r="BQ24" s="2105">
        <f t="shared" si="71"/>
        <v>662989.56508173526</v>
      </c>
      <c r="BR24" s="836">
        <f>AVERAGE(BS24:CD24)</f>
        <v>650058.88259015873</v>
      </c>
      <c r="BS24" s="2103">
        <f>BS22*1000000/BS6</f>
        <v>681758.09265503264</v>
      </c>
      <c r="BT24" s="2104">
        <f t="shared" ref="BT24:CD24" si="72">BT22*1000000/BT6</f>
        <v>673233.84106610075</v>
      </c>
      <c r="BU24" s="2104">
        <f t="shared" si="72"/>
        <v>666447.09617664339</v>
      </c>
      <c r="BV24" s="2104">
        <f t="shared" si="72"/>
        <v>622720.17799081013</v>
      </c>
      <c r="BW24" s="2104">
        <f t="shared" si="72"/>
        <v>589914.78112640069</v>
      </c>
      <c r="BX24" s="2104">
        <f t="shared" si="72"/>
        <v>580754.30350459926</v>
      </c>
      <c r="BY24" s="2104">
        <f t="shared" si="72"/>
        <v>630595.8000816023</v>
      </c>
      <c r="BZ24" s="2104">
        <f t="shared" si="72"/>
        <v>722240.384189</v>
      </c>
      <c r="CA24" s="2104">
        <f t="shared" si="72"/>
        <v>722240.384189</v>
      </c>
      <c r="CB24" s="2104">
        <f t="shared" si="72"/>
        <v>622547.85253333731</v>
      </c>
      <c r="CC24" s="2104">
        <f t="shared" si="72"/>
        <v>634796.80763224605</v>
      </c>
      <c r="CD24" s="3013">
        <f t="shared" si="72"/>
        <v>653457.06993713148</v>
      </c>
      <c r="CE24" s="836">
        <f>AVERAGE(CF24:CQ24)</f>
        <v>654878.85688252922</v>
      </c>
      <c r="CF24" s="2072">
        <v>654878.85688252922</v>
      </c>
      <c r="CG24" s="2073">
        <v>654878.85688252922</v>
      </c>
      <c r="CH24" s="2073">
        <v>654878.85688252922</v>
      </c>
      <c r="CI24" s="2073">
        <v>654878.85688252922</v>
      </c>
      <c r="CJ24" s="2073">
        <v>654878.85688252922</v>
      </c>
      <c r="CK24" s="2073">
        <v>654878.85688252922</v>
      </c>
      <c r="CL24" s="2073">
        <v>654878.85688252922</v>
      </c>
      <c r="CM24" s="2073">
        <v>654878.85688252922</v>
      </c>
      <c r="CN24" s="2073">
        <v>654878.85688252922</v>
      </c>
      <c r="CO24" s="2073">
        <v>654878.85688252922</v>
      </c>
      <c r="CP24" s="2073">
        <v>654878.85688252922</v>
      </c>
      <c r="CQ24" s="2120">
        <v>654878.85688252922</v>
      </c>
    </row>
    <row r="25" spans="2:97" s="489" customFormat="1">
      <c r="B25" s="3330" t="s">
        <v>126</v>
      </c>
      <c r="C25" s="3331"/>
      <c r="D25" s="723" t="s">
        <v>128</v>
      </c>
      <c r="E25" s="724">
        <f>SUM(F25:Q25)</f>
        <v>4785.5892850000009</v>
      </c>
      <c r="F25" s="717">
        <f t="shared" ref="F25" si="73">SUM(F26:F31)</f>
        <v>1077.1939359999999</v>
      </c>
      <c r="G25" s="717">
        <f t="shared" ref="G25:K25" si="74">SUM(G26:G31)</f>
        <v>968.5099110000001</v>
      </c>
      <c r="H25" s="717">
        <f t="shared" si="74"/>
        <v>-681.58330199999989</v>
      </c>
      <c r="I25" s="717">
        <f t="shared" si="74"/>
        <v>922.98003400000005</v>
      </c>
      <c r="J25" s="717">
        <f t="shared" si="74"/>
        <v>930.22236399999997</v>
      </c>
      <c r="K25" s="717">
        <f t="shared" si="74"/>
        <v>-666.88315699999998</v>
      </c>
      <c r="L25" s="717">
        <v>922.60432600000001</v>
      </c>
      <c r="M25" s="717">
        <v>904.47265499999992</v>
      </c>
      <c r="N25" s="717">
        <v>-631.32712700000013</v>
      </c>
      <c r="O25" s="717">
        <v>876.87155600000006</v>
      </c>
      <c r="P25" s="717">
        <f t="shared" ref="P25:Q25" si="75">SUM(P26:P31)</f>
        <v>859.38941199999999</v>
      </c>
      <c r="Q25" s="2188">
        <f t="shared" si="75"/>
        <v>-696.86132300000008</v>
      </c>
      <c r="R25" s="724">
        <f>SUM(S25:AD25)</f>
        <v>4401.4292930000001</v>
      </c>
      <c r="S25" s="2188">
        <f t="shared" ref="S25:AD25" si="76">SUM(S26:S31)</f>
        <v>883.57935699999996</v>
      </c>
      <c r="T25" s="2188">
        <f t="shared" si="76"/>
        <v>859.01869899999997</v>
      </c>
      <c r="U25" s="2188">
        <f t="shared" si="76"/>
        <v>-593.34228099999996</v>
      </c>
      <c r="V25" s="2188">
        <f t="shared" si="76"/>
        <v>830.42420800000002</v>
      </c>
      <c r="W25" s="2188">
        <f t="shared" si="76"/>
        <v>810.32143599999995</v>
      </c>
      <c r="X25" s="2188">
        <f t="shared" si="76"/>
        <v>-587.47840900000006</v>
      </c>
      <c r="Y25" s="2188">
        <f t="shared" si="76"/>
        <v>821.27809000000002</v>
      </c>
      <c r="Z25" s="2188">
        <f t="shared" si="76"/>
        <v>819.52794100000006</v>
      </c>
      <c r="AA25" s="2188">
        <f t="shared" si="76"/>
        <v>-527.45777899999985</v>
      </c>
      <c r="AB25" s="2188">
        <f t="shared" si="76"/>
        <v>803.38386999999989</v>
      </c>
      <c r="AC25" s="2188">
        <f t="shared" si="76"/>
        <v>784.78751199999999</v>
      </c>
      <c r="AD25" s="2188">
        <f t="shared" si="76"/>
        <v>-502.61335099999997</v>
      </c>
      <c r="AE25" s="849">
        <f>SUM(AF25:AQ25)</f>
        <v>5303.6946520000001</v>
      </c>
      <c r="AF25" s="725">
        <f t="shared" ref="AF25:AQ25" si="77">SUM(AF26:AF31)</f>
        <v>816.26682800000003</v>
      </c>
      <c r="AG25" s="725">
        <f t="shared" si="77"/>
        <v>796.30423999999994</v>
      </c>
      <c r="AH25" s="725">
        <f t="shared" si="77"/>
        <v>-446.08007999999995</v>
      </c>
      <c r="AI25" s="725">
        <f t="shared" si="77"/>
        <v>801.09304900000006</v>
      </c>
      <c r="AJ25" s="725">
        <f t="shared" si="77"/>
        <v>814.70825100000002</v>
      </c>
      <c r="AK25" s="725">
        <f t="shared" si="77"/>
        <v>-436.21089800000004</v>
      </c>
      <c r="AL25" s="725">
        <f t="shared" si="77"/>
        <v>788.66260100000011</v>
      </c>
      <c r="AM25" s="725">
        <f t="shared" si="77"/>
        <v>897.21021099999996</v>
      </c>
      <c r="AN25" s="725">
        <f t="shared" si="77"/>
        <v>-337.53262500000017</v>
      </c>
      <c r="AO25" s="725">
        <f t="shared" si="77"/>
        <v>974.6341910000001</v>
      </c>
      <c r="AP25" s="725">
        <f t="shared" si="77"/>
        <v>974.465552</v>
      </c>
      <c r="AQ25" s="725">
        <f t="shared" si="77"/>
        <v>-339.82666799999993</v>
      </c>
      <c r="AR25" s="849">
        <f>SUM(AS25:BD25)</f>
        <v>5542.3485850000006</v>
      </c>
      <c r="AS25" s="725">
        <f t="shared" ref="AS25:BD25" si="78">SUM(AS26:AS31)</f>
        <v>1006.722724</v>
      </c>
      <c r="AT25" s="725">
        <f t="shared" si="78"/>
        <v>1007.949729</v>
      </c>
      <c r="AU25" s="725">
        <f t="shared" si="78"/>
        <v>-659.7503989999999</v>
      </c>
      <c r="AV25" s="725">
        <f t="shared" si="78"/>
        <v>961.63084000000003</v>
      </c>
      <c r="AW25" s="725">
        <f t="shared" si="78"/>
        <v>962.998693</v>
      </c>
      <c r="AX25" s="725">
        <f t="shared" si="78"/>
        <v>-466.77410699999996</v>
      </c>
      <c r="AY25" s="725">
        <f t="shared" si="78"/>
        <v>956.11005399999999</v>
      </c>
      <c r="AZ25" s="725">
        <f t="shared" si="78"/>
        <v>1015.3815</v>
      </c>
      <c r="BA25" s="725">
        <f t="shared" si="78"/>
        <v>-614.97043800000006</v>
      </c>
      <c r="BB25" s="725">
        <f t="shared" si="78"/>
        <v>967.36028600000009</v>
      </c>
      <c r="BC25" s="725">
        <f t="shared" si="78"/>
        <v>1001.8113420000001</v>
      </c>
      <c r="BD25" s="854">
        <f t="shared" si="78"/>
        <v>-596.12163899999996</v>
      </c>
      <c r="BE25" s="838">
        <f>SUM(BF25:BQ25)</f>
        <v>5190.9477699999998</v>
      </c>
      <c r="BF25" s="724">
        <f t="shared" ref="BF25:BQ25" si="79">SUM(BF26:BF31)</f>
        <v>976.62713999999994</v>
      </c>
      <c r="BG25" s="855">
        <f t="shared" si="79"/>
        <v>991.95291399999996</v>
      </c>
      <c r="BH25" s="855">
        <f t="shared" si="79"/>
        <v>-485.25513899999999</v>
      </c>
      <c r="BI25" s="855">
        <f t="shared" si="79"/>
        <v>969.43936399999996</v>
      </c>
      <c r="BJ25" s="855">
        <f t="shared" si="79"/>
        <v>962.87925900000005</v>
      </c>
      <c r="BK25" s="855">
        <f t="shared" si="79"/>
        <v>-536.36931800000002</v>
      </c>
      <c r="BL25" s="855">
        <f t="shared" si="79"/>
        <v>1038.1918170000001</v>
      </c>
      <c r="BM25" s="855">
        <f t="shared" si="79"/>
        <v>988.43123600000001</v>
      </c>
      <c r="BN25" s="855">
        <f t="shared" si="79"/>
        <v>-649.78604899999993</v>
      </c>
      <c r="BO25" s="855">
        <f t="shared" si="79"/>
        <v>857.49516100000005</v>
      </c>
      <c r="BP25" s="855">
        <f t="shared" si="79"/>
        <v>815.95566799999995</v>
      </c>
      <c r="BQ25" s="1442">
        <f t="shared" si="79"/>
        <v>-738.614283</v>
      </c>
      <c r="BR25" s="838">
        <f t="shared" ref="BR25:BR32" si="80">SUM(BS25:CD25)</f>
        <v>4488.5558190000002</v>
      </c>
      <c r="BS25" s="724">
        <f t="shared" ref="BS25:CD25" si="81">SUM(BS26:BS31)</f>
        <v>889.45883100000003</v>
      </c>
      <c r="BT25" s="855">
        <f t="shared" si="81"/>
        <v>875.807906</v>
      </c>
      <c r="BU25" s="855">
        <f t="shared" si="81"/>
        <v>-674.42278799999997</v>
      </c>
      <c r="BV25" s="855">
        <f t="shared" si="81"/>
        <v>863.6853440000001</v>
      </c>
      <c r="BW25" s="855">
        <f t="shared" si="81"/>
        <v>861.79002200000002</v>
      </c>
      <c r="BX25" s="855">
        <f t="shared" si="81"/>
        <v>-709.25130700000011</v>
      </c>
      <c r="BY25" s="855">
        <f t="shared" si="81"/>
        <v>880.66315299999997</v>
      </c>
      <c r="BZ25" s="855">
        <f t="shared" si="81"/>
        <v>916.12363100000005</v>
      </c>
      <c r="CA25" s="855">
        <f t="shared" si="81"/>
        <v>-671.88190500000007</v>
      </c>
      <c r="CB25" s="855">
        <f t="shared" si="81"/>
        <v>911.46555999999998</v>
      </c>
      <c r="CC25" s="855">
        <f t="shared" si="81"/>
        <v>995.94284999999991</v>
      </c>
      <c r="CD25" s="2122">
        <f t="shared" si="81"/>
        <v>-650.82547799999998</v>
      </c>
      <c r="CE25" s="838">
        <f t="shared" ref="CE25:CE32" si="82">SUM(CF25:CQ25)</f>
        <v>4402.6844431512254</v>
      </c>
      <c r="CF25" s="724">
        <f t="shared" ref="CF25:CQ25" si="83">SUM(CF26:CF31)</f>
        <v>907.24805390635117</v>
      </c>
      <c r="CG25" s="855">
        <f t="shared" si="83"/>
        <v>907.24805390635117</v>
      </c>
      <c r="CH25" s="855">
        <f t="shared" si="83"/>
        <v>-717.68675952783917</v>
      </c>
      <c r="CI25" s="855">
        <f t="shared" si="83"/>
        <v>907.57145597769124</v>
      </c>
      <c r="CJ25" s="855">
        <f t="shared" si="83"/>
        <v>908.21826012037138</v>
      </c>
      <c r="CK25" s="855">
        <f t="shared" si="83"/>
        <v>-721.76741012586444</v>
      </c>
      <c r="CL25" s="855">
        <f t="shared" si="83"/>
        <v>909.51186840573155</v>
      </c>
      <c r="CM25" s="855">
        <f t="shared" si="83"/>
        <v>910.15867254841157</v>
      </c>
      <c r="CN25" s="855">
        <f t="shared" si="83"/>
        <v>-714.12933674309863</v>
      </c>
      <c r="CO25" s="855">
        <f t="shared" si="83"/>
        <v>911.45228083377185</v>
      </c>
      <c r="CP25" s="855">
        <f t="shared" si="83"/>
        <v>912.09908497645188</v>
      </c>
      <c r="CQ25" s="2122">
        <f t="shared" si="83"/>
        <v>-717.23978112710381</v>
      </c>
    </row>
    <row r="26" spans="2:97">
      <c r="B26" s="3332"/>
      <c r="C26" s="3333"/>
      <c r="D26" s="70" t="s">
        <v>129</v>
      </c>
      <c r="E26" s="288">
        <f t="shared" ref="E26:E31" si="84">SUM(F26:Q26)</f>
        <v>6162.0480349999998</v>
      </c>
      <c r="F26" s="479">
        <v>674.07275000000004</v>
      </c>
      <c r="G26" s="597">
        <v>555.38111400000003</v>
      </c>
      <c r="H26" s="597">
        <v>586.25994200000002</v>
      </c>
      <c r="I26" s="597">
        <v>523.06651199999999</v>
      </c>
      <c r="J26" s="597">
        <v>524.67395599999998</v>
      </c>
      <c r="K26" s="597">
        <v>516.46033399999999</v>
      </c>
      <c r="L26" s="597">
        <v>507.73290100000003</v>
      </c>
      <c r="M26" s="597">
        <v>484.30969499999998</v>
      </c>
      <c r="N26" s="597">
        <v>487.68477000000001</v>
      </c>
      <c r="O26" s="597">
        <v>474.30701599999998</v>
      </c>
      <c r="P26" s="597">
        <v>465.78825699999999</v>
      </c>
      <c r="Q26" s="597">
        <v>362.310788</v>
      </c>
      <c r="R26" s="288">
        <f t="shared" ref="R26:R31" si="85">SUM(S26:AD26)</f>
        <v>5031.2789510000002</v>
      </c>
      <c r="S26" s="597">
        <v>457.94233000000003</v>
      </c>
      <c r="T26" s="597">
        <v>432.58420599999999</v>
      </c>
      <c r="U26" s="597">
        <v>444.22910200000001</v>
      </c>
      <c r="V26" s="597">
        <v>451.32874799999996</v>
      </c>
      <c r="W26" s="597">
        <v>447.69655699999998</v>
      </c>
      <c r="X26" s="597">
        <v>434.75817999999998</v>
      </c>
      <c r="Y26" s="597">
        <v>429.404403</v>
      </c>
      <c r="Z26" s="597">
        <v>421.84083300000003</v>
      </c>
      <c r="AA26" s="597">
        <v>417.63423599999999</v>
      </c>
      <c r="AB26" s="597">
        <v>409.25431899999995</v>
      </c>
      <c r="AC26" s="597">
        <v>400.879954</v>
      </c>
      <c r="AD26" s="672">
        <v>283.72608300000002</v>
      </c>
      <c r="AE26" s="845">
        <f t="shared" ref="AE26:AE31" si="86">SUM(AF26:AQ26)</f>
        <v>4509.2934070000001</v>
      </c>
      <c r="AF26" s="597">
        <v>394.641548</v>
      </c>
      <c r="AG26" s="597">
        <v>372.63955499999997</v>
      </c>
      <c r="AH26" s="597">
        <v>394.41446200000001</v>
      </c>
      <c r="AI26" s="597">
        <v>399.55758100000003</v>
      </c>
      <c r="AJ26" s="597">
        <v>382.477935</v>
      </c>
      <c r="AK26" s="597">
        <v>367.10325799999998</v>
      </c>
      <c r="AL26" s="597">
        <v>373.05108100000001</v>
      </c>
      <c r="AM26" s="597">
        <v>375.69596100000001</v>
      </c>
      <c r="AN26" s="597">
        <v>374.11746599999998</v>
      </c>
      <c r="AO26" s="597">
        <v>428.73088300000001</v>
      </c>
      <c r="AP26" s="597">
        <v>372.05671899999999</v>
      </c>
      <c r="AQ26" s="672">
        <v>274.80695800000001</v>
      </c>
      <c r="AR26" s="845">
        <f t="shared" ref="AR26:AR31" si="87">SUM(AS26:BD26)</f>
        <v>4034.2461619999999</v>
      </c>
      <c r="AS26" s="597">
        <v>361.52257800000001</v>
      </c>
      <c r="AT26" s="597">
        <v>341.96664299999998</v>
      </c>
      <c r="AU26" s="597">
        <v>342.05903899999998</v>
      </c>
      <c r="AV26" s="597">
        <v>338.59307200000001</v>
      </c>
      <c r="AW26" s="597">
        <v>343.37973399999998</v>
      </c>
      <c r="AX26" s="597">
        <v>342.081525</v>
      </c>
      <c r="AY26" s="597">
        <v>330.26905799999997</v>
      </c>
      <c r="AZ26" s="429">
        <v>346.26322900000002</v>
      </c>
      <c r="BA26" s="429">
        <v>365.496376</v>
      </c>
      <c r="BB26" s="429">
        <v>330.53079700000001</v>
      </c>
      <c r="BC26" s="429">
        <v>357.633419</v>
      </c>
      <c r="BD26" s="1600">
        <v>234.450692</v>
      </c>
      <c r="BE26" s="832">
        <f>SUM(BF26:BQ26)</f>
        <v>4047.9783760000005</v>
      </c>
      <c r="BF26" s="2097">
        <v>337.16733199999999</v>
      </c>
      <c r="BG26" s="2109">
        <v>336.01703500000002</v>
      </c>
      <c r="BH26" s="2109">
        <v>335.91721000000001</v>
      </c>
      <c r="BI26" s="2109">
        <v>347.47853500000002</v>
      </c>
      <c r="BJ26" s="2109">
        <v>341.37481200000002</v>
      </c>
      <c r="BK26" s="2109">
        <v>350.20608900000002</v>
      </c>
      <c r="BL26" s="2109">
        <v>335.78802200000001</v>
      </c>
      <c r="BM26" s="2109">
        <v>358.184482</v>
      </c>
      <c r="BN26" s="2109">
        <v>344.45446800000002</v>
      </c>
      <c r="BO26" s="2109">
        <v>323.66360600000002</v>
      </c>
      <c r="BP26" s="2109">
        <v>311.60251799999998</v>
      </c>
      <c r="BQ26" s="2110">
        <v>326.12426699999997</v>
      </c>
      <c r="BR26" s="832">
        <f t="shared" si="80"/>
        <v>4374.235987</v>
      </c>
      <c r="BS26" s="2111">
        <v>341.66360200000003</v>
      </c>
      <c r="BT26" s="2109">
        <v>325.734285</v>
      </c>
      <c r="BU26" s="2109">
        <v>317.04922199999999</v>
      </c>
      <c r="BV26" s="2109">
        <v>347.88042999999999</v>
      </c>
      <c r="BW26" s="2109">
        <v>349.68278500000002</v>
      </c>
      <c r="BX26" s="2109">
        <v>341.74726099999998</v>
      </c>
      <c r="BY26" s="2109">
        <v>354.04413599999998</v>
      </c>
      <c r="BZ26" s="2109">
        <v>361.04883799999999</v>
      </c>
      <c r="CA26" s="2109">
        <v>415.30161800000002</v>
      </c>
      <c r="CB26" s="2109">
        <v>381.57677100000001</v>
      </c>
      <c r="CC26" s="2109">
        <v>466.66952199999997</v>
      </c>
      <c r="CD26" s="3015">
        <v>371.83751699999999</v>
      </c>
      <c r="CE26" s="832">
        <f t="shared" si="82"/>
        <v>4462.0502040000001</v>
      </c>
      <c r="CF26" s="2830">
        <v>371.83751699999999</v>
      </c>
      <c r="CG26" s="2831">
        <v>371.83751699999999</v>
      </c>
      <c r="CH26" s="2831">
        <v>371.83751699999999</v>
      </c>
      <c r="CI26" s="2831">
        <v>371.83751699999999</v>
      </c>
      <c r="CJ26" s="2831">
        <v>371.83751699999999</v>
      </c>
      <c r="CK26" s="2831">
        <v>371.83751699999999</v>
      </c>
      <c r="CL26" s="2831">
        <v>371.83751699999999</v>
      </c>
      <c r="CM26" s="2831">
        <v>371.83751699999999</v>
      </c>
      <c r="CN26" s="2831">
        <v>371.83751699999999</v>
      </c>
      <c r="CO26" s="2831">
        <v>371.83751699999999</v>
      </c>
      <c r="CP26" s="2831">
        <v>371.83751699999999</v>
      </c>
      <c r="CQ26" s="2832">
        <v>371.83751699999999</v>
      </c>
    </row>
    <row r="27" spans="2:97">
      <c r="B27" s="3332"/>
      <c r="C27" s="3333"/>
      <c r="D27" s="70" t="s">
        <v>130</v>
      </c>
      <c r="E27" s="288">
        <f t="shared" si="84"/>
        <v>2747.6715409999997</v>
      </c>
      <c r="F27" s="479">
        <v>227.28370799999999</v>
      </c>
      <c r="G27" s="597">
        <v>236.19301899999999</v>
      </c>
      <c r="H27" s="597">
        <v>237.39160799999999</v>
      </c>
      <c r="I27" s="597">
        <v>223.883747</v>
      </c>
      <c r="J27" s="597">
        <v>202.12593000000001</v>
      </c>
      <c r="K27" s="597">
        <v>226.00163000000001</v>
      </c>
      <c r="L27" s="597">
        <v>238.123581</v>
      </c>
      <c r="M27" s="597">
        <v>243.62211600000001</v>
      </c>
      <c r="N27" s="597">
        <v>242.63128599999999</v>
      </c>
      <c r="O27" s="597">
        <v>225.45919599999999</v>
      </c>
      <c r="P27" s="597">
        <v>215.90561099999999</v>
      </c>
      <c r="Q27" s="597">
        <v>229.05010899999999</v>
      </c>
      <c r="R27" s="288">
        <f t="shared" si="85"/>
        <v>2679.5991199999999</v>
      </c>
      <c r="S27" s="597">
        <v>244.34691599999999</v>
      </c>
      <c r="T27" s="597">
        <v>247.44612699999999</v>
      </c>
      <c r="U27" s="597">
        <v>227.31851</v>
      </c>
      <c r="V27" s="597">
        <v>199.38323800000001</v>
      </c>
      <c r="W27" s="597">
        <v>185.07867899999999</v>
      </c>
      <c r="X27" s="597">
        <v>206.41330600000001</v>
      </c>
      <c r="Y27" s="597">
        <v>213.46928700000001</v>
      </c>
      <c r="Z27" s="597">
        <v>220.696336</v>
      </c>
      <c r="AA27" s="597">
        <v>228.21562</v>
      </c>
      <c r="AB27" s="597">
        <v>214.75471899999999</v>
      </c>
      <c r="AC27" s="597">
        <v>204.37832599999999</v>
      </c>
      <c r="AD27" s="672">
        <v>288.09805599999999</v>
      </c>
      <c r="AE27" s="845">
        <f t="shared" si="86"/>
        <v>2711.1877909999994</v>
      </c>
      <c r="AF27" s="597">
        <v>241.568093</v>
      </c>
      <c r="AG27" s="597">
        <v>245.42425299999999</v>
      </c>
      <c r="AH27" s="597">
        <v>238.33922199999998</v>
      </c>
      <c r="AI27" s="597">
        <v>224.417136</v>
      </c>
      <c r="AJ27" s="597">
        <v>221.27443299999999</v>
      </c>
      <c r="AK27" s="597">
        <v>222.28807499999999</v>
      </c>
      <c r="AL27" s="597">
        <v>224.94799800000001</v>
      </c>
      <c r="AM27" s="597">
        <v>233.70831799999999</v>
      </c>
      <c r="AN27" s="597">
        <v>238.093468</v>
      </c>
      <c r="AO27" s="597">
        <v>164.55837600000001</v>
      </c>
      <c r="AP27" s="597">
        <v>221.03330099999999</v>
      </c>
      <c r="AQ27" s="672">
        <v>235.53511800000001</v>
      </c>
      <c r="AR27" s="845">
        <f t="shared" si="87"/>
        <v>3049.6274009999993</v>
      </c>
      <c r="AS27" s="597">
        <v>263.97091399999999</v>
      </c>
      <c r="AT27" s="597">
        <v>285.016277</v>
      </c>
      <c r="AU27" s="597">
        <v>260.76696700000002</v>
      </c>
      <c r="AV27" s="597">
        <v>241.18894900000001</v>
      </c>
      <c r="AW27" s="597">
        <v>237.30964</v>
      </c>
      <c r="AX27" s="597">
        <v>244.70057399999999</v>
      </c>
      <c r="AY27" s="597">
        <v>242.23140699999999</v>
      </c>
      <c r="AZ27" s="429">
        <v>282.76455199999998</v>
      </c>
      <c r="BA27" s="429">
        <v>249.04267999999999</v>
      </c>
      <c r="BB27" s="429">
        <v>252.79376999999999</v>
      </c>
      <c r="BC27" s="429">
        <v>234.198971</v>
      </c>
      <c r="BD27" s="1600">
        <v>255.64269999999999</v>
      </c>
      <c r="BE27" s="832">
        <f t="shared" ref="BE27:BE31" si="88">SUM(BF27:BQ27)</f>
        <v>3282.7009609999996</v>
      </c>
      <c r="BF27" s="2097">
        <v>268.75221099999999</v>
      </c>
      <c r="BG27" s="2109">
        <v>283.86437899999999</v>
      </c>
      <c r="BH27" s="2109">
        <v>261.83083099999999</v>
      </c>
      <c r="BI27" s="2109">
        <v>250.85822899999999</v>
      </c>
      <c r="BJ27" s="2109">
        <v>243.267911</v>
      </c>
      <c r="BK27" s="2109">
        <v>252.79429300000001</v>
      </c>
      <c r="BL27" s="2109">
        <v>305.31963100000002</v>
      </c>
      <c r="BM27" s="2109">
        <v>312.37480199999999</v>
      </c>
      <c r="BN27" s="2109">
        <v>301.90383800000001</v>
      </c>
      <c r="BO27" s="2109">
        <v>278.51011299999999</v>
      </c>
      <c r="BP27" s="2109">
        <v>248.80410800000001</v>
      </c>
      <c r="BQ27" s="2110">
        <v>274.420615</v>
      </c>
      <c r="BR27" s="832">
        <f t="shared" si="80"/>
        <v>3361.8839029999999</v>
      </c>
      <c r="BS27" s="2111">
        <v>289.97468700000002</v>
      </c>
      <c r="BT27" s="2109">
        <v>289.98985499999998</v>
      </c>
      <c r="BU27" s="2109">
        <v>288.31718599999999</v>
      </c>
      <c r="BV27" s="2109">
        <v>264.261844</v>
      </c>
      <c r="BW27" s="2109">
        <v>260.70393100000001</v>
      </c>
      <c r="BX27" s="2109">
        <v>252.46794</v>
      </c>
      <c r="BY27" s="2109">
        <v>276.29479700000002</v>
      </c>
      <c r="BZ27" s="2109">
        <v>301.33570200000003</v>
      </c>
      <c r="CA27" s="2109">
        <v>295.39168699999999</v>
      </c>
      <c r="CB27" s="2109">
        <v>280.76427899999999</v>
      </c>
      <c r="CC27" s="2109">
        <v>278.90157799999997</v>
      </c>
      <c r="CD27" s="3015">
        <v>283.48041699999999</v>
      </c>
      <c r="CE27" s="832">
        <f t="shared" si="82"/>
        <v>3401.765003999999</v>
      </c>
      <c r="CF27" s="2830">
        <v>283.48041699999999</v>
      </c>
      <c r="CG27" s="2831">
        <v>283.48041699999999</v>
      </c>
      <c r="CH27" s="2831">
        <v>283.48041699999999</v>
      </c>
      <c r="CI27" s="2831">
        <v>283.48041699999999</v>
      </c>
      <c r="CJ27" s="2831">
        <v>283.48041699999999</v>
      </c>
      <c r="CK27" s="2831">
        <v>283.48041699999999</v>
      </c>
      <c r="CL27" s="2831">
        <v>283.48041699999999</v>
      </c>
      <c r="CM27" s="2831">
        <v>283.48041699999999</v>
      </c>
      <c r="CN27" s="2831">
        <v>283.48041699999999</v>
      </c>
      <c r="CO27" s="2831">
        <v>283.48041699999999</v>
      </c>
      <c r="CP27" s="2831">
        <v>283.48041699999999</v>
      </c>
      <c r="CQ27" s="2832">
        <v>283.48041699999999</v>
      </c>
    </row>
    <row r="28" spans="2:97">
      <c r="B28" s="3332"/>
      <c r="C28" s="3333"/>
      <c r="D28" s="70" t="s">
        <v>131</v>
      </c>
      <c r="E28" s="288">
        <f t="shared" si="84"/>
        <v>1553.810841</v>
      </c>
      <c r="F28" s="585">
        <v>143.885178</v>
      </c>
      <c r="G28" s="597">
        <v>133.66317799999999</v>
      </c>
      <c r="H28" s="597">
        <v>132.42745500000001</v>
      </c>
      <c r="I28" s="597">
        <v>132.20067499999999</v>
      </c>
      <c r="J28" s="597">
        <v>156.92527799999999</v>
      </c>
      <c r="K28" s="597">
        <v>123.60521300000001</v>
      </c>
      <c r="L28" s="597">
        <v>121.954144</v>
      </c>
      <c r="M28" s="597">
        <v>121.993144</v>
      </c>
      <c r="N28" s="597">
        <v>121.669144</v>
      </c>
      <c r="O28" s="597">
        <v>121.82514399999999</v>
      </c>
      <c r="P28" s="597">
        <v>121.83114399999999</v>
      </c>
      <c r="Q28" s="597">
        <v>121.83114399999999</v>
      </c>
      <c r="R28" s="288">
        <f t="shared" si="85"/>
        <v>1449.497701</v>
      </c>
      <c r="S28" s="597">
        <v>124.90821099999999</v>
      </c>
      <c r="T28" s="597">
        <v>121.962666</v>
      </c>
      <c r="U28" s="597">
        <v>124.10516200000001</v>
      </c>
      <c r="V28" s="597">
        <v>120.631922</v>
      </c>
      <c r="W28" s="597">
        <v>120.3113</v>
      </c>
      <c r="X28" s="597">
        <v>120.3113</v>
      </c>
      <c r="Y28" s="597">
        <v>120.45829999999999</v>
      </c>
      <c r="Z28" s="597">
        <v>118.527272</v>
      </c>
      <c r="AA28" s="597">
        <v>118.686772</v>
      </c>
      <c r="AB28" s="597">
        <v>118.93293199999999</v>
      </c>
      <c r="AC28" s="597">
        <v>120.330932</v>
      </c>
      <c r="AD28" s="672">
        <v>120.330932</v>
      </c>
      <c r="AE28" s="845">
        <f t="shared" si="86"/>
        <v>2283.1173100000001</v>
      </c>
      <c r="AF28" s="597">
        <v>120.369687</v>
      </c>
      <c r="AG28" s="597">
        <v>118.508932</v>
      </c>
      <c r="AH28" s="597">
        <v>118.927932</v>
      </c>
      <c r="AI28" s="597">
        <v>117.45393199999999</v>
      </c>
      <c r="AJ28" s="597">
        <v>118.937483</v>
      </c>
      <c r="AK28" s="597">
        <v>118.04593199999999</v>
      </c>
      <c r="AL28" s="597">
        <v>129.656722</v>
      </c>
      <c r="AM28" s="597">
        <v>225.553932</v>
      </c>
      <c r="AN28" s="597">
        <v>257.72796199999999</v>
      </c>
      <c r="AO28" s="597">
        <v>319.278932</v>
      </c>
      <c r="AP28" s="597">
        <v>319.278932</v>
      </c>
      <c r="AQ28" s="672">
        <v>319.37693200000001</v>
      </c>
      <c r="AR28" s="845">
        <f t="shared" si="87"/>
        <v>3798.8955410000003</v>
      </c>
      <c r="AS28" s="597">
        <v>319.22993200000002</v>
      </c>
      <c r="AT28" s="597">
        <v>318.90130900000003</v>
      </c>
      <c r="AU28" s="597">
        <v>319.43361900000002</v>
      </c>
      <c r="AV28" s="597">
        <v>319.482619</v>
      </c>
      <c r="AW28" s="597">
        <v>319.53161899999998</v>
      </c>
      <c r="AX28" s="597">
        <v>319.58061900000001</v>
      </c>
      <c r="AY28" s="597">
        <v>320.26288899999997</v>
      </c>
      <c r="AZ28" s="429">
        <v>320.53961900000002</v>
      </c>
      <c r="BA28" s="429">
        <v>324.37921799999998</v>
      </c>
      <c r="BB28" s="429">
        <v>320.41261900000001</v>
      </c>
      <c r="BC28" s="429">
        <v>345.52870000000001</v>
      </c>
      <c r="BD28" s="1600">
        <v>251.61277899999999</v>
      </c>
      <c r="BE28" s="832">
        <f t="shared" si="88"/>
        <v>3109.9251999999997</v>
      </c>
      <c r="BF28" s="2097">
        <v>306.255897</v>
      </c>
      <c r="BG28" s="2109">
        <v>306.7706</v>
      </c>
      <c r="BH28" s="2109">
        <v>311.18605400000001</v>
      </c>
      <c r="BI28" s="2109">
        <v>306.72800000000001</v>
      </c>
      <c r="BJ28" s="2109">
        <v>307.59071599999999</v>
      </c>
      <c r="BK28" s="2109">
        <v>307.69694199999998</v>
      </c>
      <c r="BL28" s="2109">
        <v>303.08942400000001</v>
      </c>
      <c r="BM28" s="2109">
        <v>233.44257200000001</v>
      </c>
      <c r="BN28" s="2109">
        <v>208.295062</v>
      </c>
      <c r="BO28" s="2109">
        <v>172.36094199999999</v>
      </c>
      <c r="BP28" s="2109">
        <v>172.510942</v>
      </c>
      <c r="BQ28" s="2110">
        <v>173.99804900000001</v>
      </c>
      <c r="BR28" s="832">
        <f t="shared" si="80"/>
        <v>2065.6038589999998</v>
      </c>
      <c r="BS28" s="2111">
        <v>174.397142</v>
      </c>
      <c r="BT28" s="2109">
        <v>176.75956600000001</v>
      </c>
      <c r="BU28" s="2109">
        <v>172.258082</v>
      </c>
      <c r="BV28" s="2109">
        <v>170.79626999999999</v>
      </c>
      <c r="BW28" s="2109">
        <v>170.87080599999999</v>
      </c>
      <c r="BX28" s="2109">
        <v>171.75068200000001</v>
      </c>
      <c r="BY28" s="2109">
        <v>169.94919999999999</v>
      </c>
      <c r="BZ28" s="2109">
        <v>175.957311</v>
      </c>
      <c r="CA28" s="2109">
        <v>170.69220000000001</v>
      </c>
      <c r="CB28" s="2109">
        <v>170.69220000000001</v>
      </c>
      <c r="CC28" s="2109">
        <v>170.7242</v>
      </c>
      <c r="CD28" s="3015">
        <v>170.75620000000001</v>
      </c>
      <c r="CE28" s="832">
        <f t="shared" si="82"/>
        <v>2049.0744</v>
      </c>
      <c r="CF28" s="2830">
        <v>170.75620000000001</v>
      </c>
      <c r="CG28" s="2831">
        <v>170.75620000000001</v>
      </c>
      <c r="CH28" s="2831">
        <v>170.75620000000001</v>
      </c>
      <c r="CI28" s="2831">
        <v>170.75620000000001</v>
      </c>
      <c r="CJ28" s="2831">
        <v>170.75620000000001</v>
      </c>
      <c r="CK28" s="2831">
        <v>170.75620000000001</v>
      </c>
      <c r="CL28" s="2831">
        <v>170.75620000000001</v>
      </c>
      <c r="CM28" s="2831">
        <v>170.75620000000001</v>
      </c>
      <c r="CN28" s="2831">
        <v>170.75620000000001</v>
      </c>
      <c r="CO28" s="2831">
        <v>170.75620000000001</v>
      </c>
      <c r="CP28" s="2831">
        <v>170.75620000000001</v>
      </c>
      <c r="CQ28" s="2832">
        <v>170.75620000000001</v>
      </c>
      <c r="CS28" s="313"/>
    </row>
    <row r="29" spans="2:97">
      <c r="B29" s="3332"/>
      <c r="C29" s="3333"/>
      <c r="D29" s="70" t="s">
        <v>132</v>
      </c>
      <c r="E29" s="288">
        <f t="shared" si="84"/>
        <v>594.24929999999995</v>
      </c>
      <c r="F29" s="585">
        <v>31.952300000000001</v>
      </c>
      <c r="G29" s="597">
        <v>43.272599999999997</v>
      </c>
      <c r="H29" s="597">
        <v>43.431800000000003</v>
      </c>
      <c r="I29" s="597">
        <v>43.829099999999997</v>
      </c>
      <c r="J29" s="597">
        <v>46.497199999999999</v>
      </c>
      <c r="K29" s="597">
        <v>54.247599999999998</v>
      </c>
      <c r="L29" s="597">
        <v>54.793700000000001</v>
      </c>
      <c r="M29" s="597">
        <v>54.547699999999999</v>
      </c>
      <c r="N29" s="597">
        <v>54.782699999999998</v>
      </c>
      <c r="O29" s="597">
        <v>55.280200000000001</v>
      </c>
      <c r="P29" s="597">
        <v>55.864400000000003</v>
      </c>
      <c r="Q29" s="597">
        <v>55.75</v>
      </c>
      <c r="R29" s="288">
        <f t="shared" si="85"/>
        <v>698.09799999999996</v>
      </c>
      <c r="S29" s="597">
        <v>56.381900000000002</v>
      </c>
      <c r="T29" s="597">
        <v>57.025700000000001</v>
      </c>
      <c r="U29" s="597">
        <v>56.985500000000002</v>
      </c>
      <c r="V29" s="597">
        <v>59.080300000000001</v>
      </c>
      <c r="W29" s="597">
        <v>57.234900000000003</v>
      </c>
      <c r="X29" s="597">
        <v>57.563899999999997</v>
      </c>
      <c r="Y29" s="597">
        <v>57.946100000000001</v>
      </c>
      <c r="Z29" s="597">
        <v>58.463500000000003</v>
      </c>
      <c r="AA29" s="597">
        <v>58.396700000000003</v>
      </c>
      <c r="AB29" s="597">
        <v>60.441899999999997</v>
      </c>
      <c r="AC29" s="597">
        <v>59.198300000000003</v>
      </c>
      <c r="AD29" s="672">
        <v>59.379300000000001</v>
      </c>
      <c r="AE29" s="845">
        <f t="shared" si="86"/>
        <v>731.98659999999995</v>
      </c>
      <c r="AF29" s="597">
        <v>59.6875</v>
      </c>
      <c r="AG29" s="597">
        <v>59.731499999999997</v>
      </c>
      <c r="AH29" s="597">
        <v>28.298999999999999</v>
      </c>
      <c r="AI29" s="597">
        <v>59.664400000000001</v>
      </c>
      <c r="AJ29" s="597">
        <v>92.0184</v>
      </c>
      <c r="AK29" s="597">
        <v>60.702800000000003</v>
      </c>
      <c r="AL29" s="597">
        <v>61.006799999999998</v>
      </c>
      <c r="AM29" s="597">
        <v>62.252000000000002</v>
      </c>
      <c r="AN29" s="597">
        <v>62.003999999999998</v>
      </c>
      <c r="AO29" s="597">
        <v>62.066000000000003</v>
      </c>
      <c r="AP29" s="597">
        <v>62.096600000000002</v>
      </c>
      <c r="AQ29" s="672">
        <v>62.457599999999999</v>
      </c>
      <c r="AR29" s="845">
        <f t="shared" si="87"/>
        <v>759.45025199999998</v>
      </c>
      <c r="AS29" s="597">
        <v>61.999299999999998</v>
      </c>
      <c r="AT29" s="597">
        <v>62.0655</v>
      </c>
      <c r="AU29" s="597">
        <v>62.344200000000001</v>
      </c>
      <c r="AV29" s="597">
        <v>62.366199999999999</v>
      </c>
      <c r="AW29" s="597">
        <v>62.777700000000003</v>
      </c>
      <c r="AX29" s="597">
        <v>62.849699999999999</v>
      </c>
      <c r="AY29" s="597">
        <v>63.346699999999998</v>
      </c>
      <c r="AZ29" s="429">
        <v>65.814099999999996</v>
      </c>
      <c r="BA29" s="429">
        <v>63.428600000000003</v>
      </c>
      <c r="BB29" s="429">
        <v>63.623100000000001</v>
      </c>
      <c r="BC29" s="429">
        <v>64.450252000000006</v>
      </c>
      <c r="BD29" s="1600">
        <v>64.384900000000002</v>
      </c>
      <c r="BE29" s="832">
        <f t="shared" si="88"/>
        <v>907.08213999999998</v>
      </c>
      <c r="BF29" s="2097">
        <v>64.451700000000002</v>
      </c>
      <c r="BG29" s="2109">
        <v>65.297700000000006</v>
      </c>
      <c r="BH29" s="2109">
        <v>64.546700000000001</v>
      </c>
      <c r="BI29" s="2109">
        <v>64.374600000000001</v>
      </c>
      <c r="BJ29" s="2109">
        <v>70.645820000000001</v>
      </c>
      <c r="BK29" s="2109">
        <v>67.326899999999995</v>
      </c>
      <c r="BL29" s="2109">
        <v>93.994739999999993</v>
      </c>
      <c r="BM29" s="2109">
        <v>84.429379999999995</v>
      </c>
      <c r="BN29" s="2109">
        <v>82.9983</v>
      </c>
      <c r="BO29" s="2109">
        <v>82.960499999999996</v>
      </c>
      <c r="BP29" s="2109">
        <v>83.0381</v>
      </c>
      <c r="BQ29" s="2110">
        <v>83.017700000000005</v>
      </c>
      <c r="BR29" s="832">
        <f t="shared" si="80"/>
        <v>966.76443000000006</v>
      </c>
      <c r="BS29" s="2111">
        <v>83.423400000000001</v>
      </c>
      <c r="BT29" s="2109">
        <v>83.324200000000005</v>
      </c>
      <c r="BU29" s="2109">
        <v>83.264799999999994</v>
      </c>
      <c r="BV29" s="2109">
        <v>80.746799999999993</v>
      </c>
      <c r="BW29" s="2109">
        <v>80.532499999999999</v>
      </c>
      <c r="BX29" s="2109">
        <v>80.230900000000005</v>
      </c>
      <c r="BY29" s="2109">
        <v>80.375020000000006</v>
      </c>
      <c r="BZ29" s="2109">
        <v>77.781779999999998</v>
      </c>
      <c r="CA29" s="2109">
        <v>78.419070000000005</v>
      </c>
      <c r="CB29" s="2109">
        <v>78.432310000000001</v>
      </c>
      <c r="CC29" s="2109">
        <v>79.647549999999995</v>
      </c>
      <c r="CD29" s="3015">
        <v>80.586100000000002</v>
      </c>
      <c r="CE29" s="832">
        <f t="shared" si="82"/>
        <v>1000.9294107974388</v>
      </c>
      <c r="CF29" s="2830">
        <f>(CF36*CF6)/1000000*$CF$38</f>
        <v>81.173919906351259</v>
      </c>
      <c r="CG29" s="2831">
        <f t="shared" ref="CG29:CQ29" si="89">(CG36*CG6)/1000000*$CF$38</f>
        <v>81.173919906351259</v>
      </c>
      <c r="CH29" s="2831">
        <f t="shared" si="89"/>
        <v>81.173919906351259</v>
      </c>
      <c r="CI29" s="2831">
        <f t="shared" si="89"/>
        <v>81.497321977691314</v>
      </c>
      <c r="CJ29" s="2831">
        <f t="shared" si="89"/>
        <v>82.144126120371396</v>
      </c>
      <c r="CK29" s="2831">
        <f t="shared" si="89"/>
        <v>82.790930263051493</v>
      </c>
      <c r="CL29" s="2831">
        <f t="shared" si="89"/>
        <v>83.437734405731575</v>
      </c>
      <c r="CM29" s="2831">
        <f t="shared" si="89"/>
        <v>84.084538548411658</v>
      </c>
      <c r="CN29" s="2831">
        <f t="shared" si="89"/>
        <v>84.731342691091768</v>
      </c>
      <c r="CO29" s="2831">
        <f t="shared" si="89"/>
        <v>85.378146833771851</v>
      </c>
      <c r="CP29" s="2831">
        <f t="shared" si="89"/>
        <v>86.024950976451933</v>
      </c>
      <c r="CQ29" s="2832">
        <f t="shared" si="89"/>
        <v>87.318559261812098</v>
      </c>
      <c r="CS29" s="313"/>
    </row>
    <row r="30" spans="2:97">
      <c r="B30" s="3332"/>
      <c r="C30" s="3333"/>
      <c r="D30" s="70" t="s">
        <v>133</v>
      </c>
      <c r="E30" s="288">
        <f t="shared" si="84"/>
        <v>0</v>
      </c>
      <c r="F30" s="585"/>
      <c r="G30" s="597"/>
      <c r="H30" s="597"/>
      <c r="I30" s="597"/>
      <c r="J30" s="597"/>
      <c r="K30" s="597"/>
      <c r="L30" s="597"/>
      <c r="M30" s="597"/>
      <c r="N30" s="597"/>
      <c r="O30" s="597"/>
      <c r="P30" s="597"/>
      <c r="Q30" s="672"/>
      <c r="R30" s="288">
        <f t="shared" si="85"/>
        <v>0</v>
      </c>
      <c r="S30" s="585"/>
      <c r="T30" s="597"/>
      <c r="U30" s="597"/>
      <c r="V30" s="597"/>
      <c r="W30" s="597"/>
      <c r="X30" s="597"/>
      <c r="Y30" s="597"/>
      <c r="Z30" s="597"/>
      <c r="AA30" s="597"/>
      <c r="AB30" s="597"/>
      <c r="AC30" s="597"/>
      <c r="AD30" s="672"/>
      <c r="AE30" s="845">
        <f t="shared" si="86"/>
        <v>0</v>
      </c>
      <c r="AF30" s="597"/>
      <c r="AG30" s="597"/>
      <c r="AH30" s="597"/>
      <c r="AI30" s="597"/>
      <c r="AJ30" s="597"/>
      <c r="AK30" s="597"/>
      <c r="AL30" s="597"/>
      <c r="AM30" s="597"/>
      <c r="AN30" s="597"/>
      <c r="AO30" s="597"/>
      <c r="AP30" s="597"/>
      <c r="AQ30" s="672"/>
      <c r="AR30" s="845">
        <f t="shared" si="87"/>
        <v>0</v>
      </c>
      <c r="AS30" s="597"/>
      <c r="AT30" s="597"/>
      <c r="AU30" s="597"/>
      <c r="AV30" s="597"/>
      <c r="AW30" s="597"/>
      <c r="AX30" s="597"/>
      <c r="AY30" s="597"/>
      <c r="AZ30" s="429"/>
      <c r="BA30" s="429"/>
      <c r="BB30" s="429"/>
      <c r="BC30" s="429"/>
      <c r="BD30" s="1600"/>
      <c r="BE30" s="832">
        <f t="shared" si="88"/>
        <v>0</v>
      </c>
      <c r="BF30" s="2097">
        <v>0</v>
      </c>
      <c r="BG30" s="2109">
        <v>0</v>
      </c>
      <c r="BH30" s="2109">
        <v>0</v>
      </c>
      <c r="BI30" s="2109">
        <v>0</v>
      </c>
      <c r="BJ30" s="2109">
        <v>0</v>
      </c>
      <c r="BK30" s="2109">
        <v>0</v>
      </c>
      <c r="BL30" s="2109">
        <v>0</v>
      </c>
      <c r="BM30" s="2109">
        <v>0</v>
      </c>
      <c r="BN30" s="2109"/>
      <c r="BO30" s="2109">
        <v>0</v>
      </c>
      <c r="BP30" s="2109">
        <v>0</v>
      </c>
      <c r="BQ30" s="2110">
        <v>0</v>
      </c>
      <c r="BR30" s="832">
        <f t="shared" si="80"/>
        <v>0</v>
      </c>
      <c r="BS30" s="2111">
        <v>0</v>
      </c>
      <c r="BT30" s="2109">
        <v>0</v>
      </c>
      <c r="BU30" s="2109">
        <v>0</v>
      </c>
      <c r="BV30" s="2109">
        <v>0</v>
      </c>
      <c r="BW30" s="2109">
        <v>0</v>
      </c>
      <c r="BX30" s="2109">
        <v>0</v>
      </c>
      <c r="BY30" s="2109">
        <v>0</v>
      </c>
      <c r="BZ30" s="2109">
        <v>0</v>
      </c>
      <c r="CA30" s="2109">
        <v>0</v>
      </c>
      <c r="CB30" s="2109">
        <v>0</v>
      </c>
      <c r="CC30" s="2109">
        <v>0</v>
      </c>
      <c r="CD30" s="3015">
        <v>0</v>
      </c>
      <c r="CE30" s="832">
        <f t="shared" si="82"/>
        <v>0</v>
      </c>
      <c r="CF30" s="2830">
        <v>0</v>
      </c>
      <c r="CG30" s="2831">
        <v>0</v>
      </c>
      <c r="CH30" s="2831">
        <v>0</v>
      </c>
      <c r="CI30" s="2831">
        <v>0</v>
      </c>
      <c r="CJ30" s="2831">
        <v>0</v>
      </c>
      <c r="CK30" s="2831">
        <v>0</v>
      </c>
      <c r="CL30" s="2831">
        <v>0</v>
      </c>
      <c r="CM30" s="2831">
        <v>0</v>
      </c>
      <c r="CN30" s="2831">
        <v>0</v>
      </c>
      <c r="CO30" s="2831">
        <v>0</v>
      </c>
      <c r="CP30" s="2831">
        <v>0</v>
      </c>
      <c r="CQ30" s="2832">
        <v>0</v>
      </c>
    </row>
    <row r="31" spans="2:97">
      <c r="B31" s="3334"/>
      <c r="C31" s="3335"/>
      <c r="D31" s="71" t="s">
        <v>134</v>
      </c>
      <c r="E31" s="771">
        <f t="shared" si="84"/>
        <v>-6272.1904320000003</v>
      </c>
      <c r="F31" s="585"/>
      <c r="G31" s="597"/>
      <c r="H31" s="597">
        <v>-1681.0941069999999</v>
      </c>
      <c r="I31" s="597"/>
      <c r="J31" s="597"/>
      <c r="K31" s="479">
        <v>-1587.197934</v>
      </c>
      <c r="L31" s="597"/>
      <c r="M31" s="597"/>
      <c r="N31" s="479">
        <v>-1538.0950270000001</v>
      </c>
      <c r="O31" s="597"/>
      <c r="P31" s="597"/>
      <c r="Q31" s="2191">
        <v>-1465.8033640000001</v>
      </c>
      <c r="R31" s="771">
        <f t="shared" si="85"/>
        <v>-5457.0444790000001</v>
      </c>
      <c r="S31" s="585"/>
      <c r="T31" s="597"/>
      <c r="U31" s="597">
        <v>-1445.9805550000001</v>
      </c>
      <c r="V31" s="597"/>
      <c r="W31" s="597"/>
      <c r="X31" s="597">
        <v>-1406.525095</v>
      </c>
      <c r="Y31" s="597"/>
      <c r="Z31" s="597"/>
      <c r="AA31" s="597">
        <v>-1350.3911069999999</v>
      </c>
      <c r="AB31" s="597"/>
      <c r="AC31" s="597"/>
      <c r="AD31" s="672">
        <v>-1254.1477219999999</v>
      </c>
      <c r="AE31" s="850">
        <f t="shared" si="86"/>
        <v>-4931.890456000001</v>
      </c>
      <c r="AF31" s="597"/>
      <c r="AG31" s="597"/>
      <c r="AH31" s="597">
        <v>-1226.060696</v>
      </c>
      <c r="AI31" s="597"/>
      <c r="AJ31" s="597"/>
      <c r="AK31" s="597">
        <v>-1204.3509630000001</v>
      </c>
      <c r="AL31" s="597"/>
      <c r="AM31" s="597"/>
      <c r="AN31" s="597">
        <v>-1269.4755210000001</v>
      </c>
      <c r="AO31" s="597"/>
      <c r="AP31" s="597"/>
      <c r="AQ31" s="672">
        <v>-1232.0032759999999</v>
      </c>
      <c r="AR31" s="850">
        <f t="shared" si="87"/>
        <v>-6099.8707709999999</v>
      </c>
      <c r="AS31" s="597"/>
      <c r="AT31" s="597"/>
      <c r="AU31" s="597">
        <v>-1644.3542239999999</v>
      </c>
      <c r="AV31" s="597"/>
      <c r="AW31" s="597"/>
      <c r="AX31" s="597">
        <v>-1435.986525</v>
      </c>
      <c r="AY31" s="429"/>
      <c r="AZ31" s="429"/>
      <c r="BA31" s="429">
        <v>-1617.3173119999999</v>
      </c>
      <c r="BB31" s="429"/>
      <c r="BC31" s="429"/>
      <c r="BD31" s="1600">
        <v>-1402.21271</v>
      </c>
      <c r="BE31" s="839">
        <f t="shared" si="88"/>
        <v>-6156.7389069999999</v>
      </c>
      <c r="BF31" s="2111"/>
      <c r="BG31" s="2109">
        <v>3.2000000000000002E-3</v>
      </c>
      <c r="BH31" s="2109">
        <v>-1458.735934</v>
      </c>
      <c r="BI31" s="2109">
        <v>0</v>
      </c>
      <c r="BJ31" s="2109">
        <v>0</v>
      </c>
      <c r="BK31" s="2109">
        <f>-1514393542/1000000</f>
        <v>-1514.393542</v>
      </c>
      <c r="BL31" s="2109">
        <v>0</v>
      </c>
      <c r="BM31" s="2109">
        <v>0</v>
      </c>
      <c r="BN31" s="2109">
        <v>-1587.437717</v>
      </c>
      <c r="BO31" s="2109">
        <v>0</v>
      </c>
      <c r="BP31" s="2109">
        <v>0</v>
      </c>
      <c r="BQ31" s="2110">
        <v>-1596.1749139999999</v>
      </c>
      <c r="BR31" s="839">
        <f t="shared" si="80"/>
        <v>-6279.9323599999998</v>
      </c>
      <c r="BS31" s="2111"/>
      <c r="BT31" s="2109"/>
      <c r="BU31" s="2109">
        <v>-1535.3120779999999</v>
      </c>
      <c r="BV31" s="2109"/>
      <c r="BW31" s="2109"/>
      <c r="BX31" s="2109">
        <v>-1555.4480900000001</v>
      </c>
      <c r="BY31" s="2109"/>
      <c r="BZ31" s="2109"/>
      <c r="CA31" s="2109">
        <v>-1631.6864800000001</v>
      </c>
      <c r="CB31" s="2109"/>
      <c r="CC31" s="2109"/>
      <c r="CD31" s="3015">
        <v>-1557.4857119999999</v>
      </c>
      <c r="CE31" s="839">
        <f t="shared" si="82"/>
        <v>-6511.1345756462124</v>
      </c>
      <c r="CF31" s="2830"/>
      <c r="CG31" s="2831"/>
      <c r="CH31" s="2831">
        <f>-(SUM(CF26:CH26)+SUM(CF28:CH28))/CD42</f>
        <v>-1624.9348134341903</v>
      </c>
      <c r="CI31" s="2831"/>
      <c r="CJ31" s="2831"/>
      <c r="CK31" s="2831">
        <f>-(SUM(CI26:CK26)+SUM(CI28:CK28))/CH42</f>
        <v>-1630.6324743889159</v>
      </c>
      <c r="CL31" s="2831"/>
      <c r="CM31" s="2831"/>
      <c r="CN31" s="2831">
        <f>-(SUM(CL26:CN26)+SUM(CL28:CN28))/CK42</f>
        <v>-1624.9348134341903</v>
      </c>
      <c r="CO31" s="2831"/>
      <c r="CP31" s="2831"/>
      <c r="CQ31" s="2832">
        <f>-(SUM(CO26:CQ26)+SUM(CO28:CQ28))/CN42</f>
        <v>-1630.6324743889159</v>
      </c>
    </row>
    <row r="32" spans="2:97">
      <c r="B32" s="3330" t="s">
        <v>127</v>
      </c>
      <c r="C32" s="3337"/>
      <c r="D32" s="72" t="s">
        <v>128</v>
      </c>
      <c r="E32" s="392">
        <f>SUM(F32:Q32)</f>
        <v>829.58480899999995</v>
      </c>
      <c r="F32" s="440">
        <v>82.546761000000004</v>
      </c>
      <c r="G32" s="440">
        <v>78.921929000000006</v>
      </c>
      <c r="H32" s="440">
        <v>75.731808999999998</v>
      </c>
      <c r="I32" s="440">
        <v>61.297843</v>
      </c>
      <c r="J32" s="440">
        <v>57.403174999999997</v>
      </c>
      <c r="K32" s="440">
        <v>56.650342999999999</v>
      </c>
      <c r="L32" s="440">
        <v>70.491185000000002</v>
      </c>
      <c r="M32" s="440">
        <v>74.646315000000001</v>
      </c>
      <c r="N32" s="440">
        <v>75.302107000000007</v>
      </c>
      <c r="O32" s="440">
        <v>67.801533000000006</v>
      </c>
      <c r="P32" s="440">
        <v>57.977417000000003</v>
      </c>
      <c r="Q32" s="440">
        <v>70.814391999999998</v>
      </c>
      <c r="R32" s="392">
        <f>SUM(S32:AD32)</f>
        <v>736.33306899999991</v>
      </c>
      <c r="S32" s="440">
        <v>76.387293999999997</v>
      </c>
      <c r="T32" s="440">
        <v>83.757786999999993</v>
      </c>
      <c r="U32" s="440">
        <v>65.701190999999994</v>
      </c>
      <c r="V32" s="440">
        <v>49.271670999999998</v>
      </c>
      <c r="W32" s="440">
        <v>43.451366</v>
      </c>
      <c r="X32" s="440">
        <v>48.680199000000002</v>
      </c>
      <c r="Y32" s="440">
        <v>67.712889000000004</v>
      </c>
      <c r="Z32" s="440">
        <v>77.768382000000003</v>
      </c>
      <c r="AA32" s="440">
        <v>63.541164999999999</v>
      </c>
      <c r="AB32" s="440">
        <v>51.070228</v>
      </c>
      <c r="AC32" s="440">
        <v>49.898795</v>
      </c>
      <c r="AD32" s="440">
        <v>59.092101999999997</v>
      </c>
      <c r="AE32" s="851">
        <f>SUM(AF32:AQ32)</f>
        <v>756.59926900000005</v>
      </c>
      <c r="AF32" s="2193">
        <v>70.683578999999995</v>
      </c>
      <c r="AG32" s="2193">
        <v>78.835668999999996</v>
      </c>
      <c r="AH32" s="2193">
        <v>68.131388000000001</v>
      </c>
      <c r="AI32" s="2193">
        <v>49.622594999999997</v>
      </c>
      <c r="AJ32" s="2193">
        <v>48.566465000000001</v>
      </c>
      <c r="AK32" s="2193">
        <v>49.610357</v>
      </c>
      <c r="AL32" s="2193">
        <v>65.668081999999998</v>
      </c>
      <c r="AM32" s="2193">
        <v>75.972790000000003</v>
      </c>
      <c r="AN32" s="2193">
        <v>71.354615999999993</v>
      </c>
      <c r="AO32" s="2193">
        <v>58.100856999999998</v>
      </c>
      <c r="AP32" s="2193">
        <v>57.085495999999999</v>
      </c>
      <c r="AQ32" s="2193">
        <v>62.967374999999997</v>
      </c>
      <c r="AR32" s="851">
        <f>SUM(AS32:BD32)</f>
        <v>880.55462299999999</v>
      </c>
      <c r="AS32" s="2193">
        <v>85.705911999999998</v>
      </c>
      <c r="AT32" s="2193">
        <v>94.099297000000007</v>
      </c>
      <c r="AU32" s="2193">
        <v>79.2864</v>
      </c>
      <c r="AV32" s="2193">
        <v>60.344214999999998</v>
      </c>
      <c r="AW32" s="2193">
        <v>53.936982999999998</v>
      </c>
      <c r="AX32" s="2193">
        <v>62.379387999999999</v>
      </c>
      <c r="AY32" s="2193">
        <v>73.463150999999996</v>
      </c>
      <c r="AZ32" s="2193">
        <v>96.102294000000001</v>
      </c>
      <c r="BA32" s="2193">
        <v>85.668051000000006</v>
      </c>
      <c r="BB32" s="2193">
        <v>62.290697000000002</v>
      </c>
      <c r="BC32" s="2193">
        <v>57.340108000000001</v>
      </c>
      <c r="BD32" s="2194">
        <v>69.938126999999994</v>
      </c>
      <c r="BE32" s="840">
        <f>SUM(BF32:BQ32)</f>
        <v>899.429036</v>
      </c>
      <c r="BF32" s="2196">
        <v>81.363117000000003</v>
      </c>
      <c r="BG32" s="2197">
        <v>93.101247000000001</v>
      </c>
      <c r="BH32" s="2197">
        <v>74.648701000000003</v>
      </c>
      <c r="BI32" s="2197">
        <v>61.250383999999997</v>
      </c>
      <c r="BJ32" s="2197">
        <v>57.446894</v>
      </c>
      <c r="BK32" s="2197">
        <v>60.809387999999998</v>
      </c>
      <c r="BL32" s="2197">
        <v>78.512664999999998</v>
      </c>
      <c r="BM32" s="2197">
        <v>98.437309999999997</v>
      </c>
      <c r="BN32" s="2197">
        <v>92.335248000000007</v>
      </c>
      <c r="BO32" s="2197">
        <v>73.169117</v>
      </c>
      <c r="BP32" s="2197">
        <v>56.033701999999998</v>
      </c>
      <c r="BQ32" s="2198">
        <v>72.321263000000002</v>
      </c>
      <c r="BR32" s="840">
        <f t="shared" si="80"/>
        <v>826.61157500000002</v>
      </c>
      <c r="BS32" s="2095">
        <v>82.053048000000004</v>
      </c>
      <c r="BT32" s="323">
        <v>88.010605999999996</v>
      </c>
      <c r="BU32" s="323">
        <v>82.276914000000005</v>
      </c>
      <c r="BV32" s="323">
        <v>58.118792999999997</v>
      </c>
      <c r="BW32" s="323">
        <v>53.026054999999999</v>
      </c>
      <c r="BX32" s="323">
        <v>57.015318999999998</v>
      </c>
      <c r="BY32" s="323">
        <v>72.172118999999995</v>
      </c>
      <c r="BZ32" s="323">
        <v>83.281160999999997</v>
      </c>
      <c r="CA32" s="323">
        <v>78.448391999999998</v>
      </c>
      <c r="CB32" s="323">
        <v>62.359115000000003</v>
      </c>
      <c r="CC32" s="323">
        <v>52.352583000000003</v>
      </c>
      <c r="CD32" s="431">
        <v>57.49747</v>
      </c>
      <c r="CE32" s="840">
        <f t="shared" si="82"/>
        <v>896.0188111286385</v>
      </c>
      <c r="CF32" s="2061">
        <f t="shared" ref="CF32" si="90">CF27*CF33</f>
        <v>69.026893977386635</v>
      </c>
      <c r="CG32" s="2062">
        <f t="shared" ref="CG32" si="91">CG27*CG33</f>
        <v>74.696502317386532</v>
      </c>
      <c r="CH32" s="2062">
        <f t="shared" ref="CH32" si="92">CH27*CH33</f>
        <v>74.696502317386532</v>
      </c>
      <c r="CI32" s="2062">
        <f t="shared" ref="CI32" si="93">CI27*CI33</f>
        <v>74.696502317386532</v>
      </c>
      <c r="CJ32" s="2062">
        <f t="shared" ref="CJ32" si="94">CJ27*CJ33</f>
        <v>74.696502317386532</v>
      </c>
      <c r="CK32" s="2062">
        <f t="shared" ref="CK32" si="95">CK27*CK33</f>
        <v>74.696502317386532</v>
      </c>
      <c r="CL32" s="2062">
        <f t="shared" ref="CL32" si="96">CL27*CL33</f>
        <v>74.696502317386532</v>
      </c>
      <c r="CM32" s="2062">
        <f t="shared" ref="CM32" si="97">CM27*CM33</f>
        <v>74.696502317386532</v>
      </c>
      <c r="CN32" s="2062">
        <f t="shared" ref="CN32" si="98">CN27*CN33</f>
        <v>74.696502317386532</v>
      </c>
      <c r="CO32" s="2062">
        <f>(CO27*CO33)+3</f>
        <v>77.696502317386532</v>
      </c>
      <c r="CP32" s="2062">
        <f>(CP27*CP33)+3</f>
        <v>77.696502317386532</v>
      </c>
      <c r="CQ32" s="498">
        <f>(CQ27*CQ33)+5</f>
        <v>74.026893977386635</v>
      </c>
    </row>
    <row r="33" spans="2:96">
      <c r="B33" s="3338"/>
      <c r="C33" s="3339"/>
      <c r="D33" s="74" t="s">
        <v>135</v>
      </c>
      <c r="E33" s="93">
        <f t="shared" ref="E33:K33" si="99">E32/E27</f>
        <v>0.30192284507851952</v>
      </c>
      <c r="F33" s="352">
        <f t="shared" si="99"/>
        <v>0.36318820088943643</v>
      </c>
      <c r="G33" s="352">
        <f t="shared" si="99"/>
        <v>0.3341416665663603</v>
      </c>
      <c r="H33" s="352">
        <f t="shared" si="99"/>
        <v>0.31901636977832848</v>
      </c>
      <c r="I33" s="352">
        <f t="shared" si="99"/>
        <v>0.27379317981487955</v>
      </c>
      <c r="J33" s="352">
        <f t="shared" si="99"/>
        <v>0.2839970853813758</v>
      </c>
      <c r="K33" s="352">
        <f t="shared" si="99"/>
        <v>0.25066342663103802</v>
      </c>
      <c r="L33" s="642">
        <v>0.29602773779888686</v>
      </c>
      <c r="M33" s="642">
        <v>0.30640204684865308</v>
      </c>
      <c r="N33" s="352">
        <f t="shared" ref="N33:Q33" si="100">N32/N27</f>
        <v>0.31035613024777031</v>
      </c>
      <c r="O33" s="352">
        <f t="shared" si="100"/>
        <v>0.30072640283876473</v>
      </c>
      <c r="P33" s="352">
        <f t="shared" si="100"/>
        <v>0.26853131204635533</v>
      </c>
      <c r="Q33" s="352">
        <f t="shared" si="100"/>
        <v>0.30916550229626827</v>
      </c>
      <c r="R33" s="93">
        <f t="shared" ref="R33" si="101">R32/R27</f>
        <v>0.27479224914807404</v>
      </c>
      <c r="S33" s="2192">
        <f t="shared" ref="S33:AM33" si="102">S32/S27</f>
        <v>0.31261820386552369</v>
      </c>
      <c r="T33" s="2192">
        <f t="shared" si="102"/>
        <v>0.33848897946177997</v>
      </c>
      <c r="U33" s="2192">
        <f t="shared" si="102"/>
        <v>0.28902701764145822</v>
      </c>
      <c r="V33" s="2192">
        <f t="shared" si="102"/>
        <v>0.24712042744536025</v>
      </c>
      <c r="W33" s="2192">
        <f t="shared" si="102"/>
        <v>0.23477240184970199</v>
      </c>
      <c r="X33" s="2192">
        <f t="shared" si="102"/>
        <v>0.23583847351391193</v>
      </c>
      <c r="Y33" s="2192">
        <f t="shared" si="102"/>
        <v>0.31720201979219614</v>
      </c>
      <c r="Z33" s="2192">
        <f t="shared" si="102"/>
        <v>0.35237731359527419</v>
      </c>
      <c r="AA33" s="2192">
        <f t="shared" si="102"/>
        <v>0.27842601220722751</v>
      </c>
      <c r="AB33" s="2192">
        <f t="shared" si="102"/>
        <v>0.23780724464545994</v>
      </c>
      <c r="AC33" s="2192">
        <f t="shared" si="102"/>
        <v>0.24414915209746851</v>
      </c>
      <c r="AD33" s="2192">
        <f t="shared" si="102"/>
        <v>0.20511107509868098</v>
      </c>
      <c r="AE33" s="852">
        <f t="shared" ref="AE33" si="103">AE32/AE27</f>
        <v>0.27906560789023566</v>
      </c>
      <c r="AF33" s="2192">
        <f t="shared" si="102"/>
        <v>0.29260312536391136</v>
      </c>
      <c r="AG33" s="2192">
        <f t="shared" si="102"/>
        <v>0.32122199838171656</v>
      </c>
      <c r="AH33" s="2192">
        <f t="shared" si="102"/>
        <v>0.28585890072260117</v>
      </c>
      <c r="AI33" s="2192">
        <f t="shared" si="102"/>
        <v>0.22111767347391867</v>
      </c>
      <c r="AJ33" s="2192">
        <f t="shared" si="102"/>
        <v>0.21948520821653175</v>
      </c>
      <c r="AK33" s="2192">
        <f t="shared" si="102"/>
        <v>0.22318046975754324</v>
      </c>
      <c r="AL33" s="2192">
        <f t="shared" si="102"/>
        <v>0.29192561206968376</v>
      </c>
      <c r="AM33" s="2192">
        <f t="shared" si="102"/>
        <v>0.32507525042390661</v>
      </c>
      <c r="AN33" s="2192">
        <f>AM33</f>
        <v>0.32507525042390661</v>
      </c>
      <c r="AO33" s="2192">
        <f>AN33</f>
        <v>0.32507525042390661</v>
      </c>
      <c r="AP33" s="2192">
        <f t="shared" ref="AP33:AQ33" si="104">AO33</f>
        <v>0.32507525042390661</v>
      </c>
      <c r="AQ33" s="2192">
        <f t="shared" si="104"/>
        <v>0.32507525042390661</v>
      </c>
      <c r="AR33" s="852">
        <f t="shared" ref="AR33:BD33" si="105">AR32/AR27</f>
        <v>0.28874170749884348</v>
      </c>
      <c r="AS33" s="2192">
        <f t="shared" si="105"/>
        <v>0.32467937736503805</v>
      </c>
      <c r="AT33" s="2192">
        <f t="shared" si="105"/>
        <v>0.33015411607527245</v>
      </c>
      <c r="AU33" s="2192">
        <f t="shared" si="105"/>
        <v>0.3040507810945241</v>
      </c>
      <c r="AV33" s="2192">
        <f t="shared" si="105"/>
        <v>0.2501947757150349</v>
      </c>
      <c r="AW33" s="2192">
        <f t="shared" si="105"/>
        <v>0.22728525903962435</v>
      </c>
      <c r="AX33" s="2192">
        <f t="shared" si="105"/>
        <v>0.25492129822302745</v>
      </c>
      <c r="AY33" s="2192">
        <f t="shared" si="105"/>
        <v>0.30327673818118889</v>
      </c>
      <c r="AZ33" s="2192">
        <f t="shared" si="105"/>
        <v>0.3398668373396394</v>
      </c>
      <c r="BA33" s="2192">
        <f t="shared" si="105"/>
        <v>0.34398943586697672</v>
      </c>
      <c r="BB33" s="2192">
        <f t="shared" si="105"/>
        <v>0.24640914607982628</v>
      </c>
      <c r="BC33" s="2192">
        <f t="shared" si="105"/>
        <v>0.244835012532997</v>
      </c>
      <c r="BD33" s="2195">
        <f t="shared" si="105"/>
        <v>0.27357764176328914</v>
      </c>
      <c r="BE33" s="841">
        <f t="shared" ref="BE33:CD33" si="106">BE32/BE27</f>
        <v>0.27399054823623337</v>
      </c>
      <c r="BF33" s="2199">
        <f t="shared" si="106"/>
        <v>0.30274399119269013</v>
      </c>
      <c r="BG33" s="2200">
        <f t="shared" si="106"/>
        <v>0.32797791441102231</v>
      </c>
      <c r="BH33" s="2200">
        <f t="shared" si="106"/>
        <v>0.28510279219180268</v>
      </c>
      <c r="BI33" s="2200">
        <f t="shared" si="106"/>
        <v>0.24416334375062498</v>
      </c>
      <c r="BJ33" s="2200">
        <f t="shared" si="106"/>
        <v>0.23614661614782395</v>
      </c>
      <c r="BK33" s="2200">
        <f t="shared" si="106"/>
        <v>0.24054889561925355</v>
      </c>
      <c r="BL33" s="2200">
        <f t="shared" si="106"/>
        <v>0.25714908911310713</v>
      </c>
      <c r="BM33" s="2200">
        <f t="shared" si="106"/>
        <v>0.31512564192037484</v>
      </c>
      <c r="BN33" s="2200">
        <f t="shared" si="106"/>
        <v>0.30584324005844538</v>
      </c>
      <c r="BO33" s="2200">
        <f t="shared" si="106"/>
        <v>0.26271619443851219</v>
      </c>
      <c r="BP33" s="2200">
        <f t="shared" si="106"/>
        <v>0.22521212551683428</v>
      </c>
      <c r="BQ33" s="2201">
        <f t="shared" si="106"/>
        <v>0.26354165484251246</v>
      </c>
      <c r="BR33" s="841">
        <f>BR32/BR27</f>
        <v>0.24587748977957494</v>
      </c>
      <c r="BS33" s="3016">
        <f t="shared" si="106"/>
        <v>0.28296624387769403</v>
      </c>
      <c r="BT33" s="3017">
        <f t="shared" si="106"/>
        <v>0.30349546538447009</v>
      </c>
      <c r="BU33" s="3017">
        <f t="shared" si="106"/>
        <v>0.28536944030800859</v>
      </c>
      <c r="BV33" s="3017">
        <f t="shared" si="106"/>
        <v>0.21992881045664692</v>
      </c>
      <c r="BW33" s="3017">
        <f t="shared" si="106"/>
        <v>0.20339568642714481</v>
      </c>
      <c r="BX33" s="3017">
        <f t="shared" si="106"/>
        <v>0.22583191751000145</v>
      </c>
      <c r="BY33" s="3017">
        <f t="shared" si="106"/>
        <v>0.26121418059131962</v>
      </c>
      <c r="BZ33" s="3017">
        <f t="shared" si="106"/>
        <v>0.2763733618262067</v>
      </c>
      <c r="CA33" s="3017">
        <f t="shared" si="106"/>
        <v>0.26557413580836486</v>
      </c>
      <c r="CB33" s="3017">
        <f t="shared" si="106"/>
        <v>0.22210487467317738</v>
      </c>
      <c r="CC33" s="3017">
        <f t="shared" si="106"/>
        <v>0.18770988452421022</v>
      </c>
      <c r="CD33" s="3018">
        <f t="shared" si="106"/>
        <v>0.20282695576816512</v>
      </c>
      <c r="CE33" s="841">
        <f>CE32/CE27</f>
        <v>0.26339820948097414</v>
      </c>
      <c r="CF33" s="2074">
        <v>0.243497927327328</v>
      </c>
      <c r="CG33" s="2075">
        <v>0.26349792732732763</v>
      </c>
      <c r="CH33" s="2075">
        <v>0.26349792732732763</v>
      </c>
      <c r="CI33" s="2075">
        <v>0.26349792732732763</v>
      </c>
      <c r="CJ33" s="2075">
        <v>0.26349792732732763</v>
      </c>
      <c r="CK33" s="2075">
        <v>0.26349792732732763</v>
      </c>
      <c r="CL33" s="2075">
        <v>0.26349792732732763</v>
      </c>
      <c r="CM33" s="2075">
        <v>0.26349792732732763</v>
      </c>
      <c r="CN33" s="2075">
        <v>0.26349792732732763</v>
      </c>
      <c r="CO33" s="2075">
        <v>0.26349792732732763</v>
      </c>
      <c r="CP33" s="2075">
        <v>0.26349792732732763</v>
      </c>
      <c r="CQ33" s="2833">
        <v>0.243497927327328</v>
      </c>
    </row>
    <row r="34" spans="2:96">
      <c r="B34" s="1661"/>
      <c r="C34" s="1661"/>
      <c r="D34" s="1661"/>
      <c r="E34" s="2202"/>
      <c r="F34" s="2203"/>
      <c r="G34" s="2204"/>
      <c r="H34" s="2205"/>
      <c r="I34" s="2204"/>
      <c r="J34" s="2204"/>
      <c r="K34" s="2205"/>
      <c r="L34" s="2204"/>
      <c r="M34" s="2204"/>
      <c r="N34" s="2205"/>
      <c r="O34" s="2204"/>
      <c r="P34" s="2204"/>
      <c r="Q34" s="2205"/>
      <c r="R34" s="2202"/>
      <c r="S34" s="2204"/>
      <c r="T34" s="2204"/>
      <c r="U34" s="2205"/>
      <c r="V34" s="2204"/>
      <c r="W34" s="2204"/>
      <c r="X34" s="2205"/>
      <c r="Y34" s="2204"/>
      <c r="Z34" s="2204"/>
      <c r="AA34" s="2205"/>
      <c r="AB34" s="2204"/>
      <c r="AC34" s="2204"/>
      <c r="AD34" s="2205"/>
      <c r="AE34" s="2203"/>
      <c r="AF34" s="2205"/>
      <c r="AG34" s="2205"/>
      <c r="AH34" s="2212">
        <f>감가상각비!AH50</f>
        <v>-1159.6900439999999</v>
      </c>
      <c r="AI34" s="2212"/>
      <c r="AJ34" s="2212"/>
      <c r="AK34" s="2212">
        <f>감가상각비!AK50</f>
        <v>-1116.2746649999999</v>
      </c>
      <c r="AL34" s="2212"/>
      <c r="AM34" s="2212"/>
      <c r="AN34" s="2212">
        <f>감가상각비!AN50</f>
        <v>-1309.6014230000001</v>
      </c>
      <c r="AO34" s="2212"/>
      <c r="AP34" s="2212"/>
      <c r="AQ34" s="2212">
        <f>감가상각비!AQ50</f>
        <v>-1380.9939010000001</v>
      </c>
      <c r="AR34" s="2213"/>
      <c r="AS34" s="2212"/>
      <c r="AT34" s="2212"/>
      <c r="AU34" s="2212">
        <f>감가상각비!AU61</f>
        <v>-1362.6927000000001</v>
      </c>
      <c r="AV34" s="2212"/>
      <c r="AW34" s="2212"/>
      <c r="AX34" s="2212">
        <f>감가상각비!AX61</f>
        <v>-1360.219306</v>
      </c>
      <c r="AY34" s="2212"/>
      <c r="AZ34" s="2212"/>
      <c r="BA34" s="2212">
        <f>감가상각비!BA61</f>
        <v>-1377.8815179999999</v>
      </c>
      <c r="BB34" s="2212"/>
      <c r="BC34" s="2212"/>
      <c r="BD34" s="2212">
        <f>감가상각비!BD61</f>
        <v>-1328.89903</v>
      </c>
      <c r="BE34" s="2213"/>
      <c r="BF34" s="2212"/>
      <c r="BG34" s="2212"/>
      <c r="BH34" s="2212"/>
      <c r="BI34" s="2212"/>
      <c r="BJ34" s="2212"/>
      <c r="BK34" s="2212"/>
      <c r="BL34" s="2212"/>
      <c r="BM34" s="2212"/>
      <c r="BN34" s="2212"/>
      <c r="BO34" s="2212"/>
      <c r="BP34" s="2212"/>
      <c r="BQ34" s="2212"/>
      <c r="BR34" s="2213"/>
      <c r="BS34" s="2214"/>
      <c r="BT34" s="2214"/>
      <c r="BU34" s="2214"/>
      <c r="BV34" s="2214"/>
      <c r="BW34" s="2214"/>
      <c r="BX34" s="2214"/>
      <c r="BY34" s="2214"/>
      <c r="BZ34" s="2214"/>
      <c r="CA34" s="2214"/>
      <c r="CB34" s="2214"/>
      <c r="CC34" s="2214"/>
      <c r="CD34" s="3021"/>
      <c r="CE34" s="3022"/>
      <c r="CF34" s="3021"/>
      <c r="CG34" s="3021"/>
      <c r="CH34" s="3021"/>
      <c r="CI34" s="3021"/>
      <c r="CJ34" s="3021"/>
      <c r="CK34" s="3021"/>
      <c r="CL34" s="3021"/>
      <c r="CM34" s="3021"/>
      <c r="CN34" s="3021"/>
      <c r="CO34" s="3021"/>
      <c r="CP34" s="3021"/>
      <c r="CQ34" s="3021"/>
      <c r="CR34" s="2545"/>
    </row>
    <row r="35" spans="2:96" s="423" customFormat="1">
      <c r="B35" s="3023"/>
      <c r="C35" s="3023"/>
      <c r="D35" s="3023"/>
      <c r="E35" s="3024"/>
      <c r="F35" s="3025"/>
      <c r="G35" s="3025"/>
      <c r="H35" s="3025"/>
      <c r="I35" s="3025"/>
      <c r="J35" s="3025"/>
      <c r="K35" s="3025"/>
      <c r="L35" s="3025"/>
      <c r="M35" s="3025"/>
      <c r="N35" s="3025"/>
      <c r="O35" s="3025"/>
      <c r="P35" s="3025"/>
      <c r="Q35" s="3025"/>
      <c r="R35" s="3024"/>
      <c r="S35" s="3025"/>
      <c r="T35" s="3025"/>
      <c r="U35" s="3025"/>
      <c r="V35" s="3025"/>
      <c r="W35" s="3025"/>
      <c r="X35" s="3025"/>
      <c r="Y35" s="3025"/>
      <c r="Z35" s="3025"/>
      <c r="AA35" s="3025"/>
      <c r="AB35" s="3025"/>
      <c r="AC35" s="3025"/>
      <c r="AD35" s="3025"/>
      <c r="AE35" s="3024"/>
      <c r="AF35" s="3024"/>
      <c r="AG35" s="3024"/>
      <c r="AH35" s="3026"/>
      <c r="AI35" s="3024"/>
      <c r="AJ35" s="3024"/>
      <c r="AK35" s="3024"/>
      <c r="AL35" s="3024"/>
      <c r="AM35" s="3024"/>
      <c r="AN35" s="3024"/>
      <c r="AO35" s="3024"/>
      <c r="AP35" s="3024"/>
      <c r="AQ35" s="3024"/>
      <c r="AR35" s="3024"/>
      <c r="AS35" s="3024"/>
      <c r="AT35" s="3024"/>
      <c r="AU35" s="3026"/>
      <c r="AV35" s="3024"/>
      <c r="AW35" s="3024"/>
      <c r="AX35" s="3024"/>
      <c r="AY35" s="3024"/>
      <c r="AZ35" s="3024"/>
      <c r="BA35" s="3024"/>
      <c r="BB35" s="3024"/>
      <c r="BC35" s="3024"/>
      <c r="BD35" s="3024"/>
      <c r="BE35" s="3027"/>
      <c r="BF35" s="3024"/>
      <c r="BG35" s="3024"/>
      <c r="BH35" s="3026"/>
      <c r="BI35" s="3024"/>
      <c r="BJ35" s="3024"/>
      <c r="BK35" s="3024"/>
      <c r="BL35" s="3024"/>
      <c r="BM35" s="3024"/>
      <c r="BN35" s="3024"/>
      <c r="BO35" s="3024"/>
      <c r="BP35" s="3024"/>
      <c r="BQ35" s="3024"/>
      <c r="BR35" s="3028" t="s">
        <v>727</v>
      </c>
      <c r="BS35" s="3029">
        <f t="shared" ref="BS35:BX35" si="107">(BS27*1000000)/BS6</f>
        <v>1066083.4080882352</v>
      </c>
      <c r="BT35" s="3029">
        <f t="shared" si="107"/>
        <v>1078029.2007434943</v>
      </c>
      <c r="BU35" s="3029">
        <f t="shared" si="107"/>
        <v>1117508.4728682172</v>
      </c>
      <c r="BV35" s="3029">
        <f t="shared" si="107"/>
        <v>1024270.7131782946</v>
      </c>
      <c r="BW35" s="3029">
        <f t="shared" si="107"/>
        <v>1014412.1828793774</v>
      </c>
      <c r="BX35" s="3029">
        <f t="shared" si="107"/>
        <v>1001856.9047619047</v>
      </c>
      <c r="BY35" s="3029">
        <f t="shared" ref="BY35:CC35" si="108">(BY27*1000000)/BY6</f>
        <v>1087774.7913385828</v>
      </c>
      <c r="BZ35" s="3029">
        <f t="shared" si="108"/>
        <v>1191050.2055335969</v>
      </c>
      <c r="CA35" s="3029">
        <f t="shared" si="108"/>
        <v>1167556.0750988142</v>
      </c>
      <c r="CB35" s="3029">
        <f t="shared" si="108"/>
        <v>1114143.9642857143</v>
      </c>
      <c r="CC35" s="3029">
        <f t="shared" si="108"/>
        <v>1106752.2936507936</v>
      </c>
      <c r="CD35" s="3030">
        <v>1000000</v>
      </c>
      <c r="CE35" s="3028" t="s">
        <v>727</v>
      </c>
      <c r="CF35" s="3029">
        <f>CD35*$CF$38</f>
        <v>1030000</v>
      </c>
      <c r="CG35" s="3029">
        <f>CF35</f>
        <v>1030000</v>
      </c>
      <c r="CH35" s="3029">
        <f t="shared" ref="CH35:CQ35" si="109">CG35</f>
        <v>1030000</v>
      </c>
      <c r="CI35" s="3029">
        <f t="shared" si="109"/>
        <v>1030000</v>
      </c>
      <c r="CJ35" s="3029">
        <f t="shared" si="109"/>
        <v>1030000</v>
      </c>
      <c r="CK35" s="3029">
        <f t="shared" si="109"/>
        <v>1030000</v>
      </c>
      <c r="CL35" s="3029">
        <f t="shared" si="109"/>
        <v>1030000</v>
      </c>
      <c r="CM35" s="3029">
        <f t="shared" si="109"/>
        <v>1030000</v>
      </c>
      <c r="CN35" s="3029">
        <f t="shared" si="109"/>
        <v>1030000</v>
      </c>
      <c r="CO35" s="3029">
        <f t="shared" si="109"/>
        <v>1030000</v>
      </c>
      <c r="CP35" s="3029">
        <f t="shared" si="109"/>
        <v>1030000</v>
      </c>
      <c r="CQ35" s="3029">
        <f t="shared" si="109"/>
        <v>1030000</v>
      </c>
      <c r="CR35" s="2986"/>
    </row>
    <row r="36" spans="2:96" s="423" customFormat="1">
      <c r="B36" s="3023"/>
      <c r="C36" s="3023"/>
      <c r="D36" s="3023"/>
      <c r="E36" s="3024"/>
      <c r="F36" s="3025"/>
      <c r="G36" s="3025"/>
      <c r="H36" s="3025"/>
      <c r="I36" s="3025"/>
      <c r="J36" s="3025"/>
      <c r="K36" s="3025"/>
      <c r="L36" s="3025"/>
      <c r="M36" s="3025"/>
      <c r="N36" s="3025"/>
      <c r="O36" s="3025"/>
      <c r="P36" s="3025"/>
      <c r="Q36" s="3025"/>
      <c r="R36" s="3024"/>
      <c r="S36" s="3025"/>
      <c r="T36" s="3025"/>
      <c r="U36" s="3025"/>
      <c r="V36" s="3025"/>
      <c r="W36" s="3025"/>
      <c r="X36" s="3025"/>
      <c r="Y36" s="3025"/>
      <c r="Z36" s="3025"/>
      <c r="AA36" s="3025"/>
      <c r="AB36" s="3025"/>
      <c r="AC36" s="3025"/>
      <c r="AD36" s="3025"/>
      <c r="AE36" s="3024"/>
      <c r="AF36" s="3024"/>
      <c r="AG36" s="3024"/>
      <c r="AH36" s="3026"/>
      <c r="AI36" s="3024"/>
      <c r="AJ36" s="3024"/>
      <c r="AK36" s="3024"/>
      <c r="AL36" s="3024"/>
      <c r="AM36" s="3024"/>
      <c r="AN36" s="3024"/>
      <c r="AO36" s="3024"/>
      <c r="AP36" s="3024"/>
      <c r="AQ36" s="3024"/>
      <c r="AR36" s="3024"/>
      <c r="AS36" s="3024"/>
      <c r="AT36" s="3024"/>
      <c r="AU36" s="3026"/>
      <c r="AV36" s="3024"/>
      <c r="AW36" s="3024"/>
      <c r="AX36" s="3024"/>
      <c r="AY36" s="3024"/>
      <c r="AZ36" s="3024"/>
      <c r="BA36" s="3024"/>
      <c r="BB36" s="3024"/>
      <c r="BC36" s="3024"/>
      <c r="BD36" s="3024"/>
      <c r="BE36" s="3027"/>
      <c r="BF36" s="3024"/>
      <c r="BG36" s="3024"/>
      <c r="BH36" s="3026"/>
      <c r="BI36" s="3024"/>
      <c r="BJ36" s="3024"/>
      <c r="BK36" s="3024"/>
      <c r="BL36" s="3024"/>
      <c r="BM36" s="3024"/>
      <c r="BN36" s="3024"/>
      <c r="BO36" s="3024"/>
      <c r="BP36" s="3024"/>
      <c r="BQ36" s="3024"/>
      <c r="BR36" s="3028" t="s">
        <v>728</v>
      </c>
      <c r="BS36" s="3029">
        <f>(BS29*1000000)/BS6</f>
        <v>306703.67647058825</v>
      </c>
      <c r="BT36" s="3029">
        <f t="shared" ref="BT36:BX36" si="110">(BT29*1000000)/BT6</f>
        <v>309755.39033457247</v>
      </c>
      <c r="BU36" s="3029">
        <f t="shared" si="110"/>
        <v>322731.78294573643</v>
      </c>
      <c r="BV36" s="3029">
        <f t="shared" si="110"/>
        <v>312972.09302325582</v>
      </c>
      <c r="BW36" s="3029">
        <f t="shared" si="110"/>
        <v>313356.03112840466</v>
      </c>
      <c r="BX36" s="3029">
        <f t="shared" si="110"/>
        <v>318376.58730158728</v>
      </c>
      <c r="BY36" s="3029">
        <f t="shared" ref="BY36:CC36" si="111">(BY29*1000000)/BY6</f>
        <v>316437.08661417325</v>
      </c>
      <c r="BZ36" s="3029">
        <f t="shared" si="111"/>
        <v>307437.86561264819</v>
      </c>
      <c r="CA36" s="3029">
        <f t="shared" si="111"/>
        <v>309956.79841897235</v>
      </c>
      <c r="CB36" s="3029">
        <f t="shared" si="111"/>
        <v>311239.32539682538</v>
      </c>
      <c r="CC36" s="3029">
        <f t="shared" si="111"/>
        <v>316061.70634920633</v>
      </c>
      <c r="CD36" s="3030">
        <v>313982.59353402414</v>
      </c>
      <c r="CE36" s="3028" t="s">
        <v>728</v>
      </c>
      <c r="CF36" s="3029">
        <f>CD36</f>
        <v>313982.59353402414</v>
      </c>
      <c r="CG36" s="3029">
        <f>CF36</f>
        <v>313982.59353402414</v>
      </c>
      <c r="CH36" s="3029">
        <f t="shared" ref="CH36:CQ36" si="112">CG36</f>
        <v>313982.59353402414</v>
      </c>
      <c r="CI36" s="3029">
        <f t="shared" si="112"/>
        <v>313982.59353402414</v>
      </c>
      <c r="CJ36" s="3029">
        <f t="shared" si="112"/>
        <v>313982.59353402414</v>
      </c>
      <c r="CK36" s="3029">
        <f t="shared" si="112"/>
        <v>313982.59353402414</v>
      </c>
      <c r="CL36" s="3029">
        <f t="shared" si="112"/>
        <v>313982.59353402414</v>
      </c>
      <c r="CM36" s="3029">
        <f t="shared" si="112"/>
        <v>313982.59353402414</v>
      </c>
      <c r="CN36" s="3029">
        <f t="shared" si="112"/>
        <v>313982.59353402414</v>
      </c>
      <c r="CO36" s="3029">
        <f t="shared" si="112"/>
        <v>313982.59353402414</v>
      </c>
      <c r="CP36" s="3029">
        <f t="shared" si="112"/>
        <v>313982.59353402414</v>
      </c>
      <c r="CQ36" s="3029">
        <f t="shared" si="112"/>
        <v>313982.59353402414</v>
      </c>
      <c r="CR36" s="2986"/>
    </row>
    <row r="37" spans="2:96" s="422" customFormat="1">
      <c r="B37" s="3031"/>
      <c r="C37" s="3031"/>
      <c r="D37" s="3031"/>
      <c r="E37" s="3032"/>
      <c r="F37" s="3033"/>
      <c r="G37" s="3033"/>
      <c r="H37" s="3033"/>
      <c r="I37" s="3033"/>
      <c r="J37" s="3033"/>
      <c r="K37" s="3033"/>
      <c r="L37" s="3033"/>
      <c r="M37" s="3033"/>
      <c r="N37" s="3033"/>
      <c r="O37" s="3033"/>
      <c r="P37" s="3033"/>
      <c r="Q37" s="3033"/>
      <c r="R37" s="3032"/>
      <c r="S37" s="3033"/>
      <c r="T37" s="3033"/>
      <c r="U37" s="3033"/>
      <c r="V37" s="3033"/>
      <c r="W37" s="3033"/>
      <c r="X37" s="3033"/>
      <c r="Y37" s="3033"/>
      <c r="Z37" s="3033"/>
      <c r="AA37" s="3033"/>
      <c r="AB37" s="3033"/>
      <c r="AC37" s="3033"/>
      <c r="AD37" s="3033"/>
      <c r="AE37" s="3032"/>
      <c r="AF37" s="3032"/>
      <c r="AG37" s="3032"/>
      <c r="AH37" s="3034"/>
      <c r="AI37" s="3032"/>
      <c r="AJ37" s="3032"/>
      <c r="AK37" s="3032"/>
      <c r="AL37" s="3032"/>
      <c r="AM37" s="3032"/>
      <c r="AN37" s="3032"/>
      <c r="AO37" s="3032"/>
      <c r="AP37" s="3032"/>
      <c r="AQ37" s="3032"/>
      <c r="AR37" s="3032"/>
      <c r="AS37" s="3032"/>
      <c r="AT37" s="3032"/>
      <c r="AU37" s="3034"/>
      <c r="AV37" s="3032"/>
      <c r="AW37" s="3032"/>
      <c r="AX37" s="3032"/>
      <c r="AY37" s="3032"/>
      <c r="AZ37" s="3032"/>
      <c r="BA37" s="3032"/>
      <c r="BB37" s="3032"/>
      <c r="BC37" s="3032"/>
      <c r="BD37" s="3032"/>
      <c r="BE37" s="3027"/>
      <c r="BF37" s="3032"/>
      <c r="BG37" s="3032"/>
      <c r="BH37" s="3034"/>
      <c r="BI37" s="3032"/>
      <c r="BJ37" s="3032"/>
      <c r="BK37" s="3032"/>
      <c r="BL37" s="3032"/>
      <c r="BM37" s="3032"/>
      <c r="BN37" s="3032"/>
      <c r="BO37" s="3032"/>
      <c r="BP37" s="3032"/>
      <c r="BQ37" s="3032"/>
      <c r="BR37" s="3028"/>
      <c r="BS37" s="3029"/>
      <c r="BT37" s="3029"/>
      <c r="BU37" s="3029"/>
      <c r="BV37" s="3029"/>
      <c r="BW37" s="3029"/>
      <c r="BX37" s="3029"/>
      <c r="BY37" s="3030"/>
      <c r="BZ37" s="3030"/>
      <c r="CA37" s="3030"/>
      <c r="CB37" s="3030"/>
      <c r="CC37" s="3030"/>
      <c r="CD37" s="3030"/>
      <c r="CE37" s="3028"/>
      <c r="CF37" s="3029"/>
      <c r="CG37" s="3029"/>
      <c r="CH37" s="3029"/>
      <c r="CI37" s="3029"/>
      <c r="CJ37" s="3029"/>
      <c r="CK37" s="3029"/>
      <c r="CL37" s="3029"/>
      <c r="CM37" s="3029"/>
      <c r="CN37" s="3029"/>
      <c r="CO37" s="3029"/>
      <c r="CP37" s="3029"/>
      <c r="CQ37" s="3029"/>
      <c r="CR37" s="3035"/>
    </row>
    <row r="38" spans="2:96" s="423" customFormat="1">
      <c r="B38" s="3023"/>
      <c r="C38" s="3023"/>
      <c r="D38" s="3023"/>
      <c r="E38" s="3024"/>
      <c r="F38" s="3025"/>
      <c r="G38" s="3025"/>
      <c r="H38" s="3025"/>
      <c r="I38" s="3025"/>
      <c r="J38" s="3025"/>
      <c r="K38" s="3025"/>
      <c r="L38" s="3025"/>
      <c r="M38" s="3025"/>
      <c r="N38" s="3025"/>
      <c r="O38" s="3025"/>
      <c r="P38" s="3025"/>
      <c r="Q38" s="3025"/>
      <c r="R38" s="3024"/>
      <c r="S38" s="3025"/>
      <c r="T38" s="3025"/>
      <c r="U38" s="3025"/>
      <c r="V38" s="3025"/>
      <c r="W38" s="3025"/>
      <c r="X38" s="3025"/>
      <c r="Y38" s="3025"/>
      <c r="Z38" s="3025"/>
      <c r="AA38" s="3025"/>
      <c r="AB38" s="3025"/>
      <c r="AC38" s="3025"/>
      <c r="AD38" s="3025"/>
      <c r="AE38" s="3024"/>
      <c r="AF38" s="3024"/>
      <c r="AG38" s="3024"/>
      <c r="AH38" s="3026"/>
      <c r="AI38" s="3024"/>
      <c r="AJ38" s="3024"/>
      <c r="AK38" s="3024"/>
      <c r="AL38" s="3024"/>
      <c r="AM38" s="3024"/>
      <c r="AN38" s="3024"/>
      <c r="AO38" s="3024"/>
      <c r="AP38" s="3024"/>
      <c r="AQ38" s="3024"/>
      <c r="AR38" s="3024"/>
      <c r="AS38" s="3024"/>
      <c r="AT38" s="3024"/>
      <c r="AU38" s="3026"/>
      <c r="AV38" s="3024"/>
      <c r="AW38" s="3024"/>
      <c r="AX38" s="3024"/>
      <c r="AY38" s="3024"/>
      <c r="AZ38" s="3024"/>
      <c r="BA38" s="3024"/>
      <c r="BB38" s="3024"/>
      <c r="BC38" s="3024"/>
      <c r="BD38" s="3024"/>
      <c r="BE38" s="3024"/>
      <c r="BF38" s="3024"/>
      <c r="BG38" s="3024"/>
      <c r="BH38" s="3026"/>
      <c r="BI38" s="3024"/>
      <c r="BJ38" s="3024"/>
      <c r="BK38" s="3024"/>
      <c r="BL38" s="3024"/>
      <c r="BM38" s="3024"/>
      <c r="BN38" s="3024"/>
      <c r="BO38" s="3024"/>
      <c r="BP38" s="3024"/>
      <c r="BQ38" s="3024"/>
      <c r="BR38" s="3028"/>
      <c r="BS38" s="3029"/>
      <c r="BT38" s="3029"/>
      <c r="BU38" s="3029"/>
      <c r="BV38" s="3029"/>
      <c r="BW38" s="3029"/>
      <c r="BX38" s="3029"/>
      <c r="BY38" s="3030"/>
      <c r="BZ38" s="3030"/>
      <c r="CA38" s="3030"/>
      <c r="CB38" s="3030"/>
      <c r="CC38" s="3030"/>
      <c r="CD38" s="3030"/>
      <c r="CE38" s="3028"/>
      <c r="CF38" s="3036">
        <v>1.03</v>
      </c>
      <c r="CG38" s="3029"/>
      <c r="CH38" s="3029"/>
      <c r="CI38" s="3029"/>
      <c r="CJ38" s="3029"/>
      <c r="CK38" s="3029"/>
      <c r="CL38" s="3030"/>
      <c r="CM38" s="3030"/>
      <c r="CN38" s="3030"/>
      <c r="CO38" s="3030"/>
      <c r="CP38" s="3030"/>
      <c r="CQ38" s="3030"/>
      <c r="CR38" s="2986"/>
    </row>
    <row r="39" spans="2:96" s="423" customFormat="1">
      <c r="B39" s="3023"/>
      <c r="C39" s="3023"/>
      <c r="D39" s="3023"/>
      <c r="E39" s="3037"/>
      <c r="F39" s="2207"/>
      <c r="G39" s="3038"/>
      <c r="H39" s="3039"/>
      <c r="I39" s="3039"/>
      <c r="J39" s="3039"/>
      <c r="K39" s="3039"/>
      <c r="L39" s="3039"/>
      <c r="M39" s="3039"/>
      <c r="N39" s="3039"/>
      <c r="O39" s="3039"/>
      <c r="P39" s="3039"/>
      <c r="Q39" s="3039"/>
      <c r="R39" s="3037"/>
      <c r="S39" s="2207"/>
      <c r="T39" s="3038"/>
      <c r="U39" s="3039"/>
      <c r="V39" s="3039"/>
      <c r="W39" s="3039"/>
      <c r="X39" s="3039"/>
      <c r="Y39" s="3039"/>
      <c r="Z39" s="3039"/>
      <c r="AA39" s="3039"/>
      <c r="AB39" s="3039"/>
      <c r="AC39" s="3039"/>
      <c r="AD39" s="3039"/>
      <c r="AE39" s="3040"/>
      <c r="AF39" s="2209"/>
      <c r="AG39" s="3040" t="s">
        <v>470</v>
      </c>
      <c r="AH39" s="3040">
        <f>SUM(AF26:AH26)</f>
        <v>1161.695565</v>
      </c>
      <c r="AI39" s="3040"/>
      <c r="AJ39" s="3040"/>
      <c r="AK39" s="3040">
        <f>SUM(AI26:AK26)</f>
        <v>1149.138774</v>
      </c>
      <c r="AL39" s="3040"/>
      <c r="AM39" s="3040"/>
      <c r="AN39" s="3040">
        <f>SUM(AL26:AN26)</f>
        <v>1122.8645079999999</v>
      </c>
      <c r="AO39" s="3040"/>
      <c r="AP39" s="3040"/>
      <c r="AQ39" s="3040">
        <f>SUM(AO26:AQ26)</f>
        <v>1075.59456</v>
      </c>
      <c r="AR39" s="3040"/>
      <c r="AS39" s="2209"/>
      <c r="AT39" s="3040" t="s">
        <v>470</v>
      </c>
      <c r="AU39" s="3040">
        <f>SUM(AS26:AU26)</f>
        <v>1045.54826</v>
      </c>
      <c r="AV39" s="3040"/>
      <c r="AW39" s="3040"/>
      <c r="AX39" s="3040">
        <f>SUM(AV26:AX26)</f>
        <v>1024.054331</v>
      </c>
      <c r="AY39" s="3040"/>
      <c r="AZ39" s="3040"/>
      <c r="BA39" s="3040">
        <f>SUM(AY26:BA26)</f>
        <v>1042.0286630000001</v>
      </c>
      <c r="BB39" s="3040"/>
      <c r="BC39" s="3040"/>
      <c r="BD39" s="3040">
        <f>SUM(BB26:BD26)</f>
        <v>922.61490800000001</v>
      </c>
      <c r="BE39" s="3040"/>
      <c r="BF39" s="2209"/>
      <c r="BG39" s="3040"/>
      <c r="BH39" s="3040"/>
      <c r="BI39" s="3040"/>
      <c r="BJ39" s="3040"/>
      <c r="BK39" s="3040"/>
      <c r="BL39" s="3040"/>
      <c r="BM39" s="3040"/>
      <c r="BN39" s="3040"/>
      <c r="BO39" s="3040"/>
      <c r="BP39" s="3040"/>
      <c r="BQ39" s="3040"/>
      <c r="BR39" s="3029"/>
      <c r="BS39" s="3020"/>
      <c r="BT39" s="3029" t="s">
        <v>470</v>
      </c>
      <c r="BU39" s="3029">
        <f>SUM(BS26:BU26)</f>
        <v>984.44710900000007</v>
      </c>
      <c r="BV39" s="3029"/>
      <c r="BW39" s="3029"/>
      <c r="BX39" s="3029">
        <f>SUM(BV26:BX26)</f>
        <v>1039.3104760000001</v>
      </c>
      <c r="BY39" s="3029"/>
      <c r="BZ39" s="3029"/>
      <c r="CA39" s="3029">
        <f>SUM(BY26:CA26)</f>
        <v>1130.3945919999999</v>
      </c>
      <c r="CB39" s="3029"/>
      <c r="CC39" s="3029"/>
      <c r="CD39" s="3029">
        <v>1011.8787925</v>
      </c>
      <c r="CE39" s="3029"/>
      <c r="CF39" s="3020"/>
      <c r="CG39" s="3029" t="s">
        <v>470</v>
      </c>
      <c r="CH39" s="3029">
        <f>SUM(CF26:CH26)</f>
        <v>1115.512551</v>
      </c>
      <c r="CI39" s="3029"/>
      <c r="CJ39" s="3029"/>
      <c r="CK39" s="3029">
        <f>SUM(CI26:CK26)</f>
        <v>1115.512551</v>
      </c>
      <c r="CL39" s="3029"/>
      <c r="CM39" s="3029"/>
      <c r="CN39" s="3029">
        <f>SUM(CL26:CN26)</f>
        <v>1115.512551</v>
      </c>
      <c r="CO39" s="3029"/>
      <c r="CP39" s="3029"/>
      <c r="CQ39" s="3029">
        <f>SUM(CO26:CQ26)</f>
        <v>1115.512551</v>
      </c>
      <c r="CR39" s="2986"/>
    </row>
    <row r="40" spans="2:96" s="423" customFormat="1">
      <c r="B40" s="3023"/>
      <c r="C40" s="3023"/>
      <c r="D40" s="3023"/>
      <c r="E40" s="2974"/>
      <c r="F40" s="2974"/>
      <c r="G40" s="2974"/>
      <c r="H40" s="2974"/>
      <c r="I40" s="3032"/>
      <c r="J40" s="3032"/>
      <c r="K40" s="3032"/>
      <c r="L40" s="3032"/>
      <c r="M40" s="3032"/>
      <c r="N40" s="3032"/>
      <c r="O40" s="3032"/>
      <c r="P40" s="3032"/>
      <c r="Q40" s="3032"/>
      <c r="R40" s="2974"/>
      <c r="S40" s="2974"/>
      <c r="T40" s="2974"/>
      <c r="U40" s="2974"/>
      <c r="V40" s="3032"/>
      <c r="W40" s="3032"/>
      <c r="X40" s="3032"/>
      <c r="Y40" s="3032"/>
      <c r="Z40" s="3032"/>
      <c r="AA40" s="3032"/>
      <c r="AB40" s="3032"/>
      <c r="AC40" s="3032"/>
      <c r="AD40" s="3032"/>
      <c r="AE40" s="3040"/>
      <c r="AF40" s="3040"/>
      <c r="AG40" s="3040" t="s">
        <v>471</v>
      </c>
      <c r="AH40" s="3040">
        <f>SUM(AF28:AH28)</f>
        <v>357.80655100000001</v>
      </c>
      <c r="AI40" s="3040"/>
      <c r="AJ40" s="3040"/>
      <c r="AK40" s="3040">
        <f>SUM(AI28:AK28)</f>
        <v>354.43734699999999</v>
      </c>
      <c r="AL40" s="3040"/>
      <c r="AM40" s="3040"/>
      <c r="AN40" s="3040">
        <f>SUM(AL28:AN28)</f>
        <v>612.93861599999991</v>
      </c>
      <c r="AO40" s="3040"/>
      <c r="AP40" s="3040"/>
      <c r="AQ40" s="3040">
        <f>SUM(AO28:AQ28)</f>
        <v>957.93479600000001</v>
      </c>
      <c r="AR40" s="3040"/>
      <c r="AS40" s="3040"/>
      <c r="AT40" s="3040" t="s">
        <v>471</v>
      </c>
      <c r="AU40" s="3040">
        <f>SUM(AS28:AU28)</f>
        <v>957.56486000000007</v>
      </c>
      <c r="AV40" s="3040"/>
      <c r="AW40" s="3040"/>
      <c r="AX40" s="3040">
        <f>SUM(AV28:AX28)</f>
        <v>958.59485700000005</v>
      </c>
      <c r="AY40" s="3040"/>
      <c r="AZ40" s="3040"/>
      <c r="BA40" s="3040">
        <f>SUM(AY28:BA28)</f>
        <v>965.18172600000003</v>
      </c>
      <c r="BB40" s="3040"/>
      <c r="BC40" s="3040"/>
      <c r="BD40" s="3040">
        <f>SUM(BB28:BD28)</f>
        <v>917.55409800000007</v>
      </c>
      <c r="BE40" s="3040"/>
      <c r="BF40" s="3040"/>
      <c r="BG40" s="3040"/>
      <c r="BH40" s="3040"/>
      <c r="BI40" s="3040"/>
      <c r="BJ40" s="3040"/>
      <c r="BK40" s="3040"/>
      <c r="BL40" s="3040"/>
      <c r="BM40" s="3040"/>
      <c r="BN40" s="3040"/>
      <c r="BO40" s="3040"/>
      <c r="BP40" s="3040"/>
      <c r="BQ40" s="3040"/>
      <c r="BR40" s="3029"/>
      <c r="BS40" s="3029"/>
      <c r="BT40" s="3029" t="s">
        <v>471</v>
      </c>
      <c r="BU40" s="3029">
        <f>SUM(BS28:BU28)</f>
        <v>523.41479000000004</v>
      </c>
      <c r="BV40" s="3029"/>
      <c r="BW40" s="3029"/>
      <c r="BX40" s="3029">
        <f>SUM(BV28:BX28)</f>
        <v>513.41775799999994</v>
      </c>
      <c r="BY40" s="3029"/>
      <c r="BZ40" s="3029"/>
      <c r="CA40" s="3029">
        <f>SUM(BY28:CA28)</f>
        <v>516.59871100000009</v>
      </c>
      <c r="CB40" s="3029"/>
      <c r="CC40" s="3029"/>
      <c r="CD40" s="3029">
        <v>516.05506127272724</v>
      </c>
      <c r="CE40" s="3029"/>
      <c r="CF40" s="3029"/>
      <c r="CG40" s="3029" t="s">
        <v>471</v>
      </c>
      <c r="CH40" s="3029">
        <f>SUM(CF28:CH28)</f>
        <v>512.26859999999999</v>
      </c>
      <c r="CI40" s="3029"/>
      <c r="CJ40" s="3029"/>
      <c r="CK40" s="3029">
        <f>SUM(CI28:CK28)</f>
        <v>512.26859999999999</v>
      </c>
      <c r="CL40" s="3029"/>
      <c r="CM40" s="3029"/>
      <c r="CN40" s="3029">
        <f>SUM(CL28:CN28)</f>
        <v>512.26859999999999</v>
      </c>
      <c r="CO40" s="3029"/>
      <c r="CP40" s="3029"/>
      <c r="CQ40" s="3029">
        <f>SUM(CO28:CQ28)</f>
        <v>512.26859999999999</v>
      </c>
      <c r="CR40" s="2986"/>
    </row>
    <row r="41" spans="2:96" s="423" customFormat="1">
      <c r="B41" s="3023"/>
      <c r="C41" s="3023"/>
      <c r="D41" s="3023"/>
      <c r="E41" s="2974"/>
      <c r="F41" s="2974"/>
      <c r="G41" s="3032"/>
      <c r="H41" s="2974"/>
      <c r="I41" s="3032"/>
      <c r="J41" s="3032"/>
      <c r="K41" s="3032"/>
      <c r="L41" s="3032"/>
      <c r="M41" s="3032"/>
      <c r="N41" s="3032"/>
      <c r="O41" s="3032"/>
      <c r="P41" s="3032"/>
      <c r="Q41" s="3032"/>
      <c r="R41" s="2974"/>
      <c r="S41" s="2974"/>
      <c r="T41" s="3032"/>
      <c r="U41" s="2974"/>
      <c r="V41" s="3032"/>
      <c r="W41" s="3032"/>
      <c r="X41" s="3032"/>
      <c r="Y41" s="3032"/>
      <c r="Z41" s="3032"/>
      <c r="AA41" s="3032"/>
      <c r="AB41" s="3032"/>
      <c r="AC41" s="3032"/>
      <c r="AD41" s="3032"/>
      <c r="AE41" s="3040"/>
      <c r="AF41" s="3040"/>
      <c r="AG41" s="3040" t="s">
        <v>472</v>
      </c>
      <c r="AH41" s="3040">
        <f>SUM(AH39:AH40)</f>
        <v>1519.5021160000001</v>
      </c>
      <c r="AI41" s="3040"/>
      <c r="AJ41" s="3040"/>
      <c r="AK41" s="3040">
        <f>SUM(AK39:AK40)</f>
        <v>1503.5761210000001</v>
      </c>
      <c r="AL41" s="3040"/>
      <c r="AM41" s="3040"/>
      <c r="AN41" s="3040">
        <f>SUM(AN39:AN40)</f>
        <v>1735.8031239999998</v>
      </c>
      <c r="AO41" s="3040"/>
      <c r="AP41" s="3040"/>
      <c r="AQ41" s="3040">
        <f>SUM(AQ39:AQ40)</f>
        <v>2033.529356</v>
      </c>
      <c r="AR41" s="3040"/>
      <c r="AS41" s="3040"/>
      <c r="AT41" s="3040" t="s">
        <v>472</v>
      </c>
      <c r="AU41" s="3040">
        <f>SUM(AU39:AU40)</f>
        <v>2003.11312</v>
      </c>
      <c r="AV41" s="3040"/>
      <c r="AW41" s="3040"/>
      <c r="AX41" s="3040">
        <f>SUM(AX39:AX40)</f>
        <v>1982.6491880000001</v>
      </c>
      <c r="AY41" s="3040"/>
      <c r="AZ41" s="3040"/>
      <c r="BA41" s="3040">
        <f>SUM(BA39:BA40)</f>
        <v>2007.2103890000001</v>
      </c>
      <c r="BB41" s="3040"/>
      <c r="BC41" s="3040"/>
      <c r="BD41" s="3040">
        <f>SUM(BD39:BD40)</f>
        <v>1840.1690060000001</v>
      </c>
      <c r="BE41" s="3040"/>
      <c r="BF41" s="3040"/>
      <c r="BG41" s="3040"/>
      <c r="BH41" s="3040"/>
      <c r="BI41" s="3040"/>
      <c r="BJ41" s="3040"/>
      <c r="BK41" s="3040"/>
      <c r="BL41" s="3040"/>
      <c r="BM41" s="3040"/>
      <c r="BN41" s="3040"/>
      <c r="BO41" s="3040"/>
      <c r="BP41" s="3040"/>
      <c r="BQ41" s="3040"/>
      <c r="BR41" s="3029"/>
      <c r="BS41" s="3029"/>
      <c r="BT41" s="3029" t="s">
        <v>472</v>
      </c>
      <c r="BU41" s="3029">
        <f>SUM(BU39:BU40)</f>
        <v>1507.861899</v>
      </c>
      <c r="BV41" s="3029"/>
      <c r="BW41" s="3029"/>
      <c r="BX41" s="3029">
        <f>SUM(BX39:BX40)</f>
        <v>1552.7282340000002</v>
      </c>
      <c r="BY41" s="3029"/>
      <c r="BZ41" s="3029"/>
      <c r="CA41" s="3029">
        <f>SUM(CA39:CA40)</f>
        <v>1646.993303</v>
      </c>
      <c r="CB41" s="3029"/>
      <c r="CC41" s="3029"/>
      <c r="CD41" s="3029">
        <f>SUM(CD39:CD40)</f>
        <v>1527.9338537727272</v>
      </c>
      <c r="CE41" s="3029"/>
      <c r="CF41" s="3029"/>
      <c r="CG41" s="3029" t="s">
        <v>472</v>
      </c>
      <c r="CH41" s="3029">
        <f>SUM(CH39:CH40)</f>
        <v>1627.7811510000001</v>
      </c>
      <c r="CI41" s="3029"/>
      <c r="CJ41" s="3029"/>
      <c r="CK41" s="3029">
        <f>SUM(CK39:CK40)</f>
        <v>1627.7811510000001</v>
      </c>
      <c r="CL41" s="3029"/>
      <c r="CM41" s="3029"/>
      <c r="CN41" s="3029">
        <f>SUM(CN39:CN40)</f>
        <v>1627.7811510000001</v>
      </c>
      <c r="CO41" s="3029"/>
      <c r="CP41" s="3029"/>
      <c r="CQ41" s="3029">
        <f>SUM(CQ39:CQ40)</f>
        <v>1627.7811510000001</v>
      </c>
      <c r="CR41" s="2986"/>
    </row>
    <row r="42" spans="2:96" s="423" customFormat="1">
      <c r="B42" s="3023"/>
      <c r="C42" s="3023"/>
      <c r="D42" s="3023"/>
      <c r="E42" s="2967"/>
      <c r="F42" s="2967"/>
      <c r="G42" s="3024"/>
      <c r="H42" s="3024"/>
      <c r="I42" s="2967"/>
      <c r="J42" s="2967"/>
      <c r="K42" s="2967"/>
      <c r="L42" s="2967"/>
      <c r="M42" s="2967"/>
      <c r="N42" s="2967"/>
      <c r="O42" s="2967"/>
      <c r="P42" s="2967"/>
      <c r="Q42" s="2967"/>
      <c r="R42" s="2967"/>
      <c r="S42" s="2967"/>
      <c r="T42" s="3024"/>
      <c r="U42" s="3024"/>
      <c r="V42" s="2967"/>
      <c r="W42" s="2967"/>
      <c r="X42" s="2967"/>
      <c r="Y42" s="2967"/>
      <c r="Z42" s="2967"/>
      <c r="AA42" s="2967"/>
      <c r="AB42" s="2967"/>
      <c r="AC42" s="2967"/>
      <c r="AD42" s="2967"/>
      <c r="AE42" s="2967"/>
      <c r="AF42" s="2967"/>
      <c r="AG42" s="3024"/>
      <c r="AH42" s="3041">
        <f>AH31*-1/AH41</f>
        <v>0.80688317777900342</v>
      </c>
      <c r="AI42" s="3042"/>
      <c r="AJ42" s="3042"/>
      <c r="AK42" s="3041">
        <f>AK31*-1/AK41</f>
        <v>0.80099101480742396</v>
      </c>
      <c r="AL42" s="3042"/>
      <c r="AM42" s="3042"/>
      <c r="AN42" s="3041">
        <f>AN31*-1/AN41</f>
        <v>0.73134764158887422</v>
      </c>
      <c r="AO42" s="3042"/>
      <c r="AP42" s="3042"/>
      <c r="AQ42" s="3041">
        <f>AQ31*-1/AQ41</f>
        <v>0.60584484426788865</v>
      </c>
      <c r="AR42" s="2967"/>
      <c r="AS42" s="2967"/>
      <c r="AT42" s="3024"/>
      <c r="AU42" s="3041">
        <f>AU31*-1/AU41</f>
        <v>0.82089933293432771</v>
      </c>
      <c r="AV42" s="3042"/>
      <c r="AW42" s="3042"/>
      <c r="AX42" s="3041">
        <f>AX31*-1/AX41</f>
        <v>0.72427665655191031</v>
      </c>
      <c r="AY42" s="3042"/>
      <c r="AZ42" s="3042"/>
      <c r="BA42" s="3041">
        <f>BA31*-1/BA41</f>
        <v>0.80575375698695617</v>
      </c>
      <c r="BB42" s="3042"/>
      <c r="BC42" s="3042"/>
      <c r="BD42" s="3041">
        <f>BD31*-1/BD41</f>
        <v>0.76200213427570351</v>
      </c>
      <c r="BE42" s="2967"/>
      <c r="BF42" s="2967"/>
      <c r="BG42" s="3024"/>
      <c r="BH42" s="3041"/>
      <c r="BI42" s="3042"/>
      <c r="BJ42" s="3042"/>
      <c r="BK42" s="3041"/>
      <c r="BL42" s="3042"/>
      <c r="BM42" s="3042"/>
      <c r="BN42" s="3041"/>
      <c r="BO42" s="3042"/>
      <c r="BP42" s="3042"/>
      <c r="BQ42" s="3041"/>
      <c r="BR42" s="3043"/>
      <c r="BS42" s="3043"/>
      <c r="BT42" s="3044"/>
      <c r="BU42" s="3045">
        <f>BU31*-1/BU41</f>
        <v>1.0182047036391095</v>
      </c>
      <c r="BV42" s="3046"/>
      <c r="BW42" s="3046"/>
      <c r="BX42" s="3045">
        <f>BX31*-1/BX41</f>
        <v>1.0017516626158032</v>
      </c>
      <c r="BY42" s="3046"/>
      <c r="BZ42" s="3046"/>
      <c r="CA42" s="3045">
        <f>CA31*-1/CA41</f>
        <v>0.99070620203972992</v>
      </c>
      <c r="CB42" s="3046"/>
      <c r="CC42" s="3046"/>
      <c r="CD42" s="3045">
        <v>1.0017516626158032</v>
      </c>
      <c r="CE42" s="3043"/>
      <c r="CF42" s="3043"/>
      <c r="CG42" s="3044"/>
      <c r="CH42" s="3045">
        <f>CH31*-1/CH41</f>
        <v>0.9982514003408498</v>
      </c>
      <c r="CI42" s="3046"/>
      <c r="CJ42" s="3046"/>
      <c r="CK42" s="3045">
        <f>CK31*-1/CK41</f>
        <v>1.0017516626158032</v>
      </c>
      <c r="CL42" s="3046"/>
      <c r="CM42" s="3046"/>
      <c r="CN42" s="3045">
        <f>CN31*-1/CN41</f>
        <v>0.9982514003408498</v>
      </c>
      <c r="CO42" s="3046"/>
      <c r="CP42" s="3046"/>
      <c r="CQ42" s="3045">
        <f>CQ31*-1/CQ41</f>
        <v>1.0017516626158032</v>
      </c>
      <c r="CR42" s="2986"/>
    </row>
    <row r="43" spans="2:96" s="423" customFormat="1">
      <c r="E43" s="2967"/>
      <c r="F43" s="2967"/>
      <c r="G43" s="3032"/>
      <c r="H43" s="3032"/>
      <c r="I43" s="3032"/>
      <c r="J43" s="3032"/>
      <c r="K43" s="3032"/>
      <c r="L43" s="3032"/>
      <c r="M43" s="3032"/>
      <c r="N43" s="3032"/>
      <c r="O43" s="3032"/>
      <c r="P43" s="3032"/>
      <c r="Q43" s="3032"/>
      <c r="R43" s="2967"/>
      <c r="S43" s="2967"/>
      <c r="T43" s="3032"/>
      <c r="U43" s="3032"/>
      <c r="V43" s="3032"/>
      <c r="W43" s="3032"/>
      <c r="X43" s="3032"/>
      <c r="Y43" s="3032"/>
      <c r="Z43" s="3032"/>
      <c r="AA43" s="3032"/>
      <c r="AB43" s="3032"/>
      <c r="AC43" s="3032"/>
      <c r="AD43" s="3032"/>
      <c r="AE43" s="2967"/>
      <c r="AF43" s="2967"/>
      <c r="AG43" s="3032"/>
      <c r="AH43" s="3032"/>
      <c r="AI43" s="3032"/>
      <c r="AJ43" s="3032"/>
      <c r="AK43" s="3032"/>
      <c r="AL43" s="3032"/>
      <c r="AM43" s="3032"/>
      <c r="AN43" s="3032"/>
      <c r="AO43" s="3032"/>
      <c r="AP43" s="3032"/>
      <c r="AQ43" s="3032"/>
      <c r="AR43" s="2967"/>
      <c r="AS43" s="2967"/>
      <c r="AT43" s="3032"/>
      <c r="AU43" s="3032"/>
      <c r="AV43" s="3032"/>
      <c r="AW43" s="3032"/>
      <c r="AX43" s="3032"/>
      <c r="AY43" s="3032"/>
      <c r="AZ43" s="3032"/>
      <c r="BA43" s="3032"/>
      <c r="BB43" s="3032"/>
      <c r="BC43" s="3032"/>
      <c r="BD43" s="3032"/>
      <c r="BE43" s="2967"/>
      <c r="BF43" s="2967"/>
      <c r="BG43" s="3032"/>
      <c r="BH43" s="3032"/>
      <c r="BI43" s="3032"/>
      <c r="BJ43" s="3032"/>
      <c r="BK43" s="3032"/>
      <c r="BL43" s="3032"/>
      <c r="BM43" s="3032"/>
      <c r="BN43" s="3032"/>
      <c r="BO43" s="3032"/>
      <c r="BP43" s="3032"/>
      <c r="BQ43" s="3032"/>
      <c r="BR43" s="3043"/>
      <c r="BS43" s="3043"/>
      <c r="BT43" s="3044"/>
      <c r="BU43" s="3044"/>
      <c r="BV43" s="3044"/>
      <c r="BW43" s="3044"/>
      <c r="BX43" s="3044"/>
      <c r="BY43" s="3044"/>
      <c r="BZ43" s="3044"/>
      <c r="CA43" s="3044"/>
      <c r="CB43" s="3044"/>
      <c r="CC43" s="3044"/>
      <c r="CD43" s="3044"/>
      <c r="CE43" s="3043"/>
      <c r="CF43" s="3043"/>
      <c r="CG43" s="3044"/>
      <c r="CH43" s="3044"/>
      <c r="CI43" s="3044"/>
      <c r="CJ43" s="3044"/>
      <c r="CK43" s="3044"/>
      <c r="CL43" s="3044"/>
      <c r="CM43" s="3044"/>
      <c r="CN43" s="3044"/>
      <c r="CO43" s="3044"/>
      <c r="CP43" s="3044"/>
      <c r="CQ43" s="3044"/>
      <c r="CR43" s="2986"/>
    </row>
    <row r="44" spans="2:96" s="423" customFormat="1">
      <c r="E44" s="2967"/>
      <c r="F44" s="2967"/>
      <c r="G44" s="2967"/>
      <c r="H44" s="2967"/>
      <c r="I44" s="2967"/>
      <c r="J44" s="2967"/>
      <c r="K44" s="2967"/>
      <c r="L44" s="2967"/>
      <c r="M44" s="2967"/>
      <c r="N44" s="2967"/>
      <c r="O44" s="2967"/>
      <c r="P44" s="2967"/>
      <c r="Q44" s="2967"/>
      <c r="R44" s="2967"/>
      <c r="S44" s="2967"/>
      <c r="T44" s="2967"/>
      <c r="U44" s="2967"/>
      <c r="V44" s="2967"/>
      <c r="W44" s="2967"/>
      <c r="X44" s="2967"/>
      <c r="Y44" s="2967"/>
      <c r="Z44" s="2967"/>
      <c r="AA44" s="2967"/>
      <c r="AB44" s="2967"/>
      <c r="AC44" s="2967"/>
      <c r="AD44" s="2967"/>
      <c r="AE44" s="2967"/>
      <c r="AF44" s="2967"/>
      <c r="AG44" s="2967"/>
      <c r="AH44" s="2967"/>
      <c r="AI44" s="2967"/>
      <c r="AJ44" s="2967"/>
      <c r="AK44" s="2967"/>
      <c r="AL44" s="2967"/>
      <c r="AM44" s="2967"/>
      <c r="AN44" s="2967"/>
      <c r="AO44" s="2967"/>
      <c r="AP44" s="2967"/>
      <c r="AQ44" s="2967"/>
      <c r="AR44" s="2967"/>
      <c r="AS44" s="2967"/>
      <c r="AT44" s="2967"/>
      <c r="AU44" s="2967"/>
      <c r="AV44" s="2967"/>
      <c r="AW44" s="2967"/>
      <c r="AX44" s="2967"/>
      <c r="AY44" s="2967"/>
      <c r="AZ44" s="2967"/>
      <c r="BA44" s="2967"/>
      <c r="BB44" s="2967"/>
      <c r="BC44" s="2967"/>
      <c r="BD44" s="2967"/>
      <c r="BE44" s="2967"/>
      <c r="BF44" s="2967"/>
      <c r="BG44" s="2967"/>
      <c r="BH44" s="2967"/>
      <c r="BI44" s="2967"/>
      <c r="BJ44" s="2967"/>
      <c r="BK44" s="2967"/>
      <c r="BL44" s="2967"/>
      <c r="BM44" s="2967"/>
      <c r="BN44" s="2967"/>
      <c r="BO44" s="2967"/>
      <c r="BP44" s="2967"/>
      <c r="BQ44" s="2967"/>
      <c r="BR44" s="3047" t="s">
        <v>557</v>
      </c>
      <c r="BS44" s="3047">
        <v>158723118.18181816</v>
      </c>
      <c r="BT44" s="3047">
        <v>160863195.45454544</v>
      </c>
      <c r="BU44" s="3047">
        <v>156742586.36363634</v>
      </c>
      <c r="BV44" s="3047">
        <v>155416154.54545453</v>
      </c>
      <c r="BW44" s="3047">
        <v>156660768.18181816</v>
      </c>
      <c r="BX44" s="3047">
        <v>156282602.72727272</v>
      </c>
      <c r="BY44" s="3047">
        <v>156661000</v>
      </c>
      <c r="BZ44" s="3047">
        <v>156661000</v>
      </c>
      <c r="CA44" s="3047">
        <v>156661000</v>
      </c>
      <c r="CB44" s="3047">
        <v>156661000</v>
      </c>
      <c r="CC44" s="3047">
        <v>156661000</v>
      </c>
      <c r="CD44" s="3047">
        <v>156661000</v>
      </c>
      <c r="CE44" s="3047" t="s">
        <v>557</v>
      </c>
      <c r="CF44" s="3047">
        <v>156661000</v>
      </c>
      <c r="CG44" s="3047">
        <v>156661000</v>
      </c>
      <c r="CH44" s="3047">
        <v>156661000</v>
      </c>
      <c r="CI44" s="3047">
        <v>156661000</v>
      </c>
      <c r="CJ44" s="3047">
        <v>156661000</v>
      </c>
      <c r="CK44" s="3047">
        <v>156661000</v>
      </c>
      <c r="CL44" s="3047">
        <v>156661000</v>
      </c>
      <c r="CM44" s="3047">
        <v>155462337</v>
      </c>
      <c r="CN44" s="3047">
        <v>154263674.00000003</v>
      </c>
      <c r="CO44" s="3047">
        <v>154263674.00000003</v>
      </c>
      <c r="CP44" s="3047">
        <v>154263674.00000003</v>
      </c>
      <c r="CQ44" s="3047">
        <v>154263674.00000003</v>
      </c>
      <c r="CR44" s="2986"/>
    </row>
    <row r="45" spans="2:96" s="423" customFormat="1">
      <c r="E45" s="2967"/>
      <c r="F45" s="2967"/>
      <c r="G45" s="2967"/>
      <c r="H45" s="2967"/>
      <c r="I45" s="2967"/>
      <c r="J45" s="2967"/>
      <c r="K45" s="2967"/>
      <c r="L45" s="2967"/>
      <c r="M45" s="2967"/>
      <c r="N45" s="2967"/>
      <c r="O45" s="2967"/>
      <c r="P45" s="2967"/>
      <c r="Q45" s="2967"/>
      <c r="R45" s="2967"/>
      <c r="S45" s="2967"/>
      <c r="T45" s="2967"/>
      <c r="U45" s="2967"/>
      <c r="V45" s="2967"/>
      <c r="W45" s="2967"/>
      <c r="X45" s="2967"/>
      <c r="Y45" s="2967"/>
      <c r="Z45" s="2967"/>
      <c r="AA45" s="2967"/>
      <c r="AB45" s="2967"/>
      <c r="AC45" s="2967"/>
      <c r="AD45" s="2967"/>
      <c r="AE45" s="2967"/>
      <c r="AF45" s="2967"/>
      <c r="AG45" s="2967"/>
      <c r="AH45" s="2967"/>
      <c r="AI45" s="2967"/>
      <c r="AJ45" s="2967"/>
      <c r="AK45" s="2967"/>
      <c r="AL45" s="2967"/>
      <c r="AM45" s="2967"/>
      <c r="AN45" s="2967"/>
      <c r="AO45" s="2967"/>
      <c r="AP45" s="2967"/>
      <c r="AQ45" s="2967"/>
      <c r="AR45" s="2967"/>
      <c r="AS45" s="2967"/>
      <c r="AT45" s="2967"/>
      <c r="AU45" s="2967"/>
      <c r="AV45" s="2967"/>
      <c r="AW45" s="2967"/>
      <c r="AX45" s="2967"/>
      <c r="AY45" s="2967"/>
      <c r="AZ45" s="2967"/>
      <c r="BA45" s="2967"/>
      <c r="BB45" s="2967"/>
      <c r="BC45" s="2967"/>
      <c r="BD45" s="2967"/>
      <c r="BE45" s="2967"/>
      <c r="BF45" s="2967"/>
      <c r="BG45" s="2967"/>
      <c r="BH45" s="2967"/>
      <c r="BI45" s="2967"/>
      <c r="BJ45" s="2967"/>
      <c r="BK45" s="2967"/>
      <c r="BL45" s="2967"/>
      <c r="BM45" s="2967"/>
      <c r="BN45" s="2967"/>
      <c r="BO45" s="2967"/>
      <c r="BP45" s="2967"/>
      <c r="BQ45" s="2967"/>
      <c r="BR45" s="3043"/>
      <c r="BS45" s="3047">
        <f t="shared" ref="BS45:CD45" si="113">BS44/1000000</f>
        <v>158.72311818181817</v>
      </c>
      <c r="BT45" s="3047">
        <f t="shared" si="113"/>
        <v>160.86319545454543</v>
      </c>
      <c r="BU45" s="3047">
        <f t="shared" si="113"/>
        <v>156.74258636363635</v>
      </c>
      <c r="BV45" s="3047">
        <f t="shared" si="113"/>
        <v>155.41615454545453</v>
      </c>
      <c r="BW45" s="3047">
        <f t="shared" si="113"/>
        <v>156.66076818181816</v>
      </c>
      <c r="BX45" s="3047">
        <f t="shared" si="113"/>
        <v>156.28260272727272</v>
      </c>
      <c r="BY45" s="3047">
        <f t="shared" si="113"/>
        <v>156.661</v>
      </c>
      <c r="BZ45" s="3047">
        <f t="shared" si="113"/>
        <v>156.661</v>
      </c>
      <c r="CA45" s="3047">
        <f t="shared" si="113"/>
        <v>156.661</v>
      </c>
      <c r="CB45" s="3047">
        <f t="shared" si="113"/>
        <v>156.661</v>
      </c>
      <c r="CC45" s="3047">
        <f t="shared" si="113"/>
        <v>156.661</v>
      </c>
      <c r="CD45" s="3047">
        <f t="shared" si="113"/>
        <v>156.661</v>
      </c>
      <c r="CE45" s="3043"/>
      <c r="CF45" s="3047">
        <f t="shared" ref="CF45:CQ45" si="114">CF44/1000000</f>
        <v>156.661</v>
      </c>
      <c r="CG45" s="3047">
        <f t="shared" si="114"/>
        <v>156.661</v>
      </c>
      <c r="CH45" s="3047">
        <f t="shared" si="114"/>
        <v>156.661</v>
      </c>
      <c r="CI45" s="3047">
        <f t="shared" si="114"/>
        <v>156.661</v>
      </c>
      <c r="CJ45" s="3047">
        <f t="shared" si="114"/>
        <v>156.661</v>
      </c>
      <c r="CK45" s="3047">
        <f t="shared" si="114"/>
        <v>156.661</v>
      </c>
      <c r="CL45" s="3047">
        <f t="shared" si="114"/>
        <v>156.661</v>
      </c>
      <c r="CM45" s="3047">
        <f t="shared" si="114"/>
        <v>155.46233699999999</v>
      </c>
      <c r="CN45" s="3047">
        <f t="shared" si="114"/>
        <v>154.26367400000004</v>
      </c>
      <c r="CO45" s="3047">
        <f t="shared" si="114"/>
        <v>154.26367400000004</v>
      </c>
      <c r="CP45" s="3047">
        <f t="shared" si="114"/>
        <v>154.26367400000004</v>
      </c>
      <c r="CQ45" s="3047">
        <f t="shared" si="114"/>
        <v>154.26367400000004</v>
      </c>
      <c r="CR45" s="2986"/>
    </row>
    <row r="46" spans="2:96" s="423" customFormat="1">
      <c r="E46" s="2967"/>
      <c r="F46" s="2967"/>
      <c r="G46" s="2967"/>
      <c r="H46" s="2967"/>
      <c r="I46" s="2967"/>
      <c r="J46" s="2967"/>
      <c r="K46" s="2967"/>
      <c r="L46" s="2967"/>
      <c r="M46" s="2967"/>
      <c r="N46" s="2967"/>
      <c r="O46" s="2967"/>
      <c r="P46" s="2967"/>
      <c r="Q46" s="2967"/>
      <c r="R46" s="2967"/>
      <c r="S46" s="2967"/>
      <c r="T46" s="2967"/>
      <c r="U46" s="2967"/>
      <c r="V46" s="2967"/>
      <c r="W46" s="2967"/>
      <c r="X46" s="2967"/>
      <c r="Y46" s="2967"/>
      <c r="Z46" s="2967"/>
      <c r="AA46" s="2967"/>
      <c r="AB46" s="2967"/>
      <c r="AC46" s="2967"/>
      <c r="AD46" s="2967"/>
      <c r="AE46" s="2967"/>
      <c r="AF46" s="2967"/>
      <c r="AG46" s="2967"/>
      <c r="AH46" s="2967"/>
      <c r="AI46" s="2967"/>
      <c r="AJ46" s="2967"/>
      <c r="AK46" s="2967"/>
      <c r="AL46" s="2967"/>
      <c r="AM46" s="2967"/>
      <c r="AN46" s="2967"/>
      <c r="AO46" s="2967"/>
      <c r="AP46" s="2967"/>
      <c r="AQ46" s="2967"/>
      <c r="AR46" s="2967"/>
      <c r="AS46" s="2967"/>
      <c r="AT46" s="2967"/>
      <c r="AU46" s="2967"/>
      <c r="AV46" s="2967"/>
      <c r="AW46" s="2967"/>
      <c r="AX46" s="2967"/>
      <c r="AY46" s="2967"/>
      <c r="AZ46" s="2967"/>
      <c r="BA46" s="2967"/>
      <c r="BB46" s="2967"/>
      <c r="BC46" s="2967"/>
      <c r="BD46" s="2967"/>
      <c r="BE46" s="2967"/>
      <c r="BF46" s="2967"/>
      <c r="BG46" s="2967"/>
      <c r="BH46" s="2967"/>
      <c r="BI46" s="2967"/>
      <c r="BJ46" s="2967"/>
      <c r="BK46" s="2967"/>
      <c r="BL46" s="2967"/>
      <c r="BM46" s="2967"/>
      <c r="BN46" s="2967"/>
      <c r="BO46" s="2967"/>
      <c r="BP46" s="2967"/>
      <c r="BQ46" s="2967"/>
      <c r="BR46" s="3048" t="s">
        <v>558</v>
      </c>
      <c r="BS46" s="3047">
        <f t="shared" ref="BS46:BX46" si="115">BS28-BS45</f>
        <v>15.674023818181837</v>
      </c>
      <c r="BT46" s="3047">
        <f t="shared" si="115"/>
        <v>15.896370545454573</v>
      </c>
      <c r="BU46" s="3047">
        <f t="shared" si="115"/>
        <v>15.515495636363653</v>
      </c>
      <c r="BV46" s="3047">
        <f t="shared" si="115"/>
        <v>15.380115454545461</v>
      </c>
      <c r="BW46" s="3047">
        <f t="shared" si="115"/>
        <v>14.210037818181831</v>
      </c>
      <c r="BX46" s="3047">
        <f t="shared" si="115"/>
        <v>15.468079272727294</v>
      </c>
      <c r="BY46" s="3047">
        <f>AVERAGE(BS46:BX46)</f>
        <v>15.357353757575774</v>
      </c>
      <c r="BZ46" s="3047">
        <f>BY46</f>
        <v>15.357353757575774</v>
      </c>
      <c r="CA46" s="3047">
        <f t="shared" ref="CA46:CC46" si="116">BZ46</f>
        <v>15.357353757575774</v>
      </c>
      <c r="CB46" s="3047">
        <f t="shared" si="116"/>
        <v>15.357353757575774</v>
      </c>
      <c r="CC46" s="3047">
        <f t="shared" si="116"/>
        <v>15.357353757575774</v>
      </c>
      <c r="CD46" s="3047">
        <v>15.357353757575774</v>
      </c>
      <c r="CE46" s="3048" t="s">
        <v>558</v>
      </c>
      <c r="CF46" s="3047">
        <f>CD46</f>
        <v>15.357353757575774</v>
      </c>
      <c r="CG46" s="3047">
        <f>CF46</f>
        <v>15.357353757575774</v>
      </c>
      <c r="CH46" s="3047">
        <f t="shared" ref="CH46:CQ46" si="117">CG46</f>
        <v>15.357353757575774</v>
      </c>
      <c r="CI46" s="3047">
        <f t="shared" si="117"/>
        <v>15.357353757575774</v>
      </c>
      <c r="CJ46" s="3047">
        <f t="shared" si="117"/>
        <v>15.357353757575774</v>
      </c>
      <c r="CK46" s="3047">
        <f t="shared" si="117"/>
        <v>15.357353757575774</v>
      </c>
      <c r="CL46" s="3047">
        <f t="shared" si="117"/>
        <v>15.357353757575774</v>
      </c>
      <c r="CM46" s="3047">
        <f t="shared" si="117"/>
        <v>15.357353757575774</v>
      </c>
      <c r="CN46" s="3047">
        <f t="shared" si="117"/>
        <v>15.357353757575774</v>
      </c>
      <c r="CO46" s="3047">
        <f t="shared" si="117"/>
        <v>15.357353757575774</v>
      </c>
      <c r="CP46" s="3047">
        <f t="shared" si="117"/>
        <v>15.357353757575774</v>
      </c>
      <c r="CQ46" s="3047">
        <f t="shared" si="117"/>
        <v>15.357353757575774</v>
      </c>
      <c r="CR46" s="2986"/>
    </row>
    <row r="47" spans="2:96" s="423" customFormat="1">
      <c r="CD47" s="2986"/>
      <c r="CE47" s="2986"/>
      <c r="CF47" s="2986"/>
      <c r="CG47" s="2986"/>
      <c r="CH47" s="2986"/>
      <c r="CI47" s="2986"/>
      <c r="CJ47" s="2986"/>
      <c r="CK47" s="2986"/>
      <c r="CL47" s="2986"/>
      <c r="CM47" s="2986"/>
      <c r="CN47" s="2986"/>
      <c r="CO47" s="2986"/>
      <c r="CP47" s="2986"/>
      <c r="CQ47" s="2986"/>
      <c r="CR47" s="2986"/>
    </row>
    <row r="48" spans="2:96">
      <c r="CD48" s="2545"/>
      <c r="CE48" s="2545"/>
      <c r="CF48" s="2545"/>
      <c r="CG48" s="2545"/>
      <c r="CH48" s="2545"/>
      <c r="CI48" s="2545"/>
      <c r="CJ48" s="2545"/>
      <c r="CK48" s="2545"/>
      <c r="CL48" s="2545"/>
      <c r="CM48" s="2545"/>
      <c r="CN48" s="2545"/>
      <c r="CO48" s="2545"/>
      <c r="CP48" s="2545"/>
      <c r="CQ48" s="2545"/>
      <c r="CR48" s="2545"/>
    </row>
    <row r="49" spans="82:96">
      <c r="CD49" s="2545"/>
      <c r="CE49" s="2545"/>
      <c r="CF49" s="2545"/>
      <c r="CG49" s="2545"/>
      <c r="CH49" s="2545"/>
      <c r="CI49" s="2545"/>
      <c r="CJ49" s="2545"/>
      <c r="CK49" s="2545"/>
      <c r="CL49" s="2545"/>
      <c r="CM49" s="2545"/>
      <c r="CN49" s="2545"/>
      <c r="CO49" s="2545"/>
      <c r="CP49" s="2545"/>
      <c r="CQ49" s="2545"/>
      <c r="CR49" s="2545"/>
    </row>
  </sheetData>
  <mergeCells count="16">
    <mergeCell ref="E3:Q3"/>
    <mergeCell ref="B5:C5"/>
    <mergeCell ref="B32:C33"/>
    <mergeCell ref="B25:C31"/>
    <mergeCell ref="B22:C24"/>
    <mergeCell ref="B3:D4"/>
    <mergeCell ref="B6:C6"/>
    <mergeCell ref="B12:C12"/>
    <mergeCell ref="B18:B21"/>
    <mergeCell ref="B11:C11"/>
    <mergeCell ref="CE3:CQ3"/>
    <mergeCell ref="BE3:BQ3"/>
    <mergeCell ref="R3:AD3"/>
    <mergeCell ref="AR3:BD3"/>
    <mergeCell ref="AE3:AQ3"/>
    <mergeCell ref="BR3:CD3"/>
  </mergeCells>
  <phoneticPr fontId="4" type="noConversion"/>
  <pageMargins left="0.7" right="0.7" top="0.75" bottom="0.75" header="0.3" footer="0.3"/>
  <pageSetup paperSize="9" orientation="portrait" r:id="rId1"/>
  <ignoredErrors>
    <ignoredError sqref="AE6:BD9 BE6 AE24:BD33 E24:AD33 BE24:BE33 AE10:AR10 BE10 E11:BR11" formula="1"/>
    <ignoredError sqref="AU39:AU41 AX39:AX41 BF25:BM28 BU39:BU40 BX41:CD41 BD39:BD40 AH39:AQ40 BX39:CC40 BX42:CC42 CH39:CH40 CK39:CQ40" formulaRange="1"/>
    <ignoredError sqref="BE12 AE12:BD23 BR12:BR33 BR6:BR10" evalError="1" formula="1"/>
    <ignoredError sqref="R12:AD23 BE13:BE23 BS33:BW33 BR5" evalError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9">
    <tabColor theme="8" tint="0.39997558519241921"/>
  </sheetPr>
  <dimension ref="A1:CS52"/>
  <sheetViews>
    <sheetView showGridLines="0" zoomScale="85" zoomScaleNormal="85" workbookViewId="0">
      <pane xSplit="4" ySplit="5" topLeftCell="E6" activePane="bottomRight" state="frozen"/>
      <selection activeCell="DA43" sqref="DA43"/>
      <selection pane="topRight" activeCell="DA43" sqref="DA43"/>
      <selection pane="bottomLeft" activeCell="DA43" sqref="DA43"/>
      <selection pane="bottomRight" activeCell="B4" sqref="B4:D5"/>
    </sheetView>
  </sheetViews>
  <sheetFormatPr defaultRowHeight="17" outlineLevelCol="1"/>
  <cols>
    <col min="1" max="1" width="5.33203125" customWidth="1"/>
    <col min="2" max="3" width="6.75" style="78" customWidth="1"/>
    <col min="4" max="4" width="17.75" style="79" customWidth="1"/>
    <col min="5" max="5" width="8.75"/>
    <col min="6" max="6" width="10.25" hidden="1" customWidth="1" outlineLevel="1"/>
    <col min="7" max="8" width="9" hidden="1" customWidth="1" outlineLevel="1"/>
    <col min="9" max="9" width="9.83203125" hidden="1" customWidth="1" outlineLevel="1"/>
    <col min="10" max="10" width="8.83203125" hidden="1" customWidth="1" outlineLevel="1"/>
    <col min="11" max="16" width="9" hidden="1" customWidth="1" outlineLevel="1"/>
    <col min="17" max="17" width="9" style="423" hidden="1" customWidth="1" outlineLevel="1"/>
    <col min="18" max="18" width="9.75" bestFit="1" customWidth="1" collapsed="1"/>
    <col min="19" max="19" width="10.25" hidden="1" customWidth="1" outlineLevel="1"/>
    <col min="20" max="21" width="9" hidden="1" customWidth="1" outlineLevel="1"/>
    <col min="22" max="22" width="9.83203125" hidden="1" customWidth="1" outlineLevel="1"/>
    <col min="23" max="29" width="9" hidden="1" customWidth="1" outlineLevel="1"/>
    <col min="30" max="30" width="9" style="423" hidden="1" customWidth="1" outlineLevel="1"/>
    <col min="31" max="31" width="9.75" bestFit="1" customWidth="1" collapsed="1"/>
    <col min="32" max="32" width="10.25" hidden="1" customWidth="1" outlineLevel="1"/>
    <col min="33" max="34" width="9" hidden="1" customWidth="1" outlineLevel="1"/>
    <col min="35" max="35" width="9.83203125" hidden="1" customWidth="1" outlineLevel="1"/>
    <col min="36" max="42" width="9" hidden="1" customWidth="1" outlineLevel="1"/>
    <col min="43" max="43" width="9" style="423" hidden="1" customWidth="1" outlineLevel="1"/>
    <col min="44" max="44" width="9.75" bestFit="1" customWidth="1" collapsed="1"/>
    <col min="45" max="45" width="10.25" hidden="1" customWidth="1" outlineLevel="1"/>
    <col min="46" max="47" width="9" hidden="1" customWidth="1" outlineLevel="1"/>
    <col min="48" max="48" width="9.83203125" hidden="1" customWidth="1" outlineLevel="1"/>
    <col min="49" max="55" width="9" hidden="1" customWidth="1" outlineLevel="1"/>
    <col min="56" max="56" width="9" style="423" hidden="1" customWidth="1" outlineLevel="1"/>
    <col min="57" max="57" width="9.75" bestFit="1" customWidth="1" collapsed="1"/>
    <col min="58" max="58" width="10.25" hidden="1" customWidth="1" outlineLevel="1"/>
    <col min="59" max="60" width="9" hidden="1" customWidth="1" outlineLevel="1"/>
    <col min="61" max="61" width="9.83203125" hidden="1" customWidth="1" outlineLevel="1"/>
    <col min="62" max="62" width="9.08203125" hidden="1" customWidth="1" outlineLevel="1"/>
    <col min="63" max="68" width="9" hidden="1" customWidth="1" outlineLevel="1"/>
    <col min="69" max="69" width="9" style="423" hidden="1" customWidth="1" outlineLevel="1"/>
    <col min="70" max="70" width="9" customWidth="1" collapsed="1"/>
    <col min="71" max="82" width="8.6640625" customWidth="1" outlineLevel="1"/>
    <col min="83" max="83" width="9" customWidth="1"/>
    <col min="84" max="95" width="8.6640625" customWidth="1" outlineLevel="1"/>
  </cols>
  <sheetData>
    <row r="1" spans="2:97">
      <c r="E1" s="647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647"/>
      <c r="S1" s="313"/>
      <c r="T1" s="313"/>
      <c r="U1" s="313"/>
      <c r="V1" s="313"/>
      <c r="W1" s="313"/>
      <c r="X1" s="313"/>
      <c r="Y1" s="313"/>
      <c r="Z1" s="313"/>
      <c r="AA1" s="313"/>
      <c r="AB1" s="313"/>
      <c r="AC1" s="313"/>
      <c r="AD1" s="313"/>
      <c r="AE1" s="313"/>
      <c r="AF1" s="313"/>
      <c r="AG1" s="313"/>
      <c r="AH1" s="313"/>
      <c r="AI1" s="313"/>
      <c r="AJ1" s="313"/>
      <c r="AK1" s="313"/>
      <c r="AL1" s="313"/>
      <c r="AM1" s="313"/>
      <c r="AN1" s="313"/>
      <c r="AO1" s="313"/>
      <c r="AP1" s="313"/>
      <c r="AQ1" s="313"/>
      <c r="AR1" s="313"/>
      <c r="AS1" s="313"/>
      <c r="AT1" s="313"/>
      <c r="AU1" s="313"/>
      <c r="AV1" s="313"/>
      <c r="AW1" s="313"/>
      <c r="AX1" s="313"/>
      <c r="AY1" s="313"/>
      <c r="AZ1" s="313"/>
      <c r="BA1" s="313"/>
      <c r="BB1" s="313"/>
      <c r="BC1" s="313"/>
      <c r="BD1" s="313"/>
      <c r="BE1" s="313"/>
      <c r="BF1" s="2172">
        <v>137.56652100000002</v>
      </c>
      <c r="BG1" s="313"/>
      <c r="BH1" s="313"/>
      <c r="BI1" s="313"/>
      <c r="BJ1" s="313"/>
      <c r="BK1" s="313"/>
      <c r="BL1" s="313"/>
      <c r="BM1" s="313"/>
      <c r="BN1" s="313"/>
      <c r="BO1" s="313"/>
      <c r="BP1" s="313"/>
      <c r="BQ1" s="313"/>
      <c r="BR1" s="3007">
        <f>BR8/BR10</f>
        <v>0.74221809700818009</v>
      </c>
      <c r="BS1" s="1997"/>
      <c r="BT1" s="1997"/>
      <c r="BU1" s="1997"/>
      <c r="BV1" s="1997"/>
      <c r="BW1" s="1997"/>
      <c r="BX1" s="1997"/>
      <c r="BY1" s="1997"/>
      <c r="BZ1" s="1997"/>
      <c r="CA1" s="1997"/>
      <c r="CB1" s="1997"/>
      <c r="CC1" s="1997"/>
      <c r="CD1" s="1997"/>
      <c r="CE1" s="3007">
        <f>CE8/CE10</f>
        <v>0.63387067383699391</v>
      </c>
      <c r="CF1" s="1997"/>
      <c r="CG1" s="1997"/>
      <c r="CH1" s="1997"/>
      <c r="CI1" s="1997"/>
      <c r="CJ1" s="1997"/>
      <c r="CK1" s="1997"/>
      <c r="CL1" s="1997"/>
      <c r="CM1" s="1997"/>
      <c r="CN1" s="1997"/>
      <c r="CO1" s="1997"/>
      <c r="CP1" s="1997"/>
      <c r="CQ1" s="1997"/>
    </row>
    <row r="2" spans="2:97">
      <c r="F2" s="129"/>
      <c r="G2" s="129"/>
      <c r="H2" s="129"/>
      <c r="I2" s="129"/>
      <c r="J2" s="129"/>
      <c r="R2" s="647"/>
      <c r="S2" s="647"/>
      <c r="T2" s="129"/>
      <c r="U2" s="129"/>
      <c r="V2" s="129"/>
      <c r="W2" s="129"/>
      <c r="AE2" s="1691"/>
      <c r="AF2" s="647"/>
      <c r="AG2" s="129"/>
      <c r="AH2" s="129"/>
      <c r="AI2" s="129"/>
      <c r="AJ2" s="129"/>
      <c r="AQ2" s="785"/>
      <c r="AR2" s="1691"/>
      <c r="AS2" s="647"/>
      <c r="AT2" s="129"/>
      <c r="AU2" s="129"/>
      <c r="AV2" s="129"/>
      <c r="AW2" s="129"/>
      <c r="BD2" s="1305"/>
      <c r="BE2" s="1691"/>
      <c r="BF2" s="647"/>
      <c r="BG2" s="129"/>
      <c r="BH2" s="129"/>
      <c r="BI2" s="129"/>
      <c r="BJ2" s="129"/>
      <c r="BQ2" s="785"/>
      <c r="BR2" s="1997">
        <v>1.0209999999999999</v>
      </c>
      <c r="BS2" s="3008" t="s">
        <v>761</v>
      </c>
      <c r="BT2" s="2760"/>
      <c r="BU2" s="1997"/>
      <c r="BV2" s="1997"/>
      <c r="BW2" s="3007"/>
      <c r="BX2" s="2760"/>
      <c r="BY2" s="2760"/>
      <c r="BZ2" s="1997"/>
      <c r="CA2" s="1997"/>
      <c r="CB2" s="1997"/>
      <c r="CC2" s="1997"/>
      <c r="CD2" s="1997"/>
      <c r="CE2" s="1997">
        <v>1.0209999999999999</v>
      </c>
      <c r="CF2" s="1997"/>
      <c r="CG2" s="1997"/>
      <c r="CH2" s="1997"/>
      <c r="CI2" s="1997"/>
      <c r="CJ2" s="1997"/>
      <c r="CK2" s="1997"/>
      <c r="CL2" s="1997"/>
      <c r="CM2" s="1997"/>
      <c r="CN2" s="1997"/>
      <c r="CO2" s="1997"/>
      <c r="CP2" s="1997"/>
      <c r="CQ2" s="1997"/>
    </row>
    <row r="3" spans="2:97" ht="21">
      <c r="B3" s="29" t="s">
        <v>139</v>
      </c>
      <c r="E3" s="874"/>
      <c r="F3" s="874"/>
      <c r="G3" s="874"/>
      <c r="H3" s="874"/>
      <c r="I3" s="874"/>
      <c r="J3" s="874"/>
      <c r="K3" s="874"/>
      <c r="L3" s="874"/>
      <c r="M3" s="874"/>
      <c r="N3" s="874"/>
      <c r="O3" s="874"/>
      <c r="P3" s="874"/>
      <c r="Q3" s="874"/>
      <c r="R3" s="874"/>
      <c r="S3" s="874"/>
      <c r="T3" s="874"/>
      <c r="U3" s="874"/>
      <c r="V3" s="874"/>
      <c r="W3" s="874"/>
      <c r="X3" s="874"/>
      <c r="Y3" s="874"/>
      <c r="Z3" s="874"/>
      <c r="AA3" s="874"/>
      <c r="AB3" s="874"/>
      <c r="AC3" s="874"/>
      <c r="AD3" s="874"/>
      <c r="AE3" s="874"/>
      <c r="AF3" s="874"/>
      <c r="AG3" s="874"/>
      <c r="AH3" s="874"/>
      <c r="AI3" s="874"/>
      <c r="AJ3" s="874"/>
      <c r="AK3" s="874"/>
      <c r="AL3" s="874"/>
      <c r="AM3" s="874"/>
      <c r="AN3" s="874"/>
      <c r="AO3" s="874"/>
      <c r="AP3" s="874"/>
      <c r="AQ3" s="874"/>
      <c r="AR3" s="874"/>
      <c r="AS3" s="874"/>
      <c r="AT3" s="874"/>
      <c r="AU3" s="874"/>
      <c r="AV3" s="874"/>
      <c r="AW3" s="874"/>
      <c r="AX3" s="874"/>
      <c r="AY3" s="874"/>
      <c r="AZ3" s="874"/>
      <c r="BA3" s="874"/>
      <c r="BB3" s="874"/>
      <c r="BC3" s="874"/>
      <c r="BD3" s="874"/>
      <c r="BE3" s="874"/>
      <c r="BF3" s="874"/>
      <c r="BG3" s="874"/>
      <c r="BH3" s="874"/>
      <c r="BI3" s="874"/>
      <c r="BJ3" s="874"/>
      <c r="BK3" s="874"/>
      <c r="BL3" s="874"/>
      <c r="BM3" s="874"/>
      <c r="BN3" s="874"/>
      <c r="BO3" s="874"/>
      <c r="BP3" s="874"/>
      <c r="BQ3" s="874"/>
    </row>
    <row r="4" spans="2:97">
      <c r="B4" s="3428" t="s">
        <v>140</v>
      </c>
      <c r="C4" s="3410"/>
      <c r="D4" s="3429"/>
      <c r="E4" s="3329" t="s">
        <v>363</v>
      </c>
      <c r="F4" s="3310"/>
      <c r="G4" s="3310"/>
      <c r="H4" s="3310"/>
      <c r="I4" s="3310"/>
      <c r="J4" s="3310"/>
      <c r="K4" s="3310"/>
      <c r="L4" s="3310"/>
      <c r="M4" s="3310"/>
      <c r="N4" s="3310"/>
      <c r="O4" s="3310"/>
      <c r="P4" s="3310"/>
      <c r="Q4" s="3362"/>
      <c r="R4" s="3310" t="s">
        <v>377</v>
      </c>
      <c r="S4" s="3310"/>
      <c r="T4" s="3310"/>
      <c r="U4" s="3310"/>
      <c r="V4" s="3310"/>
      <c r="W4" s="3310"/>
      <c r="X4" s="3310"/>
      <c r="Y4" s="3310"/>
      <c r="Z4" s="3310"/>
      <c r="AA4" s="3310"/>
      <c r="AB4" s="3310"/>
      <c r="AC4" s="3310"/>
      <c r="AD4" s="3310"/>
      <c r="AE4" s="3310" t="s">
        <v>398</v>
      </c>
      <c r="AF4" s="3310"/>
      <c r="AG4" s="3310"/>
      <c r="AH4" s="3310"/>
      <c r="AI4" s="3310"/>
      <c r="AJ4" s="3310"/>
      <c r="AK4" s="3310"/>
      <c r="AL4" s="3310"/>
      <c r="AM4" s="3310"/>
      <c r="AN4" s="3310"/>
      <c r="AO4" s="3310"/>
      <c r="AP4" s="3310"/>
      <c r="AQ4" s="3310"/>
      <c r="AR4" s="3310" t="s">
        <v>428</v>
      </c>
      <c r="AS4" s="3310"/>
      <c r="AT4" s="3310"/>
      <c r="AU4" s="3310"/>
      <c r="AV4" s="3310"/>
      <c r="AW4" s="3310"/>
      <c r="AX4" s="3310"/>
      <c r="AY4" s="3310"/>
      <c r="AZ4" s="3310"/>
      <c r="BA4" s="3310"/>
      <c r="BB4" s="3310"/>
      <c r="BC4" s="3310"/>
      <c r="BD4" s="3310"/>
      <c r="BE4" s="3310" t="s">
        <v>468</v>
      </c>
      <c r="BF4" s="3310"/>
      <c r="BG4" s="3310"/>
      <c r="BH4" s="3310"/>
      <c r="BI4" s="3310"/>
      <c r="BJ4" s="3310"/>
      <c r="BK4" s="3310"/>
      <c r="BL4" s="3310"/>
      <c r="BM4" s="3310"/>
      <c r="BN4" s="3310"/>
      <c r="BO4" s="3310"/>
      <c r="BP4" s="3310"/>
      <c r="BQ4" s="3362"/>
      <c r="BR4" s="3310" t="s">
        <v>849</v>
      </c>
      <c r="BS4" s="3310"/>
      <c r="BT4" s="3310"/>
      <c r="BU4" s="3310"/>
      <c r="BV4" s="3310"/>
      <c r="BW4" s="3310"/>
      <c r="BX4" s="3310"/>
      <c r="BY4" s="3310"/>
      <c r="BZ4" s="3310"/>
      <c r="CA4" s="3310"/>
      <c r="CB4" s="3310"/>
      <c r="CC4" s="3310"/>
      <c r="CD4" s="3310"/>
      <c r="CE4" s="3258" t="s">
        <v>699</v>
      </c>
      <c r="CF4" s="3259"/>
      <c r="CG4" s="3259"/>
      <c r="CH4" s="3259"/>
      <c r="CI4" s="3259"/>
      <c r="CJ4" s="3259"/>
      <c r="CK4" s="3259"/>
      <c r="CL4" s="3259"/>
      <c r="CM4" s="3259"/>
      <c r="CN4" s="3259"/>
      <c r="CO4" s="3259"/>
      <c r="CP4" s="3259"/>
      <c r="CQ4" s="3259"/>
    </row>
    <row r="5" spans="2:97">
      <c r="B5" s="3430"/>
      <c r="C5" s="3367"/>
      <c r="D5" s="3431"/>
      <c r="E5" s="94" t="s">
        <v>1</v>
      </c>
      <c r="F5" s="92" t="s">
        <v>2</v>
      </c>
      <c r="G5" s="1" t="s">
        <v>3</v>
      </c>
      <c r="H5" s="1" t="s">
        <v>4</v>
      </c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  <c r="N5" s="1" t="s">
        <v>10</v>
      </c>
      <c r="O5" s="1" t="s">
        <v>11</v>
      </c>
      <c r="P5" s="1" t="s">
        <v>12</v>
      </c>
      <c r="Q5" s="550" t="s">
        <v>13</v>
      </c>
      <c r="R5" s="94" t="s">
        <v>1</v>
      </c>
      <c r="S5" s="92" t="s">
        <v>2</v>
      </c>
      <c r="T5" s="1" t="s">
        <v>3</v>
      </c>
      <c r="U5" s="1" t="s">
        <v>4</v>
      </c>
      <c r="V5" s="1" t="s">
        <v>5</v>
      </c>
      <c r="W5" s="1" t="s">
        <v>6</v>
      </c>
      <c r="X5" s="1" t="s">
        <v>7</v>
      </c>
      <c r="Y5" s="1" t="s">
        <v>8</v>
      </c>
      <c r="Z5" s="1" t="s">
        <v>9</v>
      </c>
      <c r="AA5" s="1" t="s">
        <v>10</v>
      </c>
      <c r="AB5" s="1" t="s">
        <v>11</v>
      </c>
      <c r="AC5" s="1" t="s">
        <v>12</v>
      </c>
      <c r="AD5" s="550" t="s">
        <v>13</v>
      </c>
      <c r="AE5" s="94" t="s">
        <v>1</v>
      </c>
      <c r="AF5" s="92" t="s">
        <v>2</v>
      </c>
      <c r="AG5" s="1" t="s">
        <v>3</v>
      </c>
      <c r="AH5" s="1" t="s">
        <v>4</v>
      </c>
      <c r="AI5" s="1" t="s">
        <v>5</v>
      </c>
      <c r="AJ5" s="1" t="s">
        <v>6</v>
      </c>
      <c r="AK5" s="1" t="s">
        <v>7</v>
      </c>
      <c r="AL5" s="1" t="s">
        <v>8</v>
      </c>
      <c r="AM5" s="1" t="s">
        <v>9</v>
      </c>
      <c r="AN5" s="1" t="s">
        <v>10</v>
      </c>
      <c r="AO5" s="1" t="s">
        <v>11</v>
      </c>
      <c r="AP5" s="1" t="s">
        <v>12</v>
      </c>
      <c r="AQ5" s="550" t="s">
        <v>13</v>
      </c>
      <c r="AR5" s="94" t="s">
        <v>1</v>
      </c>
      <c r="AS5" s="92" t="s">
        <v>2</v>
      </c>
      <c r="AT5" s="1" t="s">
        <v>3</v>
      </c>
      <c r="AU5" s="1" t="s">
        <v>4</v>
      </c>
      <c r="AV5" s="1" t="s">
        <v>5</v>
      </c>
      <c r="AW5" s="1" t="s">
        <v>6</v>
      </c>
      <c r="AX5" s="1" t="s">
        <v>7</v>
      </c>
      <c r="AY5" s="1" t="s">
        <v>8</v>
      </c>
      <c r="AZ5" s="1" t="s">
        <v>9</v>
      </c>
      <c r="BA5" s="1" t="s">
        <v>10</v>
      </c>
      <c r="BB5" s="1" t="s">
        <v>11</v>
      </c>
      <c r="BC5" s="1" t="s">
        <v>12</v>
      </c>
      <c r="BD5" s="550" t="s">
        <v>13</v>
      </c>
      <c r="BE5" s="94" t="s">
        <v>1</v>
      </c>
      <c r="BF5" s="92" t="s">
        <v>2</v>
      </c>
      <c r="BG5" s="1" t="s">
        <v>3</v>
      </c>
      <c r="BH5" s="1" t="s">
        <v>4</v>
      </c>
      <c r="BI5" s="1" t="s">
        <v>5</v>
      </c>
      <c r="BJ5" s="1" t="s">
        <v>6</v>
      </c>
      <c r="BK5" s="1" t="s">
        <v>7</v>
      </c>
      <c r="BL5" s="1" t="s">
        <v>8</v>
      </c>
      <c r="BM5" s="1" t="s">
        <v>9</v>
      </c>
      <c r="BN5" s="1" t="s">
        <v>10</v>
      </c>
      <c r="BO5" s="1" t="s">
        <v>11</v>
      </c>
      <c r="BP5" s="1" t="s">
        <v>12</v>
      </c>
      <c r="BQ5" s="1662" t="s">
        <v>13</v>
      </c>
      <c r="BR5" s="94" t="s">
        <v>1</v>
      </c>
      <c r="BS5" s="92" t="s">
        <v>2</v>
      </c>
      <c r="BT5" s="1" t="s">
        <v>3</v>
      </c>
      <c r="BU5" s="1" t="s">
        <v>4</v>
      </c>
      <c r="BV5" s="1" t="s">
        <v>5</v>
      </c>
      <c r="BW5" s="1" t="s">
        <v>6</v>
      </c>
      <c r="BX5" s="1" t="s">
        <v>7</v>
      </c>
      <c r="BY5" s="1" t="s">
        <v>851</v>
      </c>
      <c r="BZ5" s="1" t="s">
        <v>852</v>
      </c>
      <c r="CA5" s="1" t="s">
        <v>853</v>
      </c>
      <c r="CB5" s="1" t="s">
        <v>854</v>
      </c>
      <c r="CC5" s="1" t="s">
        <v>855</v>
      </c>
      <c r="CD5" s="550" t="s">
        <v>856</v>
      </c>
      <c r="CE5" s="2566" t="s">
        <v>1</v>
      </c>
      <c r="CF5" s="2567" t="s">
        <v>711</v>
      </c>
      <c r="CG5" s="1019" t="s">
        <v>709</v>
      </c>
      <c r="CH5" s="1019" t="s">
        <v>736</v>
      </c>
      <c r="CI5" s="1019" t="s">
        <v>737</v>
      </c>
      <c r="CJ5" s="1019" t="s">
        <v>738</v>
      </c>
      <c r="CK5" s="1019" t="s">
        <v>739</v>
      </c>
      <c r="CL5" s="1019" t="s">
        <v>729</v>
      </c>
      <c r="CM5" s="1019" t="s">
        <v>730</v>
      </c>
      <c r="CN5" s="1019" t="s">
        <v>731</v>
      </c>
      <c r="CO5" s="1019" t="s">
        <v>732</v>
      </c>
      <c r="CP5" s="1019" t="s">
        <v>733</v>
      </c>
      <c r="CQ5" s="1020" t="s">
        <v>734</v>
      </c>
    </row>
    <row r="6" spans="2:97" s="728" customFormat="1">
      <c r="B6" s="3330" t="s">
        <v>141</v>
      </c>
      <c r="C6" s="3331"/>
      <c r="D6" s="868" t="s">
        <v>142</v>
      </c>
      <c r="E6" s="726">
        <f t="shared" ref="E6:E19" si="0">SUM(F6:Q6)</f>
        <v>9745.7533010000006</v>
      </c>
      <c r="F6" s="727">
        <f t="shared" ref="F6:K6" si="1">SUM(F9:F19)</f>
        <v>893.43964300000005</v>
      </c>
      <c r="G6" s="727">
        <f t="shared" si="1"/>
        <v>852.07308100000012</v>
      </c>
      <c r="H6" s="727">
        <f t="shared" si="1"/>
        <v>793.05403699999999</v>
      </c>
      <c r="I6" s="727">
        <f t="shared" si="1"/>
        <v>783.99078400000008</v>
      </c>
      <c r="J6" s="727">
        <f t="shared" si="1"/>
        <v>763.37866899999995</v>
      </c>
      <c r="K6" s="727">
        <f t="shared" si="1"/>
        <v>724.4295679999999</v>
      </c>
      <c r="L6" s="727">
        <v>766.86047400000007</v>
      </c>
      <c r="M6" s="727">
        <v>749.871037</v>
      </c>
      <c r="N6" s="727">
        <f>SUM(N9:N19)</f>
        <v>730.54882199999997</v>
      </c>
      <c r="O6" s="727">
        <f>SUM(O9:O19)</f>
        <v>721.34749899999997</v>
      </c>
      <c r="P6" s="727">
        <v>716.93104900000003</v>
      </c>
      <c r="Q6" s="727">
        <f>SUM(Q9:Q19)</f>
        <v>1249.828638</v>
      </c>
      <c r="R6" s="726">
        <f t="shared" ref="R6:R19" si="2">SUM(S6:AD6)</f>
        <v>11493.815698999999</v>
      </c>
      <c r="S6" s="727">
        <f t="shared" ref="S6:AD6" si="3">SUM(S9:S19)</f>
        <v>690.32166900000004</v>
      </c>
      <c r="T6" s="727">
        <f t="shared" si="3"/>
        <v>676.95900600000004</v>
      </c>
      <c r="U6" s="727">
        <f t="shared" si="3"/>
        <v>664.19764000000009</v>
      </c>
      <c r="V6" s="727">
        <f t="shared" si="3"/>
        <v>744.92326100000002</v>
      </c>
      <c r="W6" s="727">
        <f t="shared" si="3"/>
        <v>686.56929400000001</v>
      </c>
      <c r="X6" s="727">
        <f t="shared" si="3"/>
        <v>1086.3175270000002</v>
      </c>
      <c r="Y6" s="727">
        <f t="shared" si="3"/>
        <v>1425.0370289999998</v>
      </c>
      <c r="Z6" s="727">
        <f t="shared" si="3"/>
        <v>759.03317799999991</v>
      </c>
      <c r="AA6" s="727">
        <f t="shared" si="3"/>
        <v>824.88507099999993</v>
      </c>
      <c r="AB6" s="727">
        <f t="shared" si="3"/>
        <v>1250.3495029999997</v>
      </c>
      <c r="AC6" s="727">
        <f t="shared" si="3"/>
        <v>867.83266199999991</v>
      </c>
      <c r="AD6" s="727">
        <f t="shared" si="3"/>
        <v>1817.3898589999999</v>
      </c>
      <c r="AE6" s="726">
        <f t="shared" ref="AE6:AE18" si="4">SUM(AF6:AQ6)</f>
        <v>11441.517928999998</v>
      </c>
      <c r="AF6" s="727">
        <f t="shared" ref="AF6:AQ6" si="5">SUM(AF9:AF19)</f>
        <v>801.53351500000008</v>
      </c>
      <c r="AG6" s="727">
        <f t="shared" si="5"/>
        <v>850.47465200000011</v>
      </c>
      <c r="AH6" s="727">
        <f t="shared" si="5"/>
        <v>878.32255299999997</v>
      </c>
      <c r="AI6" s="727">
        <f t="shared" si="5"/>
        <v>899.54167000000007</v>
      </c>
      <c r="AJ6" s="727">
        <f t="shared" si="5"/>
        <v>861.88182199999983</v>
      </c>
      <c r="AK6" s="727">
        <f t="shared" si="5"/>
        <v>839.79437900000005</v>
      </c>
      <c r="AL6" s="727">
        <f t="shared" si="5"/>
        <v>860.92223300000001</v>
      </c>
      <c r="AM6" s="727">
        <f t="shared" si="5"/>
        <v>1042.2752949999999</v>
      </c>
      <c r="AN6" s="727">
        <f t="shared" si="5"/>
        <v>958.51020499999993</v>
      </c>
      <c r="AO6" s="727">
        <f t="shared" si="5"/>
        <v>981.12930000000006</v>
      </c>
      <c r="AP6" s="727">
        <f t="shared" si="5"/>
        <v>959.22288099999992</v>
      </c>
      <c r="AQ6" s="727">
        <f t="shared" si="5"/>
        <v>1507.9094239999999</v>
      </c>
      <c r="AR6" s="1607">
        <f>SUM(AS6:BD6)</f>
        <v>13934.498740999998</v>
      </c>
      <c r="AS6" s="727">
        <f t="shared" ref="AS6:BQ6" si="6">SUM(AS9:AS19)</f>
        <v>884.79042600000014</v>
      </c>
      <c r="AT6" s="727">
        <f t="shared" si="6"/>
        <v>934.19312100000002</v>
      </c>
      <c r="AU6" s="727">
        <f t="shared" si="6"/>
        <v>1098.0233820000001</v>
      </c>
      <c r="AV6" s="727">
        <f t="shared" si="6"/>
        <v>1043.699181</v>
      </c>
      <c r="AW6" s="727">
        <f t="shared" si="6"/>
        <v>945.84486300000003</v>
      </c>
      <c r="AX6" s="727">
        <f t="shared" si="6"/>
        <v>1198.3378419999999</v>
      </c>
      <c r="AY6" s="727">
        <f t="shared" si="6"/>
        <v>1026.2751290000001</v>
      </c>
      <c r="AZ6" s="727">
        <f t="shared" si="6"/>
        <v>1106.7936339999999</v>
      </c>
      <c r="BA6" s="727">
        <f t="shared" si="6"/>
        <v>1037.560731</v>
      </c>
      <c r="BB6" s="727">
        <f t="shared" si="6"/>
        <v>1687.7777229999997</v>
      </c>
      <c r="BC6" s="727">
        <f t="shared" si="6"/>
        <v>1606.811424</v>
      </c>
      <c r="BD6" s="727">
        <f t="shared" si="6"/>
        <v>1364.3912849999997</v>
      </c>
      <c r="BE6" s="1607">
        <f t="shared" si="6"/>
        <v>18802.266383999999</v>
      </c>
      <c r="BF6" s="727">
        <f t="shared" si="6"/>
        <v>1174.1474289999999</v>
      </c>
      <c r="BG6" s="727">
        <f t="shared" si="6"/>
        <v>1576.3383839999999</v>
      </c>
      <c r="BH6" s="727">
        <f t="shared" si="6"/>
        <v>1114.596168</v>
      </c>
      <c r="BI6" s="727">
        <f t="shared" si="6"/>
        <v>1213.6766400000001</v>
      </c>
      <c r="BJ6" s="727">
        <f t="shared" si="6"/>
        <v>1184.2320479999998</v>
      </c>
      <c r="BK6" s="727">
        <f t="shared" si="6"/>
        <v>1086.7113409999999</v>
      </c>
      <c r="BL6" s="727">
        <f t="shared" si="6"/>
        <v>1327.2859460000002</v>
      </c>
      <c r="BM6" s="727">
        <f t="shared" si="6"/>
        <v>2475.7367190000004</v>
      </c>
      <c r="BN6" s="727">
        <f t="shared" si="6"/>
        <v>2026.532017</v>
      </c>
      <c r="BO6" s="727">
        <f t="shared" si="6"/>
        <v>2004.8122199999998</v>
      </c>
      <c r="BP6" s="727">
        <f t="shared" si="6"/>
        <v>1470.7468399999998</v>
      </c>
      <c r="BQ6" s="1663">
        <f t="shared" si="6"/>
        <v>2147.450632</v>
      </c>
      <c r="BR6" s="1607">
        <f t="shared" ref="BR6" si="7">SUM(BS6:CD6)</f>
        <v>20977.909091999998</v>
      </c>
      <c r="BS6" s="727">
        <f t="shared" ref="BS6:CD6" si="8">SUM(BS9:BS19)</f>
        <v>1425.933495</v>
      </c>
      <c r="BT6" s="727">
        <f t="shared" si="8"/>
        <v>1611.374223</v>
      </c>
      <c r="BU6" s="727">
        <f t="shared" si="8"/>
        <v>1301.5234320000002</v>
      </c>
      <c r="BV6" s="727">
        <f t="shared" si="8"/>
        <v>1623.1489059999999</v>
      </c>
      <c r="BW6" s="727">
        <f t="shared" si="8"/>
        <v>1524.225864</v>
      </c>
      <c r="BX6" s="727">
        <f t="shared" si="8"/>
        <v>1664.0125109999999</v>
      </c>
      <c r="BY6" s="727">
        <f t="shared" si="8"/>
        <v>1804.5363379999997</v>
      </c>
      <c r="BZ6" s="727">
        <f t="shared" si="8"/>
        <v>1573.0022439999998</v>
      </c>
      <c r="CA6" s="727">
        <f t="shared" si="8"/>
        <v>2116.9983700000003</v>
      </c>
      <c r="CB6" s="727">
        <f t="shared" si="8"/>
        <v>1359.2907370000003</v>
      </c>
      <c r="CC6" s="727">
        <f t="shared" si="8"/>
        <v>1996.2045929999997</v>
      </c>
      <c r="CD6" s="2236">
        <f t="shared" si="8"/>
        <v>2977.658379</v>
      </c>
      <c r="CE6" s="1607">
        <f t="shared" ref="CE6" si="9">SUM(CF6:CQ6)</f>
        <v>20502.917247833335</v>
      </c>
      <c r="CF6" s="727">
        <f t="shared" ref="CF6:CQ6" si="10">SUM(CF9:CF19)</f>
        <v>1614.2071410000001</v>
      </c>
      <c r="CG6" s="727">
        <f t="shared" si="10"/>
        <v>1614.2071410000001</v>
      </c>
      <c r="CH6" s="727">
        <f t="shared" si="10"/>
        <v>1614.2071410000001</v>
      </c>
      <c r="CI6" s="727">
        <f t="shared" si="10"/>
        <v>1614.2071410000001</v>
      </c>
      <c r="CJ6" s="727">
        <f t="shared" si="10"/>
        <v>1614.2071410000001</v>
      </c>
      <c r="CK6" s="727">
        <f t="shared" si="10"/>
        <v>1614.2071410000001</v>
      </c>
      <c r="CL6" s="727">
        <f t="shared" si="10"/>
        <v>1614.2071410000001</v>
      </c>
      <c r="CM6" s="727">
        <f t="shared" si="10"/>
        <v>1614.2071410000001</v>
      </c>
      <c r="CN6" s="727">
        <f t="shared" si="10"/>
        <v>1615.2071410000001</v>
      </c>
      <c r="CO6" s="727">
        <f t="shared" si="10"/>
        <v>1615.2071410000001</v>
      </c>
      <c r="CP6" s="727">
        <f t="shared" si="10"/>
        <v>1983.6386968333331</v>
      </c>
      <c r="CQ6" s="2236">
        <f t="shared" si="10"/>
        <v>2375.2071409999999</v>
      </c>
    </row>
    <row r="7" spans="2:97" s="728" customFormat="1">
      <c r="B7" s="3332"/>
      <c r="C7" s="3333"/>
      <c r="D7" s="1444" t="s">
        <v>500</v>
      </c>
      <c r="E7" s="1323">
        <f>E6-E8</f>
        <v>9745.7533010000006</v>
      </c>
      <c r="F7" s="1324"/>
      <c r="G7" s="1324"/>
      <c r="H7" s="1324"/>
      <c r="I7" s="1324"/>
      <c r="J7" s="1324"/>
      <c r="K7" s="1324"/>
      <c r="L7" s="1324"/>
      <c r="M7" s="1324"/>
      <c r="N7" s="1324"/>
      <c r="O7" s="1324"/>
      <c r="P7" s="1324"/>
      <c r="Q7" s="1325"/>
      <c r="R7" s="1323">
        <f>R6-R8</f>
        <v>11493.815698999999</v>
      </c>
      <c r="S7" s="1324"/>
      <c r="T7" s="1324"/>
      <c r="U7" s="1324"/>
      <c r="V7" s="1324"/>
      <c r="W7" s="1324"/>
      <c r="X7" s="1324"/>
      <c r="Y7" s="1324"/>
      <c r="Z7" s="1324"/>
      <c r="AA7" s="1324"/>
      <c r="AB7" s="1324"/>
      <c r="AC7" s="1324"/>
      <c r="AD7" s="1324"/>
      <c r="AE7" s="1323">
        <f>AE6-AE8</f>
        <v>10690.858663999998</v>
      </c>
      <c r="AF7" s="1324"/>
      <c r="AG7" s="1324"/>
      <c r="AH7" s="1324"/>
      <c r="AI7" s="1324"/>
      <c r="AJ7" s="1324"/>
      <c r="AK7" s="1324"/>
      <c r="AL7" s="1324"/>
      <c r="AM7" s="1324"/>
      <c r="AN7" s="1324"/>
      <c r="AO7" s="1324"/>
      <c r="AP7" s="1324"/>
      <c r="AQ7" s="1324"/>
      <c r="AR7" s="1608">
        <f>AR6-AR8</f>
        <v>12091.293784999998</v>
      </c>
      <c r="AS7" s="1324">
        <f t="shared" ref="AS7:BD7" si="11">AS6-AS8</f>
        <v>775.81269700000018</v>
      </c>
      <c r="AT7" s="1324">
        <f t="shared" si="11"/>
        <v>838.70538899999997</v>
      </c>
      <c r="AU7" s="1324">
        <f t="shared" si="11"/>
        <v>996.9454760000001</v>
      </c>
      <c r="AV7" s="1324">
        <f t="shared" si="11"/>
        <v>958.5529489999999</v>
      </c>
      <c r="AW7" s="1324">
        <f t="shared" si="11"/>
        <v>858.26479100000006</v>
      </c>
      <c r="AX7" s="1324">
        <f t="shared" si="11"/>
        <v>908.32393899999988</v>
      </c>
      <c r="AY7" s="1324">
        <f t="shared" si="11"/>
        <v>895.1685030000001</v>
      </c>
      <c r="AZ7" s="1324">
        <f t="shared" si="11"/>
        <v>847.53142199999991</v>
      </c>
      <c r="BA7" s="1324">
        <f t="shared" si="11"/>
        <v>917.62682800000005</v>
      </c>
      <c r="BB7" s="1324">
        <f t="shared" si="11"/>
        <v>1510.8319939999997</v>
      </c>
      <c r="BC7" s="1324">
        <f t="shared" si="11"/>
        <v>1356.782121</v>
      </c>
      <c r="BD7" s="1324">
        <f t="shared" si="11"/>
        <v>1226.7476759999997</v>
      </c>
      <c r="BE7" s="1608">
        <f>BE6-BE8</f>
        <v>14690.358326999998</v>
      </c>
      <c r="BF7" s="1324">
        <f>BF6-BF8</f>
        <v>973.37658999999985</v>
      </c>
      <c r="BG7" s="1324">
        <f t="shared" ref="BG7:BQ7" si="12">BG6-BG8</f>
        <v>939.35047399999985</v>
      </c>
      <c r="BH7" s="1324">
        <f t="shared" si="12"/>
        <v>913.74272199999996</v>
      </c>
      <c r="BI7" s="1324">
        <f t="shared" si="12"/>
        <v>1004.4387500000001</v>
      </c>
      <c r="BJ7" s="1324">
        <f t="shared" si="12"/>
        <v>1056.0710179999999</v>
      </c>
      <c r="BK7" s="1324">
        <f t="shared" si="12"/>
        <v>878.68324299999995</v>
      </c>
      <c r="BL7" s="1324">
        <f t="shared" si="12"/>
        <v>913.89491500000031</v>
      </c>
      <c r="BM7" s="1324">
        <f t="shared" si="12"/>
        <v>1941.2814650000005</v>
      </c>
      <c r="BN7" s="1324">
        <f t="shared" si="12"/>
        <v>1713.3881590000001</v>
      </c>
      <c r="BO7" s="1324">
        <f t="shared" si="12"/>
        <v>1610.2186049999998</v>
      </c>
      <c r="BP7" s="1324">
        <f t="shared" si="12"/>
        <v>1182.7205089999998</v>
      </c>
      <c r="BQ7" s="1664">
        <f t="shared" si="12"/>
        <v>1515.3052360000001</v>
      </c>
      <c r="BR7" s="1608">
        <f>BR6-BR8</f>
        <v>16034.749553999998</v>
      </c>
      <c r="BS7" s="1324">
        <f>BS6-BS8</f>
        <v>985.10266499999989</v>
      </c>
      <c r="BT7" s="1324">
        <f t="shared" ref="BT7:CD7" si="13">BT6-BT8</f>
        <v>1057.0230980000001</v>
      </c>
      <c r="BU7" s="1324">
        <f t="shared" si="13"/>
        <v>935.41551900000024</v>
      </c>
      <c r="BV7" s="1324">
        <f t="shared" si="13"/>
        <v>1129.8509469999999</v>
      </c>
      <c r="BW7" s="1324">
        <f t="shared" si="13"/>
        <v>1086.0072969999999</v>
      </c>
      <c r="BX7" s="1324">
        <f t="shared" si="13"/>
        <v>1258.0661789999999</v>
      </c>
      <c r="BY7" s="1324">
        <f t="shared" si="13"/>
        <v>1282.9731909999996</v>
      </c>
      <c r="BZ7" s="1324">
        <f t="shared" si="13"/>
        <v>1221.2029589999997</v>
      </c>
      <c r="CA7" s="1324">
        <f t="shared" si="13"/>
        <v>1775.9430470000002</v>
      </c>
      <c r="CB7" s="1324">
        <f t="shared" si="13"/>
        <v>971.37533400000018</v>
      </c>
      <c r="CC7" s="1324">
        <f t="shared" si="13"/>
        <v>1770.5752139999997</v>
      </c>
      <c r="CD7" s="1325">
        <f t="shared" si="13"/>
        <v>2561.2141040000001</v>
      </c>
      <c r="CE7" s="1608">
        <f>CE6-CE8</f>
        <v>16529.162081135873</v>
      </c>
      <c r="CF7" s="1324">
        <f>CF6-CF8</f>
        <v>1288.8317913930923</v>
      </c>
      <c r="CG7" s="1324">
        <f t="shared" ref="CG7:CQ7" si="14">CG6-CG8</f>
        <v>1319.202259868533</v>
      </c>
      <c r="CH7" s="1324">
        <f t="shared" si="14"/>
        <v>1264.4593497573837</v>
      </c>
      <c r="CI7" s="1324">
        <f t="shared" si="14"/>
        <v>1260.8641558794545</v>
      </c>
      <c r="CJ7" s="1324">
        <f t="shared" si="14"/>
        <v>1287.9517890751551</v>
      </c>
      <c r="CK7" s="1324">
        <f t="shared" si="14"/>
        <v>1279.812559746126</v>
      </c>
      <c r="CL7" s="1324">
        <f t="shared" si="14"/>
        <v>1277.1014365971323</v>
      </c>
      <c r="CM7" s="1324">
        <f t="shared" si="14"/>
        <v>1285.3514365971323</v>
      </c>
      <c r="CN7" s="1324">
        <f t="shared" si="14"/>
        <v>1286.3514365971323</v>
      </c>
      <c r="CO7" s="1324">
        <f t="shared" si="14"/>
        <v>1278.1014365971323</v>
      </c>
      <c r="CP7" s="1324">
        <f t="shared" si="14"/>
        <v>1654.7829924304654</v>
      </c>
      <c r="CQ7" s="1325">
        <f t="shared" si="14"/>
        <v>2046.3514365971321</v>
      </c>
    </row>
    <row r="8" spans="2:97" s="728" customFormat="1">
      <c r="B8" s="3332"/>
      <c r="C8" s="3333"/>
      <c r="D8" s="80" t="s">
        <v>499</v>
      </c>
      <c r="E8" s="277"/>
      <c r="F8" s="587"/>
      <c r="G8" s="587"/>
      <c r="H8" s="587"/>
      <c r="I8" s="587"/>
      <c r="J8" s="587"/>
      <c r="K8" s="587"/>
      <c r="L8" s="587"/>
      <c r="M8" s="587"/>
      <c r="N8" s="587"/>
      <c r="O8" s="587"/>
      <c r="P8" s="587"/>
      <c r="Q8" s="663"/>
      <c r="R8" s="277"/>
      <c r="S8" s="587"/>
      <c r="T8" s="587"/>
      <c r="U8" s="587"/>
      <c r="V8" s="587"/>
      <c r="W8" s="587"/>
      <c r="X8" s="587"/>
      <c r="Y8" s="587"/>
      <c r="Z8" s="587"/>
      <c r="AA8" s="587"/>
      <c r="AB8" s="587"/>
      <c r="AC8" s="587"/>
      <c r="AD8" s="587"/>
      <c r="AE8" s="277">
        <v>750.659265</v>
      </c>
      <c r="AF8" s="587"/>
      <c r="AG8" s="587"/>
      <c r="AH8" s="587"/>
      <c r="AI8" s="587"/>
      <c r="AJ8" s="587"/>
      <c r="AK8" s="587"/>
      <c r="AL8" s="587"/>
      <c r="AM8" s="587"/>
      <c r="AN8" s="587"/>
      <c r="AO8" s="587"/>
      <c r="AP8" s="587"/>
      <c r="AQ8" s="587"/>
      <c r="AR8" s="869">
        <f>유통플랫폼!D20+유통플랫폼!D21</f>
        <v>1843.2049559999998</v>
      </c>
      <c r="AS8" s="587">
        <f>유통플랫폼!E20+유통플랫폼!E21+유통플랫폼!E22</f>
        <v>108.977729</v>
      </c>
      <c r="AT8" s="587">
        <f>유통플랫폼!F20+유통플랫폼!F21+유통플랫폼!F22</f>
        <v>95.487732000000008</v>
      </c>
      <c r="AU8" s="587">
        <f>유통플랫폼!G20+유통플랫폼!G21+유통플랫폼!G22</f>
        <v>101.077906</v>
      </c>
      <c r="AV8" s="587">
        <f>유통플랫폼!H20+유통플랫폼!H21+유통플랫폼!H22</f>
        <v>85.146231999999998</v>
      </c>
      <c r="AW8" s="587">
        <f>유통플랫폼!I20+유통플랫폼!I21+유통플랫폼!I22</f>
        <v>87.580072000000001</v>
      </c>
      <c r="AX8" s="587">
        <f>유통플랫폼!J20+유통플랫폼!J21+유통플랫폼!J22</f>
        <v>290.01390299999997</v>
      </c>
      <c r="AY8" s="587">
        <f>유통플랫폼!K20+유통플랫폼!K21+유통플랫폼!K22</f>
        <v>131.10662600000001</v>
      </c>
      <c r="AZ8" s="587">
        <f>유통플랫폼!L20+유통플랫폼!L21+유통플랫폼!L22</f>
        <v>259.26221199999998</v>
      </c>
      <c r="BA8" s="587">
        <f>유통플랫폼!M20+유통플랫폼!M21+유통플랫폼!M22</f>
        <v>119.933903</v>
      </c>
      <c r="BB8" s="587">
        <f>유통플랫폼!N20+유통플랫폼!N21+유통플랫폼!N22</f>
        <v>176.945729</v>
      </c>
      <c r="BC8" s="587">
        <f>유통플랫폼!O20+유통플랫폼!O21+유통플랫폼!O22</f>
        <v>250.029303</v>
      </c>
      <c r="BD8" s="2155">
        <f>유통플랫폼!P20+유통플랫폼!P21+유통플랫폼!P22</f>
        <v>137.643609</v>
      </c>
      <c r="BE8" s="869">
        <f>유통플랫폼!Q20+유통플랫폼!Q21</f>
        <v>4111.9080569999996</v>
      </c>
      <c r="BF8" s="2155">
        <f>유통플랫폼!R20+유통플랫폼!R21+유통플랫폼!R22</f>
        <v>200.770839</v>
      </c>
      <c r="BG8" s="2155">
        <f>유통플랫폼!S20+유통플랫폼!S21+유통플랫폼!S22</f>
        <v>636.98791000000006</v>
      </c>
      <c r="BH8" s="2155">
        <f>유통플랫폼!T20+유통플랫폼!T21+유통플랫폼!T22</f>
        <v>200.85344600000005</v>
      </c>
      <c r="BI8" s="2155">
        <f>유통플랫폼!U20+유통플랫폼!U21+유통플랫폼!U22</f>
        <v>209.23788999999999</v>
      </c>
      <c r="BJ8" s="2155">
        <f>유통플랫폼!V20+유통플랫폼!V21+유통플랫폼!V22</f>
        <v>128.16102999999998</v>
      </c>
      <c r="BK8" s="2155">
        <f>유통플랫폼!W20+유통플랫폼!W21+유통플랫폼!W22</f>
        <v>208.028098</v>
      </c>
      <c r="BL8" s="2155">
        <f>유통플랫폼!X20+유통플랫폼!X21+유통플랫폼!X22</f>
        <v>413.39103099999994</v>
      </c>
      <c r="BM8" s="2155">
        <f>유통플랫폼!Y20+유통플랫폼!Y21+유통플랫폼!Y22</f>
        <v>534.45525399999997</v>
      </c>
      <c r="BN8" s="2155">
        <f>유통플랫폼!Z20+유통플랫폼!Z21+유통플랫폼!Z22</f>
        <v>313.14385800000002</v>
      </c>
      <c r="BO8" s="2155">
        <f>유통플랫폼!AA20+유통플랫폼!AA21+유통플랫폼!AA22</f>
        <v>394.59361500000006</v>
      </c>
      <c r="BP8" s="2155">
        <f>유통플랫폼!AB20+유통플랫폼!AB21+유통플랫폼!AB22</f>
        <v>288.02633099999997</v>
      </c>
      <c r="BQ8" s="2156">
        <f>유통플랫폼!AC20+유통플랫폼!AC21+유통플랫폼!AC22</f>
        <v>632.14539600000001</v>
      </c>
      <c r="BR8" s="869">
        <f>유통플랫폼!AD20+유통플랫폼!AD21</f>
        <v>4943.1595379999999</v>
      </c>
      <c r="BS8" s="2155">
        <f>유통플랫폼!AE20+유통플랫폼!AE21</f>
        <v>440.83083000000005</v>
      </c>
      <c r="BT8" s="2155">
        <f>유통플랫폼!AF20+유통플랫폼!AF21</f>
        <v>554.35112499999991</v>
      </c>
      <c r="BU8" s="2155">
        <f>유통플랫폼!AG20+유통플랫폼!AG21</f>
        <v>366.10791299999994</v>
      </c>
      <c r="BV8" s="2155">
        <f>유통플랫폼!AH20+유통플랫폼!AH21</f>
        <v>493.29795899999999</v>
      </c>
      <c r="BW8" s="2155">
        <f>유통플랫폼!AI20+유통플랫폼!AI21</f>
        <v>438.21856700000006</v>
      </c>
      <c r="BX8" s="2155">
        <f>유통플랫폼!AJ20+유통플랫폼!AJ21</f>
        <v>405.94633199999998</v>
      </c>
      <c r="BY8" s="2155">
        <f>유통플랫폼!AK20+유통플랫폼!AK21</f>
        <v>521.56314699999996</v>
      </c>
      <c r="BZ8" s="2155">
        <f>유통플랫폼!AL20+유통플랫폼!AL21</f>
        <v>351.799285</v>
      </c>
      <c r="CA8" s="2155">
        <f>유통플랫폼!AM20+유통플랫폼!AM21</f>
        <v>341.05532299999999</v>
      </c>
      <c r="CB8" s="2155">
        <f>유통플랫폼!AN20+유통플랫폼!AN21</f>
        <v>387.91540300000008</v>
      </c>
      <c r="CC8" s="2155">
        <f>유통플랫폼!AO20+유통플랫폼!AO21</f>
        <v>225.629379</v>
      </c>
      <c r="CD8" s="3003">
        <f>유통플랫폼!AP20+유통플랫폼!AP21</f>
        <v>416.44427499999995</v>
      </c>
      <c r="CE8" s="869">
        <f>유통플랫폼!AQ20+유통플랫폼!AQ21</f>
        <v>3973.7551666974632</v>
      </c>
      <c r="CF8" s="2152">
        <f>유통플랫폼!AR20+유통플랫폼!AR21</f>
        <v>325.37534960690766</v>
      </c>
      <c r="CG8" s="2152">
        <f>유통플랫폼!AS20+유통플랫폼!AS21</f>
        <v>295.00488113146696</v>
      </c>
      <c r="CH8" s="2152">
        <f>유통플랫폼!AT20+유통플랫폼!AT21</f>
        <v>349.74779124261647</v>
      </c>
      <c r="CI8" s="2152">
        <f>유통플랫폼!AU20+유통플랫폼!AU21</f>
        <v>353.34298512054551</v>
      </c>
      <c r="CJ8" s="2152">
        <f>유통플랫폼!AV20+유통플랫폼!AV21</f>
        <v>326.255351924845</v>
      </c>
      <c r="CK8" s="2152">
        <f>유통플랫폼!AW20+유통플랫폼!AW21</f>
        <v>334.39458125387409</v>
      </c>
      <c r="CL8" s="2152">
        <f>유통플랫폼!AX20+유통플랫폼!AX21</f>
        <v>337.10570440286779</v>
      </c>
      <c r="CM8" s="2152">
        <f>유통플랫폼!AY20+유통플랫폼!AY21</f>
        <v>328.85570440286779</v>
      </c>
      <c r="CN8" s="2152">
        <f>유통플랫폼!AZ20+유통플랫폼!AZ21</f>
        <v>328.85570440286779</v>
      </c>
      <c r="CO8" s="2152">
        <f>유통플랫폼!BA20+유통플랫폼!BA21</f>
        <v>337.10570440286779</v>
      </c>
      <c r="CP8" s="2152">
        <f>유통플랫폼!BB20+유통플랫폼!BB21</f>
        <v>328.85570440286779</v>
      </c>
      <c r="CQ8" s="2237">
        <f>유통플랫폼!BC20+유통플랫폼!BC21</f>
        <v>328.85570440286779</v>
      </c>
    </row>
    <row r="9" spans="2:97">
      <c r="B9" s="3332"/>
      <c r="C9" s="3333"/>
      <c r="D9" s="89" t="s">
        <v>143</v>
      </c>
      <c r="E9" s="277">
        <f t="shared" si="0"/>
        <v>2830.4625129999999</v>
      </c>
      <c r="F9" s="587">
        <v>238.236716</v>
      </c>
      <c r="G9" s="587">
        <v>232.05591100000001</v>
      </c>
      <c r="H9" s="587">
        <v>213.933245</v>
      </c>
      <c r="I9" s="587">
        <v>213.011245</v>
      </c>
      <c r="J9" s="587">
        <v>207.05124499999999</v>
      </c>
      <c r="K9" s="587">
        <v>204.15124499999999</v>
      </c>
      <c r="L9" s="587">
        <v>256.31624499999998</v>
      </c>
      <c r="M9" s="587">
        <v>205.011245</v>
      </c>
      <c r="N9" s="587">
        <v>204.15124499999999</v>
      </c>
      <c r="O9" s="587">
        <v>204.15124499999999</v>
      </c>
      <c r="P9" s="587">
        <v>210.03124500000001</v>
      </c>
      <c r="Q9" s="663">
        <v>442.36168099999998</v>
      </c>
      <c r="R9" s="277">
        <f t="shared" si="2"/>
        <v>3273.288978</v>
      </c>
      <c r="S9" s="587">
        <v>209.17579000000001</v>
      </c>
      <c r="T9" s="587">
        <v>216.761245</v>
      </c>
      <c r="U9" s="587">
        <v>205.511245</v>
      </c>
      <c r="V9" s="587">
        <v>242.14899600000001</v>
      </c>
      <c r="W9" s="587">
        <v>217.24444500000001</v>
      </c>
      <c r="X9" s="587">
        <v>264.13244500000002</v>
      </c>
      <c r="Y9" s="587">
        <v>217.24444500000001</v>
      </c>
      <c r="Z9" s="587">
        <v>233.11409</v>
      </c>
      <c r="AA9" s="587">
        <v>278.39200499999998</v>
      </c>
      <c r="AB9" s="587">
        <v>322.97994499999999</v>
      </c>
      <c r="AC9" s="587">
        <v>262.80091700000003</v>
      </c>
      <c r="AD9" s="587">
        <v>603.78341</v>
      </c>
      <c r="AE9" s="277">
        <f t="shared" si="4"/>
        <v>3047.6102810000002</v>
      </c>
      <c r="AF9" s="587">
        <v>219.32589100000001</v>
      </c>
      <c r="AG9" s="587">
        <v>228.117288</v>
      </c>
      <c r="AH9" s="587">
        <v>297.40045700000002</v>
      </c>
      <c r="AI9" s="587">
        <v>348.032872</v>
      </c>
      <c r="AJ9" s="587">
        <v>235.08379099999999</v>
      </c>
      <c r="AK9" s="587">
        <v>239.394046</v>
      </c>
      <c r="AL9" s="587">
        <v>235.181308</v>
      </c>
      <c r="AM9" s="587">
        <v>250.37071</v>
      </c>
      <c r="AN9" s="587">
        <v>248.683527</v>
      </c>
      <c r="AO9" s="587">
        <v>242.189637</v>
      </c>
      <c r="AP9" s="587">
        <v>244.978298</v>
      </c>
      <c r="AQ9" s="587">
        <v>258.85245600000002</v>
      </c>
      <c r="AR9" s="869">
        <f t="shared" ref="AR9:AR18" si="15">SUM(AS9:BD9)</f>
        <v>3511.2610840000002</v>
      </c>
      <c r="AS9" s="587">
        <v>242.79843199999999</v>
      </c>
      <c r="AT9" s="587">
        <v>242.14779999999999</v>
      </c>
      <c r="AU9" s="587">
        <v>245.92286999999999</v>
      </c>
      <c r="AV9" s="587">
        <v>248.33430200000001</v>
      </c>
      <c r="AW9" s="587">
        <v>238.98031</v>
      </c>
      <c r="AX9" s="587">
        <v>240.82648699999999</v>
      </c>
      <c r="AY9" s="587">
        <v>238.816834</v>
      </c>
      <c r="AZ9" s="587">
        <v>239.01871</v>
      </c>
      <c r="BA9" s="587">
        <v>241.33786000000001</v>
      </c>
      <c r="BB9" s="587">
        <v>247.27683200000001</v>
      </c>
      <c r="BC9" s="587">
        <v>771.27405799999997</v>
      </c>
      <c r="BD9" s="2155">
        <v>314.526589</v>
      </c>
      <c r="BE9" s="869">
        <f t="shared" ref="BE9:BE18" si="16">SUM(BF9:BQ9)</f>
        <v>3168.4125779999995</v>
      </c>
      <c r="BF9" s="2155">
        <v>239.51638600000001</v>
      </c>
      <c r="BG9" s="2155">
        <v>239.18565899999999</v>
      </c>
      <c r="BH9" s="2155">
        <v>263.013192</v>
      </c>
      <c r="BI9" s="2155">
        <v>244.717264</v>
      </c>
      <c r="BJ9" s="2155">
        <v>249.51878099999999</v>
      </c>
      <c r="BK9" s="2155">
        <v>250.916583</v>
      </c>
      <c r="BL9" s="2155">
        <v>251.41597300000001</v>
      </c>
      <c r="BM9" s="2155">
        <v>251.95629099999999</v>
      </c>
      <c r="BN9" s="2155">
        <v>249.81818999999999</v>
      </c>
      <c r="BO9" s="2155">
        <v>270.48694499999999</v>
      </c>
      <c r="BP9" s="2155">
        <f>375.336502+0.384999999999764</f>
        <v>375.72150199999976</v>
      </c>
      <c r="BQ9" s="2156">
        <v>282.14581199999998</v>
      </c>
      <c r="BR9" s="869">
        <f t="shared" ref="BR9:BR16" si="17">SUM(BS9:CD9)</f>
        <v>4150.6215740000007</v>
      </c>
      <c r="BS9" s="2155">
        <v>270.15483</v>
      </c>
      <c r="BT9" s="2155">
        <v>252.90852599999999</v>
      </c>
      <c r="BU9" s="2155">
        <v>282.413948</v>
      </c>
      <c r="BV9" s="2155">
        <v>270.09310900000003</v>
      </c>
      <c r="BW9" s="2155">
        <v>264.54491999999999</v>
      </c>
      <c r="BX9" s="2155">
        <v>269.31558200000001</v>
      </c>
      <c r="BY9" s="2155">
        <v>561.336095</v>
      </c>
      <c r="BZ9" s="2155">
        <v>299.80693000000002</v>
      </c>
      <c r="CA9" s="2155">
        <v>265.84173399999997</v>
      </c>
      <c r="CB9" s="2155">
        <v>271.13631500000002</v>
      </c>
      <c r="CC9" s="2155">
        <v>610.40647799999999</v>
      </c>
      <c r="CD9" s="3003">
        <v>532.66310699999997</v>
      </c>
      <c r="CE9" s="869">
        <f t="shared" ref="CE9:CE16" si="18">SUM(CF9:CQ9)</f>
        <v>4466.1147158333333</v>
      </c>
      <c r="CF9" s="2152">
        <v>299.80693000000002</v>
      </c>
      <c r="CG9" s="2152">
        <v>299.80693000000002</v>
      </c>
      <c r="CH9" s="2152">
        <v>299.80693000000002</v>
      </c>
      <c r="CI9" s="2152">
        <v>299.80693000000002</v>
      </c>
      <c r="CJ9" s="2152">
        <v>299.80693000000002</v>
      </c>
      <c r="CK9" s="2152">
        <v>299.80693000000002</v>
      </c>
      <c r="CL9" s="2152">
        <v>299.80693000000002</v>
      </c>
      <c r="CM9" s="2152">
        <v>299.80693000000002</v>
      </c>
      <c r="CN9" s="2152">
        <v>299.80693000000002</v>
      </c>
      <c r="CO9" s="2152">
        <v>299.80693000000002</v>
      </c>
      <c r="CP9" s="2152">
        <v>668.23848583333302</v>
      </c>
      <c r="CQ9" s="2237">
        <f>CO9+500</f>
        <v>799.80692999999997</v>
      </c>
    </row>
    <row r="10" spans="2:97">
      <c r="B10" s="3332"/>
      <c r="C10" s="3333"/>
      <c r="D10" s="80" t="s">
        <v>144</v>
      </c>
      <c r="E10" s="277">
        <f t="shared" si="0"/>
        <v>449.94874399999992</v>
      </c>
      <c r="F10" s="587">
        <v>13.415944</v>
      </c>
      <c r="G10" s="587">
        <v>30.114784</v>
      </c>
      <c r="H10" s="587">
        <v>41.063564999999997</v>
      </c>
      <c r="I10" s="587">
        <v>52.475054999999998</v>
      </c>
      <c r="J10" s="587">
        <v>68.064732000000006</v>
      </c>
      <c r="K10" s="587">
        <v>23.910696999999999</v>
      </c>
      <c r="L10" s="587">
        <v>16.995377999999999</v>
      </c>
      <c r="M10" s="587">
        <v>28.588754000000002</v>
      </c>
      <c r="N10" s="587">
        <v>20.59844</v>
      </c>
      <c r="O10" s="587">
        <v>67.750947999999994</v>
      </c>
      <c r="P10" s="587">
        <v>26.996979</v>
      </c>
      <c r="Q10" s="663">
        <v>59.973467999999997</v>
      </c>
      <c r="R10" s="277">
        <f t="shared" si="2"/>
        <v>646.36864800000001</v>
      </c>
      <c r="S10" s="587">
        <v>23.417601000000001</v>
      </c>
      <c r="T10" s="587">
        <v>21.244183</v>
      </c>
      <c r="U10" s="587">
        <v>30.873076999999999</v>
      </c>
      <c r="V10" s="587">
        <v>24.905432999999999</v>
      </c>
      <c r="W10" s="587">
        <v>34.52299</v>
      </c>
      <c r="X10" s="587">
        <v>37.879514</v>
      </c>
      <c r="Y10" s="587">
        <v>28.149767000000001</v>
      </c>
      <c r="Z10" s="587">
        <v>45.976438000000002</v>
      </c>
      <c r="AA10" s="587">
        <v>40.96369</v>
      </c>
      <c r="AB10" s="587">
        <v>212.600055</v>
      </c>
      <c r="AC10" s="587">
        <v>39.927461000000001</v>
      </c>
      <c r="AD10" s="587">
        <v>105.908439</v>
      </c>
      <c r="AE10" s="277">
        <f t="shared" si="4"/>
        <v>1411.6851790000001</v>
      </c>
      <c r="AF10" s="587">
        <v>49.220652000000001</v>
      </c>
      <c r="AG10" s="587">
        <v>48.436635000000003</v>
      </c>
      <c r="AH10" s="587">
        <v>64.989924000000002</v>
      </c>
      <c r="AI10" s="587">
        <v>26.857585</v>
      </c>
      <c r="AJ10" s="587">
        <v>65.476473999999996</v>
      </c>
      <c r="AK10" s="587">
        <v>57.050718000000003</v>
      </c>
      <c r="AL10" s="587">
        <v>15.075861</v>
      </c>
      <c r="AM10" s="587">
        <v>200.96496099999999</v>
      </c>
      <c r="AN10" s="587">
        <v>137.507779</v>
      </c>
      <c r="AO10" s="587">
        <v>159.801455</v>
      </c>
      <c r="AP10" s="587">
        <v>135.8886</v>
      </c>
      <c r="AQ10" s="587">
        <v>450.414535</v>
      </c>
      <c r="AR10" s="869">
        <f t="shared" si="15"/>
        <v>2762.04558</v>
      </c>
      <c r="AS10" s="587">
        <v>64.225243000000006</v>
      </c>
      <c r="AT10" s="587">
        <v>149.73520500000001</v>
      </c>
      <c r="AU10" s="587">
        <v>127.264212</v>
      </c>
      <c r="AV10" s="587">
        <v>198.65235699999999</v>
      </c>
      <c r="AW10" s="587">
        <v>139.62252000000001</v>
      </c>
      <c r="AX10" s="587">
        <v>338.86964</v>
      </c>
      <c r="AY10" s="587">
        <v>150.17593500000001</v>
      </c>
      <c r="AZ10" s="587">
        <v>192.311464</v>
      </c>
      <c r="BA10" s="587">
        <v>198.90284800000001</v>
      </c>
      <c r="BB10" s="587">
        <v>780.24768099999994</v>
      </c>
      <c r="BC10" s="587">
        <v>180.91285099999999</v>
      </c>
      <c r="BD10" s="587">
        <v>241.12562399999999</v>
      </c>
      <c r="BE10" s="869">
        <f t="shared" si="16"/>
        <v>5542.4013850000001</v>
      </c>
      <c r="BF10" s="2155">
        <v>260.93714699999998</v>
      </c>
      <c r="BG10" s="2155">
        <v>583.482663</v>
      </c>
      <c r="BH10" s="2155">
        <v>213.03574800000001</v>
      </c>
      <c r="BI10" s="2155">
        <v>348.95021100000002</v>
      </c>
      <c r="BJ10" s="2155">
        <v>311.213257</v>
      </c>
      <c r="BK10" s="2155">
        <v>229.64053999999999</v>
      </c>
      <c r="BL10" s="2155">
        <v>386.15096299999999</v>
      </c>
      <c r="BM10" s="2155">
        <v>514.63831400000004</v>
      </c>
      <c r="BN10" s="2155">
        <v>1248.0624949999999</v>
      </c>
      <c r="BO10" s="2155">
        <v>407.29751599999997</v>
      </c>
      <c r="BP10" s="2155">
        <v>322.46139699999998</v>
      </c>
      <c r="BQ10" s="2156">
        <v>716.53113399999995</v>
      </c>
      <c r="BR10" s="869">
        <f t="shared" si="17"/>
        <v>6659.9825010000004</v>
      </c>
      <c r="BS10" s="2155">
        <v>421.23250000000002</v>
      </c>
      <c r="BT10" s="2155">
        <v>435.55622699999998</v>
      </c>
      <c r="BU10" s="2155">
        <v>456.14693599999998</v>
      </c>
      <c r="BV10" s="2155">
        <v>707.64781400000004</v>
      </c>
      <c r="BW10" s="2155">
        <v>485.31163199999997</v>
      </c>
      <c r="BX10" s="2155">
        <v>498.62059799999997</v>
      </c>
      <c r="BY10" s="2155">
        <v>432.75942099999997</v>
      </c>
      <c r="BZ10" s="2155">
        <v>627.416248</v>
      </c>
      <c r="CA10" s="2155">
        <v>887.37552000000005</v>
      </c>
      <c r="CB10" s="2155">
        <v>545.28901800000006</v>
      </c>
      <c r="CC10" s="2155">
        <v>399.24001399999997</v>
      </c>
      <c r="CD10" s="3003">
        <v>763.386573</v>
      </c>
      <c r="CE10" s="869">
        <f t="shared" si="18"/>
        <v>6269.031414000001</v>
      </c>
      <c r="CF10" s="2152">
        <v>500.75261783333332</v>
      </c>
      <c r="CG10" s="2152">
        <v>500.75261783333332</v>
      </c>
      <c r="CH10" s="2152">
        <v>500.75261783333332</v>
      </c>
      <c r="CI10" s="2152">
        <v>500.75261783333332</v>
      </c>
      <c r="CJ10" s="2152">
        <v>500.75261783333332</v>
      </c>
      <c r="CK10" s="2152">
        <v>500.75261783333332</v>
      </c>
      <c r="CL10" s="2152">
        <v>500.75261783333332</v>
      </c>
      <c r="CM10" s="2152">
        <v>500.75261783333332</v>
      </c>
      <c r="CN10" s="2152">
        <v>500.75261783333332</v>
      </c>
      <c r="CO10" s="2152">
        <v>500.75261783333332</v>
      </c>
      <c r="CP10" s="2152">
        <v>500.75261783333332</v>
      </c>
      <c r="CQ10" s="2237">
        <f>CP10+260</f>
        <v>760.75261783333326</v>
      </c>
    </row>
    <row r="11" spans="2:97">
      <c r="B11" s="3332"/>
      <c r="C11" s="3333"/>
      <c r="D11" s="80" t="s">
        <v>145</v>
      </c>
      <c r="E11" s="277">
        <f t="shared" si="0"/>
        <v>583.41380900000013</v>
      </c>
      <c r="F11" s="587">
        <v>19.591940000000001</v>
      </c>
      <c r="G11" s="587">
        <v>43.678519999999999</v>
      </c>
      <c r="H11" s="587">
        <v>20.172999999999998</v>
      </c>
      <c r="I11" s="587">
        <v>52.925800000000002</v>
      </c>
      <c r="J11" s="587">
        <v>24.0944</v>
      </c>
      <c r="K11" s="587">
        <v>35.043170000000003</v>
      </c>
      <c r="L11" s="587">
        <v>50.657088999999999</v>
      </c>
      <c r="M11" s="587">
        <v>59.00141</v>
      </c>
      <c r="N11" s="587">
        <v>63.870539999999998</v>
      </c>
      <c r="O11" s="587">
        <v>22.218</v>
      </c>
      <c r="P11" s="587">
        <v>19.072199999999999</v>
      </c>
      <c r="Q11" s="663">
        <v>173.08774</v>
      </c>
      <c r="R11" s="277">
        <f t="shared" si="2"/>
        <v>1075.1599270000002</v>
      </c>
      <c r="S11" s="587">
        <v>19.694378</v>
      </c>
      <c r="T11" s="587">
        <v>20.42483</v>
      </c>
      <c r="U11" s="587">
        <v>23.418990000000001</v>
      </c>
      <c r="V11" s="587">
        <v>64.286647000000002</v>
      </c>
      <c r="W11" s="587">
        <v>22.489229999999999</v>
      </c>
      <c r="X11" s="587">
        <v>62.518189999999997</v>
      </c>
      <c r="Y11" s="587">
        <v>24.11279</v>
      </c>
      <c r="Z11" s="587">
        <v>64.510138999999995</v>
      </c>
      <c r="AA11" s="587">
        <v>48.496189999999999</v>
      </c>
      <c r="AB11" s="587">
        <v>219.694163</v>
      </c>
      <c r="AC11" s="587">
        <v>21.295390000000001</v>
      </c>
      <c r="AD11" s="587">
        <v>484.21899000000002</v>
      </c>
      <c r="AE11" s="277">
        <f t="shared" si="4"/>
        <v>631.451548</v>
      </c>
      <c r="AF11" s="587">
        <v>26.145160000000001</v>
      </c>
      <c r="AG11" s="587">
        <v>93.811898999999997</v>
      </c>
      <c r="AH11" s="587">
        <v>25.22616</v>
      </c>
      <c r="AI11" s="587">
        <v>47.76979</v>
      </c>
      <c r="AJ11" s="587">
        <v>63.351030000000002</v>
      </c>
      <c r="AK11" s="587">
        <v>74.229508999999993</v>
      </c>
      <c r="AL11" s="587">
        <v>19.932490000000001</v>
      </c>
      <c r="AM11" s="587">
        <v>50.63203</v>
      </c>
      <c r="AN11" s="587">
        <v>24.938289999999999</v>
      </c>
      <c r="AO11" s="587">
        <v>49.588290000000001</v>
      </c>
      <c r="AP11" s="587">
        <v>28.96679</v>
      </c>
      <c r="AQ11" s="587">
        <v>126.86011000000001</v>
      </c>
      <c r="AR11" s="869">
        <f t="shared" si="15"/>
        <v>524.10832800000003</v>
      </c>
      <c r="AS11" s="587">
        <v>31.315799999999999</v>
      </c>
      <c r="AT11" s="587">
        <v>9.0366999999999997</v>
      </c>
      <c r="AU11" s="587">
        <v>42.844499999999996</v>
      </c>
      <c r="AV11" s="587">
        <v>27.201279</v>
      </c>
      <c r="AW11" s="587">
        <v>44.884231999999997</v>
      </c>
      <c r="AX11" s="587">
        <v>27.654499999999999</v>
      </c>
      <c r="AY11" s="587">
        <v>32.564100000000003</v>
      </c>
      <c r="AZ11" s="587">
        <v>36.084099999999999</v>
      </c>
      <c r="BA11" s="587">
        <v>15.9373</v>
      </c>
      <c r="BB11" s="587">
        <v>61.864412000000002</v>
      </c>
      <c r="BC11" s="587">
        <v>61.130004999999997</v>
      </c>
      <c r="BD11" s="587">
        <v>133.59139999999999</v>
      </c>
      <c r="BE11" s="869">
        <f t="shared" si="16"/>
        <v>876.0810899999999</v>
      </c>
      <c r="BF11" s="2155">
        <v>33.8583</v>
      </c>
      <c r="BG11" s="2155">
        <v>79.788979999999995</v>
      </c>
      <c r="BH11" s="2155">
        <v>59.235729999999997</v>
      </c>
      <c r="BI11" s="2155">
        <v>70.194180000000003</v>
      </c>
      <c r="BJ11" s="2155">
        <v>79.794259999999994</v>
      </c>
      <c r="BK11" s="2155">
        <v>26.60258</v>
      </c>
      <c r="BL11" s="2155">
        <f>84113180/1000000</f>
        <v>84.11318</v>
      </c>
      <c r="BM11" s="2155">
        <v>87.427980000000005</v>
      </c>
      <c r="BN11" s="2155">
        <v>76.012979999999999</v>
      </c>
      <c r="BO11" s="2155">
        <v>84.502979999999994</v>
      </c>
      <c r="BP11" s="2155">
        <v>67.061000000000007</v>
      </c>
      <c r="BQ11" s="2156">
        <v>127.48894</v>
      </c>
      <c r="BR11" s="869">
        <f t="shared" si="17"/>
        <v>846.7600460000001</v>
      </c>
      <c r="BS11" s="2155">
        <v>35.783729999999998</v>
      </c>
      <c r="BT11" s="2155">
        <v>102.60054</v>
      </c>
      <c r="BU11" s="2155">
        <v>47.583039999999997</v>
      </c>
      <c r="BV11" s="2155">
        <v>64.017939999999996</v>
      </c>
      <c r="BW11" s="2155">
        <v>158.01173</v>
      </c>
      <c r="BX11" s="2155">
        <v>61.118130000000001</v>
      </c>
      <c r="BY11" s="2155">
        <v>57.093580000000003</v>
      </c>
      <c r="BZ11" s="2155">
        <v>83.089309999999998</v>
      </c>
      <c r="CA11" s="2155">
        <v>43.908439999999999</v>
      </c>
      <c r="CB11" s="2155">
        <v>69.429940000000002</v>
      </c>
      <c r="CC11" s="2155">
        <v>55.912225999999997</v>
      </c>
      <c r="CD11" s="3003">
        <v>68.211439999999996</v>
      </c>
      <c r="CE11" s="869">
        <f t="shared" si="18"/>
        <v>938.2302199999998</v>
      </c>
      <c r="CF11" s="2152">
        <v>78.185851666666665</v>
      </c>
      <c r="CG11" s="2152">
        <v>78.185851666666665</v>
      </c>
      <c r="CH11" s="2152">
        <v>78.185851666666665</v>
      </c>
      <c r="CI11" s="2152">
        <v>78.185851666666665</v>
      </c>
      <c r="CJ11" s="2152">
        <v>78.185851666666665</v>
      </c>
      <c r="CK11" s="2152">
        <v>78.185851666666665</v>
      </c>
      <c r="CL11" s="2152">
        <v>78.185851666666665</v>
      </c>
      <c r="CM11" s="2152">
        <v>78.185851666666665</v>
      </c>
      <c r="CN11" s="2152">
        <v>78.185851666666665</v>
      </c>
      <c r="CO11" s="2152">
        <v>78.185851666666665</v>
      </c>
      <c r="CP11" s="2152">
        <v>78.185851666666665</v>
      </c>
      <c r="CQ11" s="2237">
        <v>78.185851666666665</v>
      </c>
    </row>
    <row r="12" spans="2:97">
      <c r="B12" s="3332"/>
      <c r="C12" s="3333"/>
      <c r="D12" s="80" t="s">
        <v>146</v>
      </c>
      <c r="E12" s="277">
        <f t="shared" si="0"/>
        <v>2.4626209999999999</v>
      </c>
      <c r="F12" s="587">
        <v>1.2999999999999999E-2</v>
      </c>
      <c r="G12" s="587">
        <v>0</v>
      </c>
      <c r="H12" s="587">
        <v>0.29497400000000001</v>
      </c>
      <c r="I12" s="587">
        <v>0.67700099999999996</v>
      </c>
      <c r="J12" s="587">
        <v>-8.5495000000000002E-2</v>
      </c>
      <c r="K12" s="587">
        <v>0.02</v>
      </c>
      <c r="L12" s="587">
        <v>0.49</v>
      </c>
      <c r="M12" s="587">
        <v>1.4E-2</v>
      </c>
      <c r="N12" s="587">
        <v>0.12889999999999999</v>
      </c>
      <c r="O12" s="587">
        <v>0.11</v>
      </c>
      <c r="P12" s="587">
        <v>0.46304099999999998</v>
      </c>
      <c r="Q12" s="663">
        <v>0.3372</v>
      </c>
      <c r="R12" s="277">
        <f t="shared" si="2"/>
        <v>1.9635000000000007</v>
      </c>
      <c r="S12" s="587">
        <v>0.60824</v>
      </c>
      <c r="T12" s="587">
        <v>0.87024000000000001</v>
      </c>
      <c r="U12" s="587">
        <v>7.6799999999999993E-2</v>
      </c>
      <c r="V12" s="587">
        <v>0.109</v>
      </c>
      <c r="W12" s="587">
        <v>3.8675000000000001E-2</v>
      </c>
      <c r="X12" s="587">
        <v>2.5000000000000001E-2</v>
      </c>
      <c r="Y12" s="587">
        <v>1.4999999999999999E-2</v>
      </c>
      <c r="Z12" s="587">
        <v>11.360806999999999</v>
      </c>
      <c r="AA12" s="587">
        <v>-11.182079999999999</v>
      </c>
      <c r="AB12" s="587">
        <v>1.1818E-2</v>
      </c>
      <c r="AC12" s="587">
        <v>0</v>
      </c>
      <c r="AD12" s="587">
        <v>0.03</v>
      </c>
      <c r="AE12" s="277">
        <f t="shared" si="4"/>
        <v>2.3411849999999994</v>
      </c>
      <c r="AF12" s="587">
        <v>4.5450000000000004E-3</v>
      </c>
      <c r="AG12" s="587">
        <v>9.0930000000000004E-3</v>
      </c>
      <c r="AH12" s="587">
        <v>0.27618199999999998</v>
      </c>
      <c r="AI12" s="587">
        <v>0.241091</v>
      </c>
      <c r="AJ12" s="587">
        <v>0.101438</v>
      </c>
      <c r="AK12" s="587">
        <v>-0.18696399999999999</v>
      </c>
      <c r="AL12" s="587">
        <v>8.9999999999999993E-3</v>
      </c>
      <c r="AM12" s="587">
        <v>0</v>
      </c>
      <c r="AN12" s="587">
        <v>1.7425999999999999</v>
      </c>
      <c r="AO12" s="587">
        <v>0.01</v>
      </c>
      <c r="AP12" s="587">
        <v>0</v>
      </c>
      <c r="AQ12" s="587">
        <v>0.13420000000000001</v>
      </c>
      <c r="AR12" s="869">
        <f t="shared" si="15"/>
        <v>4.1397450000000005</v>
      </c>
      <c r="AS12" s="587">
        <v>0</v>
      </c>
      <c r="AT12" s="587">
        <v>0.84341200000000005</v>
      </c>
      <c r="AU12" s="587">
        <v>7.1099999999999997E-2</v>
      </c>
      <c r="AV12" s="587">
        <v>0.11224000000000001</v>
      </c>
      <c r="AW12" s="587">
        <v>0.180478</v>
      </c>
      <c r="AX12" s="587">
        <v>0.16205600000000001</v>
      </c>
      <c r="AY12" s="587">
        <v>1.1205879999999999</v>
      </c>
      <c r="AZ12" s="587">
        <v>0</v>
      </c>
      <c r="BA12" s="587">
        <v>1.2486139999999999</v>
      </c>
      <c r="BB12" s="587">
        <v>-0.117726</v>
      </c>
      <c r="BC12" s="587">
        <v>0.370419</v>
      </c>
      <c r="BD12" s="587">
        <v>0.148564</v>
      </c>
      <c r="BE12" s="869">
        <f t="shared" si="16"/>
        <v>11.189617999999999</v>
      </c>
      <c r="BF12" s="2155">
        <v>2.07E-2</v>
      </c>
      <c r="BG12" s="2155">
        <v>5.5263309999999999</v>
      </c>
      <c r="BH12" s="2155">
        <v>1.4300809999999999</v>
      </c>
      <c r="BI12" s="2155">
        <v>1.064829</v>
      </c>
      <c r="BJ12" s="2157">
        <v>-7.0037000000000002E-2</v>
      </c>
      <c r="BK12" s="2155">
        <v>-1.043723</v>
      </c>
      <c r="BL12" s="2155">
        <v>1.583404</v>
      </c>
      <c r="BM12" s="2155">
        <v>0.23591799999999999</v>
      </c>
      <c r="BN12" s="2155">
        <v>0.88816399999999995</v>
      </c>
      <c r="BO12" s="2155">
        <v>-0.43628</v>
      </c>
      <c r="BP12" s="2155">
        <v>0.13612099999999999</v>
      </c>
      <c r="BQ12" s="2156">
        <v>1.8541099999999999</v>
      </c>
      <c r="BR12" s="869">
        <f t="shared" si="17"/>
        <v>1.2095340000000001</v>
      </c>
      <c r="BS12" s="2155">
        <v>1.6455000000000001E-2</v>
      </c>
      <c r="BT12" s="2155">
        <v>0.567693</v>
      </c>
      <c r="BU12" s="2155">
        <v>0.57239899999999999</v>
      </c>
      <c r="BV12" s="2155">
        <v>-0.26414199999999999</v>
      </c>
      <c r="BW12" s="2155">
        <v>0.86417200000000005</v>
      </c>
      <c r="BX12" s="2155">
        <v>-3.3950000000000001E-2</v>
      </c>
      <c r="BY12" s="2155">
        <v>5.8900000000000001E-2</v>
      </c>
      <c r="BZ12" s="2155">
        <v>9.5876000000000003E-2</v>
      </c>
      <c r="CA12" s="2155">
        <v>-0.92207499999999998</v>
      </c>
      <c r="CB12" s="2155">
        <v>1.2719999999999999E-3</v>
      </c>
      <c r="CC12" s="2155">
        <v>7.724E-3</v>
      </c>
      <c r="CD12" s="3003">
        <v>0.24521000000000001</v>
      </c>
      <c r="CE12" s="869">
        <f t="shared" si="18"/>
        <v>7.4452540000000003</v>
      </c>
      <c r="CF12" s="2152">
        <v>0.28710450000000004</v>
      </c>
      <c r="CG12" s="2152">
        <v>0.28710450000000004</v>
      </c>
      <c r="CH12" s="2152">
        <v>0.28710450000000004</v>
      </c>
      <c r="CI12" s="2152">
        <v>0.28710450000000004</v>
      </c>
      <c r="CJ12" s="2152">
        <v>0.28710450000000004</v>
      </c>
      <c r="CK12" s="2152">
        <v>0.28710450000000004</v>
      </c>
      <c r="CL12" s="2152">
        <v>0.28710450000000004</v>
      </c>
      <c r="CM12" s="2152">
        <v>0.28710450000000004</v>
      </c>
      <c r="CN12" s="2152">
        <v>1.2871045000000001</v>
      </c>
      <c r="CO12" s="2152">
        <v>1.2871045000000001</v>
      </c>
      <c r="CP12" s="2152">
        <v>1.2871045000000001</v>
      </c>
      <c r="CQ12" s="2237">
        <v>1.2871045000000001</v>
      </c>
    </row>
    <row r="13" spans="2:97">
      <c r="B13" s="3332"/>
      <c r="C13" s="3333"/>
      <c r="D13" s="80" t="s">
        <v>147</v>
      </c>
      <c r="E13" s="277">
        <f t="shared" si="0"/>
        <v>549.51004499999999</v>
      </c>
      <c r="F13" s="587">
        <v>58.593130000000002</v>
      </c>
      <c r="G13" s="587">
        <v>58.259892000000001</v>
      </c>
      <c r="H13" s="587">
        <v>58.832290999999998</v>
      </c>
      <c r="I13" s="587">
        <v>57.566737000000003</v>
      </c>
      <c r="J13" s="587">
        <v>58.028257000000004</v>
      </c>
      <c r="K13" s="587">
        <v>36.325000000000003</v>
      </c>
      <c r="L13" s="587">
        <v>37.267516000000001</v>
      </c>
      <c r="M13" s="587">
        <v>37.128120000000003</v>
      </c>
      <c r="N13" s="587">
        <v>36.684106</v>
      </c>
      <c r="O13" s="587">
        <v>37.15052</v>
      </c>
      <c r="P13" s="587">
        <v>36.599226000000002</v>
      </c>
      <c r="Q13" s="663">
        <v>37.075249999999997</v>
      </c>
      <c r="R13" s="277">
        <f t="shared" si="2"/>
        <v>355.57869099999994</v>
      </c>
      <c r="S13" s="587">
        <v>36.996603999999998</v>
      </c>
      <c r="T13" s="587">
        <v>37.832307999999998</v>
      </c>
      <c r="U13" s="587">
        <v>37.104812000000003</v>
      </c>
      <c r="V13" s="587">
        <v>37.141025999999997</v>
      </c>
      <c r="W13" s="587">
        <v>36.801926999999999</v>
      </c>
      <c r="X13" s="587">
        <v>27.529706999999998</v>
      </c>
      <c r="Y13" s="587">
        <v>23.51801</v>
      </c>
      <c r="Z13" s="587">
        <v>26.875413000000002</v>
      </c>
      <c r="AA13" s="587">
        <v>22.707374999999999</v>
      </c>
      <c r="AB13" s="587">
        <v>22.768201999999999</v>
      </c>
      <c r="AC13" s="587">
        <v>23.098911999999999</v>
      </c>
      <c r="AD13" s="587">
        <v>23.204395000000002</v>
      </c>
      <c r="AE13" s="277">
        <f t="shared" si="4"/>
        <v>293.076438</v>
      </c>
      <c r="AF13" s="587">
        <v>23.824642999999998</v>
      </c>
      <c r="AG13" s="587">
        <v>23.096109999999999</v>
      </c>
      <c r="AH13" s="587">
        <v>23.502694000000002</v>
      </c>
      <c r="AI13" s="587">
        <v>25.031849999999999</v>
      </c>
      <c r="AJ13" s="587">
        <v>24.102215999999999</v>
      </c>
      <c r="AK13" s="587">
        <v>23.611643000000001</v>
      </c>
      <c r="AL13" s="587">
        <v>25.583071</v>
      </c>
      <c r="AM13" s="587">
        <v>24.627089000000002</v>
      </c>
      <c r="AN13" s="587">
        <v>24.456043000000001</v>
      </c>
      <c r="AO13" s="587">
        <v>24.375902</v>
      </c>
      <c r="AP13" s="587">
        <v>24.693639999999998</v>
      </c>
      <c r="AQ13" s="587">
        <v>26.171537000000001</v>
      </c>
      <c r="AR13" s="869">
        <f t="shared" si="15"/>
        <v>294.03483</v>
      </c>
      <c r="AS13" s="587">
        <v>27.622716</v>
      </c>
      <c r="AT13" s="587">
        <v>24.894646000000002</v>
      </c>
      <c r="AU13" s="587">
        <v>24.015529999999998</v>
      </c>
      <c r="AV13" s="587">
        <v>25.101116999999999</v>
      </c>
      <c r="AW13" s="587">
        <v>24.204822</v>
      </c>
      <c r="AX13" s="587">
        <v>23.889225</v>
      </c>
      <c r="AY13" s="587">
        <v>25.017174000000001</v>
      </c>
      <c r="AZ13" s="587">
        <v>23.057331000000001</v>
      </c>
      <c r="BA13" s="587">
        <v>23.870754999999999</v>
      </c>
      <c r="BB13" s="587">
        <v>23.791719000000001</v>
      </c>
      <c r="BC13" s="587">
        <v>23.514628999999999</v>
      </c>
      <c r="BD13" s="587">
        <v>25.055166</v>
      </c>
      <c r="BE13" s="869">
        <f t="shared" si="16"/>
        <v>305.162285</v>
      </c>
      <c r="BF13" s="2155">
        <v>27.455427</v>
      </c>
      <c r="BG13" s="2155">
        <v>23.411795000000001</v>
      </c>
      <c r="BH13" s="2155">
        <v>25.575547</v>
      </c>
      <c r="BI13" s="2155">
        <v>24.849865000000001</v>
      </c>
      <c r="BJ13" s="2155">
        <v>24.765004999999999</v>
      </c>
      <c r="BK13" s="2155">
        <v>25.562004999999999</v>
      </c>
      <c r="BL13" s="2155">
        <v>25.566151000000001</v>
      </c>
      <c r="BM13" s="2155">
        <v>24.966888000000001</v>
      </c>
      <c r="BN13" s="2155">
        <v>25.811665000000001</v>
      </c>
      <c r="BO13" s="2155">
        <v>25.424104</v>
      </c>
      <c r="BP13" s="2155">
        <v>24.601856000000002</v>
      </c>
      <c r="BQ13" s="2156">
        <v>27.171976999999998</v>
      </c>
      <c r="BR13" s="869">
        <f t="shared" si="17"/>
        <v>306.68470100000002</v>
      </c>
      <c r="BS13" s="2155">
        <v>28.818345999999998</v>
      </c>
      <c r="BT13" s="2155">
        <v>25.627642999999999</v>
      </c>
      <c r="BU13" s="2155">
        <v>25.245431</v>
      </c>
      <c r="BV13" s="2155">
        <v>25.083731</v>
      </c>
      <c r="BW13" s="2155">
        <v>24.52112</v>
      </c>
      <c r="BX13" s="2155">
        <v>24.271856</v>
      </c>
      <c r="BY13" s="2155">
        <v>24.251394000000001</v>
      </c>
      <c r="BZ13" s="2155">
        <v>24.563165000000001</v>
      </c>
      <c r="CA13" s="2155">
        <v>25.560596</v>
      </c>
      <c r="CB13" s="2155">
        <v>24.611491000000001</v>
      </c>
      <c r="CC13" s="2155">
        <v>25.054303000000001</v>
      </c>
      <c r="CD13" s="3003">
        <v>29.075624999999999</v>
      </c>
      <c r="CE13" s="869">
        <f t="shared" si="18"/>
        <v>307.13625400000001</v>
      </c>
      <c r="CF13" s="2152">
        <v>25.594687833333335</v>
      </c>
      <c r="CG13" s="2152">
        <v>25.594687833333335</v>
      </c>
      <c r="CH13" s="2152">
        <v>25.594687833333335</v>
      </c>
      <c r="CI13" s="2152">
        <v>25.594687833333335</v>
      </c>
      <c r="CJ13" s="2152">
        <v>25.594687833333335</v>
      </c>
      <c r="CK13" s="2152">
        <v>25.594687833333335</v>
      </c>
      <c r="CL13" s="2152">
        <v>25.594687833333335</v>
      </c>
      <c r="CM13" s="2152">
        <v>25.594687833333335</v>
      </c>
      <c r="CN13" s="2152">
        <v>25.594687833333335</v>
      </c>
      <c r="CO13" s="2152">
        <v>25.594687833333335</v>
      </c>
      <c r="CP13" s="2152">
        <v>25.594687833333335</v>
      </c>
      <c r="CQ13" s="2237">
        <v>25.594687833333335</v>
      </c>
    </row>
    <row r="14" spans="2:97">
      <c r="B14" s="3332"/>
      <c r="C14" s="3333"/>
      <c r="D14" s="80" t="s">
        <v>148</v>
      </c>
      <c r="E14" s="277">
        <f t="shared" si="0"/>
        <v>1.9958</v>
      </c>
      <c r="F14" s="587">
        <v>0.19600000000000001</v>
      </c>
      <c r="G14" s="587">
        <v>0.14799999999999999</v>
      </c>
      <c r="H14" s="587">
        <v>0.2064</v>
      </c>
      <c r="I14" s="587">
        <v>0.14380000000000001</v>
      </c>
      <c r="J14" s="587">
        <v>0.14979999999999999</v>
      </c>
      <c r="K14" s="587">
        <v>0.1384</v>
      </c>
      <c r="L14" s="587">
        <v>0.15629999999999999</v>
      </c>
      <c r="M14" s="587">
        <v>0.21629999999999999</v>
      </c>
      <c r="N14" s="587">
        <v>0.1668</v>
      </c>
      <c r="O14" s="587">
        <v>0.10100000000000001</v>
      </c>
      <c r="P14" s="587">
        <v>0.1668</v>
      </c>
      <c r="Q14" s="663">
        <v>0.20619999999999999</v>
      </c>
      <c r="R14" s="277">
        <f t="shared" si="2"/>
        <v>1.6634</v>
      </c>
      <c r="S14" s="587">
        <v>9.3899999999999997E-2</v>
      </c>
      <c r="T14" s="587">
        <v>0.1138</v>
      </c>
      <c r="U14" s="587">
        <v>0.14030000000000001</v>
      </c>
      <c r="V14" s="587">
        <v>0.13350000000000001</v>
      </c>
      <c r="W14" s="587">
        <v>0.1447</v>
      </c>
      <c r="X14" s="587">
        <v>0.1242</v>
      </c>
      <c r="Y14" s="587">
        <v>0.12609999999999999</v>
      </c>
      <c r="Z14" s="587">
        <v>0.157</v>
      </c>
      <c r="AA14" s="587">
        <v>0.11990000000000001</v>
      </c>
      <c r="AB14" s="587">
        <v>0.1646</v>
      </c>
      <c r="AC14" s="587">
        <v>0.16389999999999999</v>
      </c>
      <c r="AD14" s="587">
        <v>0.18149999999999999</v>
      </c>
      <c r="AE14" s="277">
        <f t="shared" si="4"/>
        <v>2.1453499999999996</v>
      </c>
      <c r="AF14" s="587">
        <v>9.5000000000000001E-2</v>
      </c>
      <c r="AG14" s="587">
        <v>0.14829999999999999</v>
      </c>
      <c r="AH14" s="587">
        <v>0.1782</v>
      </c>
      <c r="AI14" s="587">
        <v>0.15939999999999999</v>
      </c>
      <c r="AJ14" s="587">
        <v>0.13619999999999999</v>
      </c>
      <c r="AK14" s="587">
        <v>0.19059999999999999</v>
      </c>
      <c r="AL14" s="587">
        <v>0.1074</v>
      </c>
      <c r="AM14" s="587">
        <v>9.7600000000000006E-2</v>
      </c>
      <c r="AN14" s="587">
        <v>0.1595</v>
      </c>
      <c r="AO14" s="587">
        <v>0.46105000000000002</v>
      </c>
      <c r="AP14" s="587">
        <v>0.27379999999999999</v>
      </c>
      <c r="AQ14" s="587">
        <v>0.13830000000000001</v>
      </c>
      <c r="AR14" s="869">
        <f t="shared" si="15"/>
        <v>1.3667</v>
      </c>
      <c r="AS14" s="587">
        <v>0.12180000000000001</v>
      </c>
      <c r="AT14" s="587">
        <v>8.1500000000000003E-2</v>
      </c>
      <c r="AU14" s="587">
        <v>7.5899999999999995E-2</v>
      </c>
      <c r="AV14" s="587">
        <v>8.5000000000000006E-2</v>
      </c>
      <c r="AW14" s="587">
        <v>0.10150000000000001</v>
      </c>
      <c r="AX14" s="587">
        <v>8.0500000000000002E-2</v>
      </c>
      <c r="AY14" s="587">
        <v>5.8000000000000003E-2</v>
      </c>
      <c r="AZ14" s="587">
        <v>0.26750000000000002</v>
      </c>
      <c r="BA14" s="587">
        <v>7.0999999999999994E-2</v>
      </c>
      <c r="BB14" s="587">
        <v>0.1195</v>
      </c>
      <c r="BC14" s="587">
        <v>7.2999999999999995E-2</v>
      </c>
      <c r="BD14" s="587">
        <v>0.23150000000000001</v>
      </c>
      <c r="BE14" s="869">
        <f t="shared" si="16"/>
        <v>2.0348999999999999</v>
      </c>
      <c r="BF14" s="2155">
        <v>0.40860000000000002</v>
      </c>
      <c r="BG14" s="2155">
        <v>0.14549999999999999</v>
      </c>
      <c r="BH14" s="2155">
        <v>8.9499999999999996E-2</v>
      </c>
      <c r="BI14" s="2155">
        <v>8.9499999999999996E-2</v>
      </c>
      <c r="BJ14" s="2155">
        <v>0.18079999999999999</v>
      </c>
      <c r="BK14" s="2155">
        <v>0.1137</v>
      </c>
      <c r="BL14" s="2155">
        <v>0.19570000000000001</v>
      </c>
      <c r="BM14" s="2155">
        <v>0.11600000000000001</v>
      </c>
      <c r="BN14" s="2155">
        <v>0.17349999999999999</v>
      </c>
      <c r="BO14" s="2155">
        <v>0.22459999999999999</v>
      </c>
      <c r="BP14" s="2155">
        <v>9.7799999999999998E-2</v>
      </c>
      <c r="BQ14" s="2156">
        <v>0.19969999999999999</v>
      </c>
      <c r="BR14" s="869">
        <f t="shared" si="17"/>
        <v>0.86039999999999994</v>
      </c>
      <c r="BS14" s="2155">
        <v>0.155</v>
      </c>
      <c r="BT14" s="2155">
        <v>0.22070000000000001</v>
      </c>
      <c r="BU14" s="2155">
        <v>7.7499999999999999E-2</v>
      </c>
      <c r="BV14" s="2155">
        <v>4.1200000000000001E-2</v>
      </c>
      <c r="BW14" s="2155">
        <v>3.1600000000000003E-2</v>
      </c>
      <c r="BX14" s="2155">
        <v>6.5100000000000005E-2</v>
      </c>
      <c r="BY14" s="2155">
        <v>4.4699999999999997E-2</v>
      </c>
      <c r="BZ14" s="2155">
        <v>2.06E-2</v>
      </c>
      <c r="CA14" s="2155">
        <v>7.3200000000000001E-2</v>
      </c>
      <c r="CB14" s="2155">
        <v>5.4699999999999999E-2</v>
      </c>
      <c r="CC14" s="2155">
        <v>3.5700000000000003E-2</v>
      </c>
      <c r="CD14" s="3003">
        <v>4.0399999999999998E-2</v>
      </c>
      <c r="CE14" s="869">
        <f t="shared" si="18"/>
        <v>1.1822000000000001</v>
      </c>
      <c r="CF14" s="2152">
        <v>9.8516666666666683E-2</v>
      </c>
      <c r="CG14" s="2152">
        <v>9.8516666666666683E-2</v>
      </c>
      <c r="CH14" s="2152">
        <v>9.8516666666666683E-2</v>
      </c>
      <c r="CI14" s="2152">
        <v>9.8516666666666683E-2</v>
      </c>
      <c r="CJ14" s="2152">
        <v>9.8516666666666683E-2</v>
      </c>
      <c r="CK14" s="2152">
        <v>9.8516666666666683E-2</v>
      </c>
      <c r="CL14" s="2152">
        <v>9.8516666666666683E-2</v>
      </c>
      <c r="CM14" s="2152">
        <v>9.8516666666666683E-2</v>
      </c>
      <c r="CN14" s="2152">
        <v>9.8516666666666683E-2</v>
      </c>
      <c r="CO14" s="2152">
        <v>9.8516666666666683E-2</v>
      </c>
      <c r="CP14" s="2152">
        <v>9.8516666666666683E-2</v>
      </c>
      <c r="CQ14" s="2237">
        <v>9.8516666666666683E-2</v>
      </c>
    </row>
    <row r="15" spans="2:97">
      <c r="B15" s="3332"/>
      <c r="C15" s="3333"/>
      <c r="D15" s="80" t="s">
        <v>149</v>
      </c>
      <c r="E15" s="277">
        <f t="shared" si="0"/>
        <v>565.83874099999991</v>
      </c>
      <c r="F15" s="587">
        <v>165.74633299999999</v>
      </c>
      <c r="G15" s="587">
        <v>81.306081000000006</v>
      </c>
      <c r="H15" s="587">
        <v>83.367587999999998</v>
      </c>
      <c r="I15" s="587">
        <v>43.566819000000002</v>
      </c>
      <c r="J15" s="587">
        <v>36.06418</v>
      </c>
      <c r="K15" s="587">
        <v>11.593146000000001</v>
      </c>
      <c r="L15" s="587">
        <v>21.068792999999999</v>
      </c>
      <c r="M15" s="587">
        <v>13.833774</v>
      </c>
      <c r="N15" s="587">
        <v>15.169816000000001</v>
      </c>
      <c r="O15" s="587">
        <v>13.198361999999999</v>
      </c>
      <c r="P15" s="587">
        <v>30.288608</v>
      </c>
      <c r="Q15" s="663">
        <v>50.635241000000001</v>
      </c>
      <c r="R15" s="277">
        <f t="shared" si="2"/>
        <v>675.84012700000005</v>
      </c>
      <c r="S15" s="587">
        <v>27.505216000000001</v>
      </c>
      <c r="T15" s="587">
        <v>21.193819000000001</v>
      </c>
      <c r="U15" s="587">
        <v>6.5040709999999997</v>
      </c>
      <c r="V15" s="587">
        <v>12.466817000000001</v>
      </c>
      <c r="W15" s="587">
        <v>24.914999999999999</v>
      </c>
      <c r="X15" s="587">
        <v>314.75405699999999</v>
      </c>
      <c r="Y15" s="587">
        <v>25.495062000000001</v>
      </c>
      <c r="Z15" s="587">
        <v>23.573477</v>
      </c>
      <c r="AA15" s="587">
        <v>85.128659999999996</v>
      </c>
      <c r="AB15" s="587">
        <v>27.952999999999999</v>
      </c>
      <c r="AC15" s="587">
        <v>29.764664</v>
      </c>
      <c r="AD15" s="587">
        <v>76.586284000000006</v>
      </c>
      <c r="AE15" s="277">
        <f t="shared" si="4"/>
        <v>431.910437</v>
      </c>
      <c r="AF15" s="587">
        <v>60.765169999999998</v>
      </c>
      <c r="AG15" s="587">
        <v>36.484636999999999</v>
      </c>
      <c r="AH15" s="587">
        <v>42.780555</v>
      </c>
      <c r="AI15" s="587">
        <v>20.876728</v>
      </c>
      <c r="AJ15" s="587">
        <v>48.849544999999999</v>
      </c>
      <c r="AK15" s="587">
        <v>7.7235940000000003</v>
      </c>
      <c r="AL15" s="587">
        <v>68.163677000000007</v>
      </c>
      <c r="AM15" s="587">
        <v>19.130362999999999</v>
      </c>
      <c r="AN15" s="587">
        <v>13.128636</v>
      </c>
      <c r="AO15" s="587">
        <v>13.894</v>
      </c>
      <c r="AP15" s="587">
        <v>13.506</v>
      </c>
      <c r="AQ15" s="587">
        <v>86.607532000000006</v>
      </c>
      <c r="AR15" s="869">
        <f t="shared" si="15"/>
        <v>293.29190400000005</v>
      </c>
      <c r="AS15" s="587">
        <v>23.978770000000001</v>
      </c>
      <c r="AT15" s="587">
        <v>18.829108000000002</v>
      </c>
      <c r="AU15" s="587">
        <v>10.512731</v>
      </c>
      <c r="AV15" s="587">
        <v>126.46315</v>
      </c>
      <c r="AW15" s="587">
        <v>17.812999999999999</v>
      </c>
      <c r="AX15" s="587">
        <v>-15.690742999999999</v>
      </c>
      <c r="AY15" s="587">
        <v>15.296459</v>
      </c>
      <c r="AZ15" s="587">
        <v>18.524999999999999</v>
      </c>
      <c r="BA15" s="587">
        <v>16.3</v>
      </c>
      <c r="BB15" s="587">
        <v>8.5399999999999991</v>
      </c>
      <c r="BC15" s="587">
        <v>12.205</v>
      </c>
      <c r="BD15" s="587">
        <v>40.519429000000002</v>
      </c>
      <c r="BE15" s="869">
        <f t="shared" si="16"/>
        <v>1078.3967269999998</v>
      </c>
      <c r="BF15" s="2155">
        <v>18.399999999999999</v>
      </c>
      <c r="BG15" s="2155">
        <v>12.08</v>
      </c>
      <c r="BH15" s="2155">
        <v>51.722068999999998</v>
      </c>
      <c r="BI15" s="2155">
        <v>28.914999999999999</v>
      </c>
      <c r="BJ15" s="2155">
        <v>50.737423999999997</v>
      </c>
      <c r="BK15" s="2155">
        <v>34.346021999999998</v>
      </c>
      <c r="BL15" s="2155">
        <v>59.86</v>
      </c>
      <c r="BM15" s="2155">
        <v>6.854546</v>
      </c>
      <c r="BN15" s="2155">
        <v>-279.57725199999999</v>
      </c>
      <c r="BO15" s="2155">
        <v>572.55409999999995</v>
      </c>
      <c r="BP15" s="2155">
        <v>114.395</v>
      </c>
      <c r="BQ15" s="2156">
        <v>408.10981800000002</v>
      </c>
      <c r="BR15" s="869">
        <f t="shared" si="17"/>
        <v>2893.5265369999997</v>
      </c>
      <c r="BS15" s="2155">
        <v>133.828</v>
      </c>
      <c r="BT15" s="2155">
        <v>266.17</v>
      </c>
      <c r="BU15" s="2155">
        <v>19.155068</v>
      </c>
      <c r="BV15" s="2155">
        <v>24.614799999999999</v>
      </c>
      <c r="BW15" s="2155">
        <v>22.87</v>
      </c>
      <c r="BX15" s="2155">
        <v>237.97209599999999</v>
      </c>
      <c r="BY15" s="2155">
        <v>250.44003599999999</v>
      </c>
      <c r="BZ15" s="2155">
        <v>82.526786999999999</v>
      </c>
      <c r="CA15" s="2155">
        <v>413.582651</v>
      </c>
      <c r="CB15" s="2155">
        <v>13.69</v>
      </c>
      <c r="CC15" s="2155">
        <v>405.56909999999999</v>
      </c>
      <c r="CD15" s="3003">
        <v>1023.1079989999999</v>
      </c>
      <c r="CE15" s="869">
        <f t="shared" si="18"/>
        <v>1909.2199280000002</v>
      </c>
      <c r="CF15" s="2152">
        <v>159.10166066666667</v>
      </c>
      <c r="CG15" s="2152">
        <v>159.10166066666667</v>
      </c>
      <c r="CH15" s="2152">
        <v>159.10166066666667</v>
      </c>
      <c r="CI15" s="2152">
        <v>159.10166066666667</v>
      </c>
      <c r="CJ15" s="2152">
        <v>159.10166066666667</v>
      </c>
      <c r="CK15" s="2152">
        <v>159.10166066666667</v>
      </c>
      <c r="CL15" s="2152">
        <v>159.10166066666667</v>
      </c>
      <c r="CM15" s="2152">
        <v>159.10166066666667</v>
      </c>
      <c r="CN15" s="2152">
        <v>159.10166066666667</v>
      </c>
      <c r="CO15" s="2152">
        <v>159.10166066666667</v>
      </c>
      <c r="CP15" s="2152">
        <v>159.10166066666667</v>
      </c>
      <c r="CQ15" s="2237">
        <v>159.10166066666667</v>
      </c>
      <c r="CS15" s="2926"/>
    </row>
    <row r="16" spans="2:97">
      <c r="B16" s="3332"/>
      <c r="C16" s="3333"/>
      <c r="D16" s="80" t="s">
        <v>150</v>
      </c>
      <c r="E16" s="277">
        <f t="shared" si="0"/>
        <v>564.36411599999997</v>
      </c>
      <c r="F16" s="587">
        <v>42.126510000000003</v>
      </c>
      <c r="G16" s="587">
        <v>67.924802</v>
      </c>
      <c r="H16" s="587">
        <v>43.979126000000001</v>
      </c>
      <c r="I16" s="587">
        <v>39.449393000000001</v>
      </c>
      <c r="J16" s="587">
        <v>43.810516</v>
      </c>
      <c r="K16" s="587">
        <v>59.389654</v>
      </c>
      <c r="L16" s="587">
        <v>35.732646000000003</v>
      </c>
      <c r="M16" s="587">
        <v>43.575136000000001</v>
      </c>
      <c r="N16" s="587">
        <v>41.456822000000003</v>
      </c>
      <c r="O16" s="587">
        <v>34.975247000000003</v>
      </c>
      <c r="P16" s="587">
        <v>41.488813999999998</v>
      </c>
      <c r="Q16" s="663">
        <v>70.455449999999999</v>
      </c>
      <c r="R16" s="277">
        <f t="shared" si="2"/>
        <v>736.54781400000002</v>
      </c>
      <c r="S16" s="587">
        <v>38.046576999999999</v>
      </c>
      <c r="T16" s="587">
        <v>35.885039999999996</v>
      </c>
      <c r="U16" s="587">
        <v>39.624274</v>
      </c>
      <c r="V16" s="587">
        <v>35.246963999999998</v>
      </c>
      <c r="W16" s="587">
        <v>23.30161</v>
      </c>
      <c r="X16" s="587">
        <v>55.322732999999999</v>
      </c>
      <c r="Y16" s="587">
        <v>49.897869999999998</v>
      </c>
      <c r="Z16" s="587">
        <v>33.531666999999999</v>
      </c>
      <c r="AA16" s="587">
        <v>43.486018999999999</v>
      </c>
      <c r="AB16" s="587">
        <v>100.307101</v>
      </c>
      <c r="AC16" s="587">
        <v>127.36902499999999</v>
      </c>
      <c r="AD16" s="587">
        <v>154.52893399999999</v>
      </c>
      <c r="AE16" s="277">
        <f t="shared" si="4"/>
        <v>1742.6998900000003</v>
      </c>
      <c r="AF16" s="587">
        <v>110.261655</v>
      </c>
      <c r="AG16" s="587">
        <v>102.192633</v>
      </c>
      <c r="AH16" s="587">
        <v>109.537128</v>
      </c>
      <c r="AI16" s="587">
        <v>115.186896</v>
      </c>
      <c r="AJ16" s="587">
        <v>105.427629</v>
      </c>
      <c r="AK16" s="587">
        <v>118.870211</v>
      </c>
      <c r="AL16" s="587">
        <v>175.543038</v>
      </c>
      <c r="AM16" s="587">
        <v>171.91422399999999</v>
      </c>
      <c r="AN16" s="587">
        <v>171.02464499999999</v>
      </c>
      <c r="AO16" s="587">
        <v>150.09766999999999</v>
      </c>
      <c r="AP16" s="587">
        <v>172.938861</v>
      </c>
      <c r="AQ16" s="587">
        <v>239.70529999999999</v>
      </c>
      <c r="AR16" s="869">
        <f>SUM(AS16:BD16)</f>
        <v>2968.4599440000002</v>
      </c>
      <c r="AS16" s="587">
        <v>154.36603700000001</v>
      </c>
      <c r="AT16" s="587">
        <v>183.37351699999999</v>
      </c>
      <c r="AU16" s="587">
        <v>341.39275300000003</v>
      </c>
      <c r="AV16" s="587">
        <v>120.405029</v>
      </c>
      <c r="AW16" s="587">
        <v>185.82871</v>
      </c>
      <c r="AX16" s="587">
        <v>294.63142499999998</v>
      </c>
      <c r="AY16" s="587">
        <v>280.660301</v>
      </c>
      <c r="AZ16" s="587">
        <v>318.76702699999998</v>
      </c>
      <c r="BA16" s="587">
        <v>233.78681599999999</v>
      </c>
      <c r="BB16" s="587">
        <v>281.51044200000001</v>
      </c>
      <c r="BC16" s="587">
        <v>259.46033199999999</v>
      </c>
      <c r="BD16" s="587">
        <v>314.27755500000001</v>
      </c>
      <c r="BE16" s="869">
        <f t="shared" si="16"/>
        <v>4663.1777099999999</v>
      </c>
      <c r="BF16" s="2158">
        <v>306.901678</v>
      </c>
      <c r="BG16" s="2155">
        <v>369.98235899999997</v>
      </c>
      <c r="BH16" s="2155">
        <v>257.293722</v>
      </c>
      <c r="BI16" s="2155">
        <v>241.80606399999999</v>
      </c>
      <c r="BJ16" s="2155">
        <v>230.845688</v>
      </c>
      <c r="BK16" s="2155">
        <v>272.71477299999998</v>
      </c>
      <c r="BL16" s="2155">
        <v>268.89499799999999</v>
      </c>
      <c r="BM16" s="2155">
        <v>1332.723373</v>
      </c>
      <c r="BN16" s="2155">
        <v>418.99331899999999</v>
      </c>
      <c r="BO16" s="2155">
        <v>361.12604499999998</v>
      </c>
      <c r="BP16" s="2155">
        <v>283.81178799999998</v>
      </c>
      <c r="BQ16" s="2156">
        <v>318.08390300000002</v>
      </c>
      <c r="BR16" s="869">
        <f t="shared" si="17"/>
        <v>3275.2009110000004</v>
      </c>
      <c r="BS16" s="2158">
        <v>288.75388600000002</v>
      </c>
      <c r="BT16" s="2155">
        <v>263.64494100000002</v>
      </c>
      <c r="BU16" s="2155">
        <v>217.28117700000001</v>
      </c>
      <c r="BV16" s="2155">
        <v>275.28488499999997</v>
      </c>
      <c r="BW16" s="2155">
        <v>318.89696800000002</v>
      </c>
      <c r="BX16" s="2155">
        <v>301.05185599999999</v>
      </c>
      <c r="BY16" s="2155">
        <v>236.571078</v>
      </c>
      <c r="BZ16" s="2155">
        <v>231.02879100000001</v>
      </c>
      <c r="CA16" s="2155">
        <v>225.612199</v>
      </c>
      <c r="CB16" s="2155">
        <v>226.30021600000001</v>
      </c>
      <c r="CC16" s="2155">
        <v>312.10879199999999</v>
      </c>
      <c r="CD16" s="3003">
        <v>378.66612199999997</v>
      </c>
      <c r="CE16" s="869">
        <f t="shared" si="18"/>
        <v>3329.8274260000003</v>
      </c>
      <c r="CF16" s="2152">
        <v>277.48561883333338</v>
      </c>
      <c r="CG16" s="2152">
        <v>277.48561883333338</v>
      </c>
      <c r="CH16" s="2152">
        <v>277.48561883333338</v>
      </c>
      <c r="CI16" s="2152">
        <v>277.48561883333338</v>
      </c>
      <c r="CJ16" s="2152">
        <v>277.48561883333338</v>
      </c>
      <c r="CK16" s="2152">
        <v>277.48561883333338</v>
      </c>
      <c r="CL16" s="2152">
        <v>277.48561883333338</v>
      </c>
      <c r="CM16" s="2152">
        <v>277.48561883333338</v>
      </c>
      <c r="CN16" s="2152">
        <v>277.48561883333338</v>
      </c>
      <c r="CO16" s="2152">
        <v>277.48561883333338</v>
      </c>
      <c r="CP16" s="2152">
        <v>277.48561883333338</v>
      </c>
      <c r="CQ16" s="2237">
        <v>277.48561883333338</v>
      </c>
      <c r="CS16" s="88"/>
    </row>
    <row r="17" spans="1:95">
      <c r="B17" s="3332"/>
      <c r="C17" s="3333"/>
      <c r="D17" s="80" t="s">
        <v>151</v>
      </c>
      <c r="E17" s="277">
        <f t="shared" si="0"/>
        <v>264.99878699999999</v>
      </c>
      <c r="F17" s="587">
        <v>22.119589999999999</v>
      </c>
      <c r="G17" s="587">
        <v>21.786051</v>
      </c>
      <c r="H17" s="587">
        <v>20.889147999999999</v>
      </c>
      <c r="I17" s="587">
        <v>18.190204000000001</v>
      </c>
      <c r="J17" s="587">
        <v>22.237829000000001</v>
      </c>
      <c r="K17" s="587">
        <v>21.974426000000001</v>
      </c>
      <c r="L17" s="587">
        <v>20.949607</v>
      </c>
      <c r="M17" s="587">
        <v>25.694497999999999</v>
      </c>
      <c r="N17" s="587">
        <v>22.093672999999999</v>
      </c>
      <c r="O17" s="587">
        <v>20.438576999999999</v>
      </c>
      <c r="P17" s="587">
        <v>24.123135999999999</v>
      </c>
      <c r="Q17" s="663">
        <v>24.502047999999998</v>
      </c>
      <c r="R17" s="277">
        <f t="shared" si="2"/>
        <v>300.40761699999996</v>
      </c>
      <c r="S17" s="587">
        <v>24.743313000000001</v>
      </c>
      <c r="T17" s="587">
        <v>24.370820999999999</v>
      </c>
      <c r="U17" s="587">
        <v>25.479171000000001</v>
      </c>
      <c r="V17" s="587">
        <v>23.125408</v>
      </c>
      <c r="W17" s="587">
        <v>20.565878000000001</v>
      </c>
      <c r="X17" s="587">
        <v>23.712122000000001</v>
      </c>
      <c r="Y17" s="587">
        <v>20.566535999999999</v>
      </c>
      <c r="Z17" s="587">
        <v>21.678872999999999</v>
      </c>
      <c r="AA17" s="587">
        <v>21.414973</v>
      </c>
      <c r="AB17" s="587">
        <v>45.948450000000001</v>
      </c>
      <c r="AC17" s="587">
        <v>23.219344</v>
      </c>
      <c r="AD17" s="587">
        <v>25.582727999999999</v>
      </c>
      <c r="AE17" s="277">
        <f t="shared" si="4"/>
        <v>282.46720400000004</v>
      </c>
      <c r="AF17" s="587">
        <v>19.04128</v>
      </c>
      <c r="AG17" s="587">
        <v>23.184058</v>
      </c>
      <c r="AH17" s="587">
        <v>21.609383000000001</v>
      </c>
      <c r="AI17" s="587">
        <v>20.774311999999998</v>
      </c>
      <c r="AJ17" s="587">
        <v>24.345199000000001</v>
      </c>
      <c r="AK17" s="587">
        <v>21.368967999999999</v>
      </c>
      <c r="AL17" s="587">
        <v>18.839448999999998</v>
      </c>
      <c r="AM17" s="587">
        <v>28.556708</v>
      </c>
      <c r="AN17" s="587">
        <v>38.619464999999998</v>
      </c>
      <c r="AO17" s="587">
        <v>25.133316000000001</v>
      </c>
      <c r="AP17" s="587">
        <v>22.390224</v>
      </c>
      <c r="AQ17" s="587">
        <v>18.604842000000001</v>
      </c>
      <c r="AR17" s="869">
        <f t="shared" si="15"/>
        <v>202.05606500000002</v>
      </c>
      <c r="AS17" s="587">
        <v>18.144403000000001</v>
      </c>
      <c r="AT17" s="587">
        <v>16.375340999999999</v>
      </c>
      <c r="AU17" s="587">
        <v>15.012677999999999</v>
      </c>
      <c r="AV17" s="587">
        <v>13.312298</v>
      </c>
      <c r="AW17" s="587">
        <v>12.295648999999999</v>
      </c>
      <c r="AX17" s="587">
        <v>13.361129999999999</v>
      </c>
      <c r="AY17" s="587">
        <v>13.215097999999999</v>
      </c>
      <c r="AZ17" s="587">
        <v>19.02026</v>
      </c>
      <c r="BA17" s="587">
        <v>32.313138000000002</v>
      </c>
      <c r="BB17" s="587">
        <v>19.356161</v>
      </c>
      <c r="BC17" s="587">
        <v>18.546061000000002</v>
      </c>
      <c r="BD17" s="587">
        <v>11.103847999999999</v>
      </c>
      <c r="BE17" s="869">
        <f t="shared" si="16"/>
        <v>120.417889</v>
      </c>
      <c r="BF17" s="2155">
        <v>11.676411</v>
      </c>
      <c r="BG17" s="2155">
        <v>9.7881070000000001</v>
      </c>
      <c r="BH17" s="2155">
        <v>8.2026489999999992</v>
      </c>
      <c r="BI17" s="2155">
        <v>7.7579070000000003</v>
      </c>
      <c r="BJ17" s="2155">
        <v>8.3160159999999994</v>
      </c>
      <c r="BK17" s="2155">
        <v>7.0683559999999996</v>
      </c>
      <c r="BL17" s="2155">
        <v>8.5404060000000008</v>
      </c>
      <c r="BM17" s="2155">
        <v>8.1348179999999992</v>
      </c>
      <c r="BN17" s="2155">
        <v>27.125684</v>
      </c>
      <c r="BO17" s="2155">
        <v>9.6898409999999995</v>
      </c>
      <c r="BP17" s="2155">
        <v>7.5539459999999998</v>
      </c>
      <c r="BQ17" s="2156">
        <v>6.5637480000000004</v>
      </c>
      <c r="BR17" s="869">
        <f>SUM(BS17:CD17)</f>
        <v>106.500033</v>
      </c>
      <c r="BS17" s="2155">
        <v>6.1296270000000002</v>
      </c>
      <c r="BT17" s="2155">
        <v>7.3955729999999997</v>
      </c>
      <c r="BU17" s="2155">
        <v>6.7037630000000004</v>
      </c>
      <c r="BV17" s="2155">
        <v>6.8971289999999996</v>
      </c>
      <c r="BW17" s="2155">
        <v>7.4326689999999997</v>
      </c>
      <c r="BX17" s="2155">
        <v>5.6415329999999999</v>
      </c>
      <c r="BY17" s="2155">
        <v>7.3340339999999999</v>
      </c>
      <c r="BZ17" s="2155">
        <v>5.8713829999999998</v>
      </c>
      <c r="CA17" s="2155">
        <v>28.765391999999999</v>
      </c>
      <c r="CB17" s="2155">
        <v>10.148246</v>
      </c>
      <c r="CC17" s="2155">
        <v>7.4097239999999998</v>
      </c>
      <c r="CD17" s="3003">
        <v>6.7709599999999996</v>
      </c>
      <c r="CE17" s="869">
        <f>SUM(CF17:CQ17)</f>
        <v>80.400587999999999</v>
      </c>
      <c r="CF17" s="2152">
        <v>6.7000489999999999</v>
      </c>
      <c r="CG17" s="2152">
        <v>6.7000489999999999</v>
      </c>
      <c r="CH17" s="2152">
        <v>6.7000489999999999</v>
      </c>
      <c r="CI17" s="2152">
        <v>6.7000489999999999</v>
      </c>
      <c r="CJ17" s="2152">
        <v>6.7000489999999999</v>
      </c>
      <c r="CK17" s="2152">
        <v>6.7000489999999999</v>
      </c>
      <c r="CL17" s="2152">
        <v>6.7000489999999999</v>
      </c>
      <c r="CM17" s="2152">
        <v>6.7000489999999999</v>
      </c>
      <c r="CN17" s="2152">
        <v>6.7000489999999999</v>
      </c>
      <c r="CO17" s="2152">
        <v>6.7000489999999999</v>
      </c>
      <c r="CP17" s="2152">
        <v>6.7000489999999999</v>
      </c>
      <c r="CQ17" s="2237">
        <v>6.7000489999999999</v>
      </c>
    </row>
    <row r="18" spans="1:95">
      <c r="B18" s="615"/>
      <c r="C18" s="616"/>
      <c r="D18" s="80" t="s">
        <v>374</v>
      </c>
      <c r="E18" s="277">
        <f t="shared" si="0"/>
        <v>0.21454500000000001</v>
      </c>
      <c r="F18" s="326"/>
      <c r="G18" s="587"/>
      <c r="H18" s="587"/>
      <c r="I18" s="587"/>
      <c r="J18" s="587">
        <v>0.21454500000000001</v>
      </c>
      <c r="K18" s="587"/>
      <c r="L18" s="587"/>
      <c r="M18" s="587"/>
      <c r="N18" s="587"/>
      <c r="O18" s="587"/>
      <c r="P18" s="587"/>
      <c r="Q18" s="663"/>
      <c r="R18" s="277">
        <f t="shared" si="2"/>
        <v>741.48065499999996</v>
      </c>
      <c r="S18" s="326"/>
      <c r="T18" s="587"/>
      <c r="U18" s="587"/>
      <c r="V18" s="587"/>
      <c r="W18" s="587"/>
      <c r="X18" s="587"/>
      <c r="Y18" s="587">
        <v>741</v>
      </c>
      <c r="Z18" s="587">
        <v>0.480655</v>
      </c>
      <c r="AA18" s="587"/>
      <c r="AB18" s="587"/>
      <c r="AC18" s="587"/>
      <c r="AD18" s="587"/>
      <c r="AE18" s="277">
        <f t="shared" si="4"/>
        <v>0.31399999999999995</v>
      </c>
      <c r="AF18" s="587"/>
      <c r="AG18" s="587">
        <v>0.28399999999999997</v>
      </c>
      <c r="AH18" s="587"/>
      <c r="AI18" s="587"/>
      <c r="AJ18" s="587"/>
      <c r="AK18" s="587"/>
      <c r="AL18" s="587"/>
      <c r="AM18" s="587"/>
      <c r="AN18" s="587"/>
      <c r="AO18" s="587"/>
      <c r="AP18" s="587">
        <v>0.03</v>
      </c>
      <c r="AQ18" s="663">
        <v>0</v>
      </c>
      <c r="AR18" s="869">
        <f t="shared" si="15"/>
        <v>2.6572750000000003</v>
      </c>
      <c r="AS18" s="587">
        <v>0</v>
      </c>
      <c r="AT18" s="587">
        <v>0.31818200000000002</v>
      </c>
      <c r="AU18" s="587">
        <v>0.27272800000000003</v>
      </c>
      <c r="AV18" s="587">
        <v>0</v>
      </c>
      <c r="AW18" s="587">
        <v>0.15818199999999999</v>
      </c>
      <c r="AX18" s="587">
        <v>0.44818200000000002</v>
      </c>
      <c r="AY18" s="587">
        <v>0</v>
      </c>
      <c r="AZ18" s="587">
        <v>0.44818200000000002</v>
      </c>
      <c r="BA18" s="587">
        <v>0.26</v>
      </c>
      <c r="BB18" s="587">
        <v>0.26</v>
      </c>
      <c r="BC18" s="587">
        <v>0.49181900000000001</v>
      </c>
      <c r="BD18" s="663">
        <v>0</v>
      </c>
      <c r="BE18" s="869">
        <f t="shared" si="16"/>
        <v>3.5800029999999907</v>
      </c>
      <c r="BF18" s="2155">
        <v>0</v>
      </c>
      <c r="BG18" s="2155"/>
      <c r="BH18" s="2155"/>
      <c r="BI18" s="2155"/>
      <c r="BJ18" s="2155">
        <f>0.756364</f>
        <v>0.75636400000000004</v>
      </c>
      <c r="BK18" s="2155">
        <v>1.1254550000000001</v>
      </c>
      <c r="BL18" s="2155">
        <f>0.669091+0.00999999999999091</f>
        <v>0.6790909999999909</v>
      </c>
      <c r="BM18" s="2155">
        <v>0.64000100000000004</v>
      </c>
      <c r="BN18" s="2155">
        <v>0.17818200000000001</v>
      </c>
      <c r="BO18" s="2155">
        <v>0</v>
      </c>
      <c r="BP18" s="2155">
        <v>0.20091000000000001</v>
      </c>
      <c r="BQ18" s="2156">
        <v>0</v>
      </c>
      <c r="BR18" s="869">
        <f>SUM(BS18:CD18)</f>
        <v>4.1605369999999997</v>
      </c>
      <c r="BS18" s="2155">
        <v>0.34909099999999998</v>
      </c>
      <c r="BT18" s="2155">
        <v>0</v>
      </c>
      <c r="BU18" s="2155">
        <v>0</v>
      </c>
      <c r="BV18" s="2155">
        <v>0</v>
      </c>
      <c r="BW18" s="2155">
        <v>0.87727299999999997</v>
      </c>
      <c r="BX18" s="2155">
        <v>0</v>
      </c>
      <c r="BY18" s="2155">
        <v>0</v>
      </c>
      <c r="BZ18" s="2155">
        <v>1.332354</v>
      </c>
      <c r="CA18" s="2155">
        <v>0.347273</v>
      </c>
      <c r="CB18" s="2155">
        <v>0.52909099999999998</v>
      </c>
      <c r="CC18" s="2155">
        <v>0.37818200000000002</v>
      </c>
      <c r="CD18" s="3003">
        <v>0.347273</v>
      </c>
      <c r="CE18" s="869">
        <f>SUM(CF18:CQ18)</f>
        <v>2.4527280000000005</v>
      </c>
      <c r="CF18" s="2152">
        <v>0.20439399999999999</v>
      </c>
      <c r="CG18" s="2152">
        <v>0.20439399999999999</v>
      </c>
      <c r="CH18" s="2152">
        <v>0.20439399999999999</v>
      </c>
      <c r="CI18" s="2152">
        <v>0.20439399999999999</v>
      </c>
      <c r="CJ18" s="2152">
        <v>0.20439399999999999</v>
      </c>
      <c r="CK18" s="2152">
        <v>0.20439399999999999</v>
      </c>
      <c r="CL18" s="2152">
        <v>0.20439399999999999</v>
      </c>
      <c r="CM18" s="2152">
        <v>0.20439399999999999</v>
      </c>
      <c r="CN18" s="2152">
        <v>0.20439399999999999</v>
      </c>
      <c r="CO18" s="2152">
        <v>0.20439399999999999</v>
      </c>
      <c r="CP18" s="2152">
        <v>0.20439399999999999</v>
      </c>
      <c r="CQ18" s="2237">
        <v>0.20439399999999999</v>
      </c>
    </row>
    <row r="19" spans="1:95">
      <c r="B19" s="138"/>
      <c r="C19" s="137"/>
      <c r="D19" s="150" t="s">
        <v>280</v>
      </c>
      <c r="E19" s="277">
        <f t="shared" si="0"/>
        <v>3932.54358</v>
      </c>
      <c r="F19" s="318">
        <f>인건비!G33</f>
        <v>333.40048000000002</v>
      </c>
      <c r="G19" s="587">
        <f>인건비!H33</f>
        <v>316.79903999999999</v>
      </c>
      <c r="H19" s="587">
        <v>310.31470000000002</v>
      </c>
      <c r="I19" s="587">
        <v>305.98473000000001</v>
      </c>
      <c r="J19" s="587">
        <f>인건비!K33</f>
        <v>303.74865999999997</v>
      </c>
      <c r="K19" s="587">
        <v>331.88382999999999</v>
      </c>
      <c r="L19" s="587">
        <v>327.2269</v>
      </c>
      <c r="M19" s="587">
        <v>336.80779999999999</v>
      </c>
      <c r="N19" s="587">
        <v>326.22847999999999</v>
      </c>
      <c r="O19" s="587">
        <v>321.25360000000001</v>
      </c>
      <c r="P19" s="587">
        <f>인건비!Q33</f>
        <v>327.70100000000002</v>
      </c>
      <c r="Q19" s="663">
        <f>인건비!R33</f>
        <v>391.19436000000002</v>
      </c>
      <c r="R19" s="277">
        <f t="shared" si="2"/>
        <v>3685.5163419999999</v>
      </c>
      <c r="S19" s="318">
        <f>인건비!T33</f>
        <v>310.04005000000001</v>
      </c>
      <c r="T19" s="318">
        <f>인건비!U33</f>
        <v>298.26272</v>
      </c>
      <c r="U19" s="318">
        <f>인건비!V33</f>
        <v>295.4649</v>
      </c>
      <c r="V19" s="318">
        <f>인건비!W33</f>
        <v>305.35946999999999</v>
      </c>
      <c r="W19" s="318">
        <f>인건비!X33</f>
        <v>306.54483900000002</v>
      </c>
      <c r="X19" s="318">
        <f>인건비!Y33</f>
        <v>300.31955900000003</v>
      </c>
      <c r="Y19" s="587">
        <f>인건비!Z33</f>
        <v>294.911449</v>
      </c>
      <c r="Z19" s="587">
        <f>인건비!AA33</f>
        <v>297.77461899999997</v>
      </c>
      <c r="AA19" s="587">
        <f>인건비!AB33</f>
        <v>295.358339</v>
      </c>
      <c r="AB19" s="587">
        <f>인건비!AC33</f>
        <v>297.922169</v>
      </c>
      <c r="AC19" s="587">
        <f>인건비!AD33</f>
        <v>340.19304899999997</v>
      </c>
      <c r="AD19" s="587">
        <f>인건비!AE33</f>
        <v>343.36517900000001</v>
      </c>
      <c r="AE19" s="277">
        <f>SUM(AF19:AQ19)</f>
        <v>3595.816417</v>
      </c>
      <c r="AF19" s="587">
        <f>인건비!AG33</f>
        <v>292.84951899999999</v>
      </c>
      <c r="AG19" s="587">
        <f>인건비!AH33</f>
        <v>294.70999899999998</v>
      </c>
      <c r="AH19" s="318">
        <f>인건비!AI33</f>
        <v>292.82186999999999</v>
      </c>
      <c r="AI19" s="318">
        <f>인건비!AJ33</f>
        <v>294.61114600000002</v>
      </c>
      <c r="AJ19" s="318">
        <f>인건비!AK33</f>
        <v>295.00830000000002</v>
      </c>
      <c r="AK19" s="318">
        <f>인건비!AL33</f>
        <v>297.54205400000001</v>
      </c>
      <c r="AL19" s="587">
        <f>인건비!AM33</f>
        <v>302.48693900000001</v>
      </c>
      <c r="AM19" s="587">
        <f>인건비!AN33</f>
        <v>295.98160999999999</v>
      </c>
      <c r="AN19" s="587">
        <v>298.24972000000002</v>
      </c>
      <c r="AO19" s="587">
        <v>315.57798000000003</v>
      </c>
      <c r="AP19" s="587">
        <v>315.556668</v>
      </c>
      <c r="AQ19" s="663">
        <v>300.42061200000001</v>
      </c>
      <c r="AR19" s="869">
        <f>SUM(AS19:BD19)</f>
        <v>3371.0772860000006</v>
      </c>
      <c r="AS19" s="587">
        <v>322.21722499999998</v>
      </c>
      <c r="AT19" s="587">
        <v>288.55770999999999</v>
      </c>
      <c r="AU19" s="587">
        <v>290.63837999999998</v>
      </c>
      <c r="AV19" s="587">
        <v>284.03240899999997</v>
      </c>
      <c r="AW19" s="587">
        <v>281.77546000000001</v>
      </c>
      <c r="AX19" s="587">
        <v>274.10543999999999</v>
      </c>
      <c r="AY19" s="587">
        <v>269.35064</v>
      </c>
      <c r="AZ19" s="587">
        <v>259.29406</v>
      </c>
      <c r="BA19" s="587">
        <v>273.5324</v>
      </c>
      <c r="BB19" s="587">
        <v>264.92870199999999</v>
      </c>
      <c r="BC19" s="587">
        <v>278.83325000000002</v>
      </c>
      <c r="BD19" s="663">
        <v>283.81160999999997</v>
      </c>
      <c r="BE19" s="869">
        <f>SUM(BF19:BQ19)</f>
        <v>3031.4121989999999</v>
      </c>
      <c r="BF19" s="2155">
        <f>인건비!BG33</f>
        <v>274.97278</v>
      </c>
      <c r="BG19" s="2155">
        <f>인건비!BH33</f>
        <v>252.94699</v>
      </c>
      <c r="BH19" s="2155">
        <f>인건비!BI33</f>
        <v>234.99793</v>
      </c>
      <c r="BI19" s="2155">
        <f>인건비!BJ33</f>
        <v>245.33181999999999</v>
      </c>
      <c r="BJ19" s="2155">
        <f>인건비!BK33</f>
        <v>228.17448999999999</v>
      </c>
      <c r="BK19" s="2155">
        <f>인건비!BL33</f>
        <v>239.66505000000001</v>
      </c>
      <c r="BL19" s="2155">
        <f>인건비!BM33</f>
        <v>240.28608</v>
      </c>
      <c r="BM19" s="2155">
        <f>인건비!BN33</f>
        <v>248.04258999999999</v>
      </c>
      <c r="BN19" s="2155">
        <f>인건비!BO33</f>
        <v>259.04509000000002</v>
      </c>
      <c r="BO19" s="2155">
        <f>인건비!BP33</f>
        <v>273.94236899999999</v>
      </c>
      <c r="BP19" s="2155">
        <f>인건비!BQ33</f>
        <v>274.70551999999998</v>
      </c>
      <c r="BQ19" s="2156">
        <f>인건비!BR33</f>
        <v>259.30149</v>
      </c>
      <c r="BR19" s="869">
        <f>SUM(BS19:CD19)</f>
        <v>2732.4023179999999</v>
      </c>
      <c r="BS19" s="2155">
        <f>인건비!BT33</f>
        <v>240.71203</v>
      </c>
      <c r="BT19" s="2155">
        <f>인건비!BU33</f>
        <v>256.68238000000002</v>
      </c>
      <c r="BU19" s="2155">
        <f>인건비!BV33</f>
        <v>246.34416999999999</v>
      </c>
      <c r="BV19" s="2155">
        <f>인건비!BW33</f>
        <v>249.73244</v>
      </c>
      <c r="BW19" s="2155">
        <f>인건비!BX33</f>
        <v>240.86377999999999</v>
      </c>
      <c r="BX19" s="2155">
        <f>인건비!BY33</f>
        <v>265.98971</v>
      </c>
      <c r="BY19" s="2155">
        <f>인건비!BZ33</f>
        <v>234.64709999999999</v>
      </c>
      <c r="BZ19" s="2155">
        <f>인건비!CA33</f>
        <v>217.2508</v>
      </c>
      <c r="CA19" s="2155">
        <f>인건비!CB33</f>
        <v>226.85344000000001</v>
      </c>
      <c r="CB19" s="2155">
        <f>인건비!CC33</f>
        <v>198.100448</v>
      </c>
      <c r="CC19" s="2155">
        <f>인건비!CD33</f>
        <v>180.08234999999999</v>
      </c>
      <c r="CD19" s="3003">
        <f>인건비!CE33</f>
        <v>175.14366999999999</v>
      </c>
      <c r="CE19" s="869">
        <f>SUM(CF19:CQ19)</f>
        <v>3191.8765199999993</v>
      </c>
      <c r="CF19" s="2152">
        <f>인건비!CG33</f>
        <v>265.98971</v>
      </c>
      <c r="CG19" s="2152">
        <f>인건비!CH33</f>
        <v>265.98971</v>
      </c>
      <c r="CH19" s="2152">
        <f>인건비!CI33</f>
        <v>265.98971</v>
      </c>
      <c r="CI19" s="2152">
        <f>인건비!CJ33</f>
        <v>265.98971</v>
      </c>
      <c r="CJ19" s="2152">
        <f>인건비!CK33</f>
        <v>265.98971</v>
      </c>
      <c r="CK19" s="2152">
        <f>인건비!CL33</f>
        <v>265.98971</v>
      </c>
      <c r="CL19" s="2152">
        <f>인건비!CM33</f>
        <v>265.98971</v>
      </c>
      <c r="CM19" s="2152">
        <f>인건비!CN33</f>
        <v>265.98971</v>
      </c>
      <c r="CN19" s="2152">
        <f>인건비!CO33</f>
        <v>265.98971</v>
      </c>
      <c r="CO19" s="2152">
        <f>인건비!CP33</f>
        <v>265.98971</v>
      </c>
      <c r="CP19" s="2152">
        <f>인건비!CQ33</f>
        <v>265.98971</v>
      </c>
      <c r="CQ19" s="2237">
        <f>인건비!CR33</f>
        <v>265.98971</v>
      </c>
    </row>
    <row r="20" spans="1:95" ht="16.5" customHeight="1">
      <c r="B20" s="3423" t="s">
        <v>152</v>
      </c>
      <c r="C20" s="3424"/>
      <c r="D20" s="90" t="s">
        <v>142</v>
      </c>
      <c r="E20" s="1314">
        <f t="shared" ref="E20" si="19">SUM(E21:E26)</f>
        <v>3703.023584</v>
      </c>
      <c r="F20" s="727">
        <f t="shared" ref="F20:M20" si="20">SUM(F21:F26)</f>
        <v>311.69916699999999</v>
      </c>
      <c r="G20" s="727">
        <f t="shared" si="20"/>
        <v>291.721363</v>
      </c>
      <c r="H20" s="727">
        <f t="shared" si="20"/>
        <v>285.14561600000002</v>
      </c>
      <c r="I20" s="727">
        <f t="shared" si="20"/>
        <v>309.33114599999999</v>
      </c>
      <c r="J20" s="727">
        <f t="shared" si="20"/>
        <v>294.19730599999997</v>
      </c>
      <c r="K20" s="727">
        <f t="shared" si="20"/>
        <v>340.09307000000001</v>
      </c>
      <c r="L20" s="727">
        <f t="shared" si="20"/>
        <v>312.39981799999998</v>
      </c>
      <c r="M20" s="727">
        <f t="shared" si="20"/>
        <v>310.93338700000004</v>
      </c>
      <c r="N20" s="727">
        <f t="shared" ref="N20:R20" si="21">SUM(N21:N26)</f>
        <v>284.29793899999999</v>
      </c>
      <c r="O20" s="727">
        <f t="shared" si="21"/>
        <v>274.14137999999997</v>
      </c>
      <c r="P20" s="727">
        <f t="shared" si="21"/>
        <v>339.628197</v>
      </c>
      <c r="Q20" s="727">
        <f t="shared" si="21"/>
        <v>349.43519500000002</v>
      </c>
      <c r="R20" s="1314">
        <f t="shared" si="21"/>
        <v>4333.4974869999996</v>
      </c>
      <c r="S20" s="727">
        <f t="shared" ref="S20:U20" si="22">SUM(S21:S26)</f>
        <v>256.32951600000001</v>
      </c>
      <c r="T20" s="727">
        <f t="shared" si="22"/>
        <v>253.03621300000003</v>
      </c>
      <c r="U20" s="727">
        <f t="shared" si="22"/>
        <v>309.98887499999995</v>
      </c>
      <c r="V20" s="727">
        <f t="shared" ref="V20:AQ20" si="23">SUM(V21:V26)</f>
        <v>323.53885400000001</v>
      </c>
      <c r="W20" s="727">
        <f t="shared" si="23"/>
        <v>301.02144699999997</v>
      </c>
      <c r="X20" s="727">
        <f t="shared" si="23"/>
        <v>417.04779000000008</v>
      </c>
      <c r="Y20" s="727">
        <f t="shared" si="23"/>
        <v>354.057526</v>
      </c>
      <c r="Z20" s="727">
        <f t="shared" si="23"/>
        <v>342.19849300000004</v>
      </c>
      <c r="AA20" s="727">
        <f t="shared" si="23"/>
        <v>346.80098799999996</v>
      </c>
      <c r="AB20" s="727">
        <f t="shared" ref="AB20" si="24">SUM(AB21:AB26)</f>
        <v>307.02500200000003</v>
      </c>
      <c r="AC20" s="727">
        <f t="shared" si="23"/>
        <v>452.71628900000002</v>
      </c>
      <c r="AD20" s="727">
        <f t="shared" si="23"/>
        <v>669.73649399999999</v>
      </c>
      <c r="AE20" s="1314">
        <f t="shared" si="23"/>
        <v>6475.865648</v>
      </c>
      <c r="AF20" s="727">
        <f t="shared" si="23"/>
        <v>309.29052700000005</v>
      </c>
      <c r="AG20" s="727">
        <f t="shared" si="23"/>
        <v>296.914244</v>
      </c>
      <c r="AH20" s="727">
        <f t="shared" si="23"/>
        <v>383.32290999999992</v>
      </c>
      <c r="AI20" s="727">
        <f t="shared" si="23"/>
        <v>500.26002000000005</v>
      </c>
      <c r="AJ20" s="727">
        <f t="shared" si="23"/>
        <v>429.53559899999999</v>
      </c>
      <c r="AK20" s="727">
        <f t="shared" si="23"/>
        <v>449.58723700000007</v>
      </c>
      <c r="AL20" s="727">
        <f t="shared" si="23"/>
        <v>1150.92668</v>
      </c>
      <c r="AM20" s="727">
        <f t="shared" si="23"/>
        <v>500.29552300000006</v>
      </c>
      <c r="AN20" s="727">
        <f t="shared" si="23"/>
        <v>481.32842099999999</v>
      </c>
      <c r="AO20" s="727">
        <f t="shared" si="23"/>
        <v>536.28275800000006</v>
      </c>
      <c r="AP20" s="727">
        <f t="shared" si="23"/>
        <v>519.83239300000002</v>
      </c>
      <c r="AQ20" s="727">
        <f t="shared" si="23"/>
        <v>918.28933600000005</v>
      </c>
      <c r="AR20" s="1314">
        <f t="shared" ref="AR20:BD20" si="25">SUM(AR21:AR26)</f>
        <v>6992.1641539999991</v>
      </c>
      <c r="AS20" s="551">
        <f t="shared" si="25"/>
        <v>478.74433999999997</v>
      </c>
      <c r="AT20" s="551">
        <f t="shared" si="25"/>
        <v>471.90378499999997</v>
      </c>
      <c r="AU20" s="551">
        <f t="shared" si="25"/>
        <v>514.92114000000004</v>
      </c>
      <c r="AV20" s="551">
        <f t="shared" si="25"/>
        <v>552.42318799999998</v>
      </c>
      <c r="AW20" s="551">
        <f t="shared" si="25"/>
        <v>463.97591999999997</v>
      </c>
      <c r="AX20" s="551">
        <f t="shared" si="25"/>
        <v>489.33604000000003</v>
      </c>
      <c r="AY20" s="551">
        <f t="shared" si="25"/>
        <v>545.54200399999991</v>
      </c>
      <c r="AZ20" s="551">
        <f t="shared" si="25"/>
        <v>980.74200200000007</v>
      </c>
      <c r="BA20" s="551">
        <f t="shared" si="25"/>
        <v>432.97332400000005</v>
      </c>
      <c r="BB20" s="551">
        <f t="shared" si="25"/>
        <v>510.07288100000005</v>
      </c>
      <c r="BC20" s="551">
        <f t="shared" si="25"/>
        <v>512.94129399999997</v>
      </c>
      <c r="BD20" s="552">
        <f t="shared" si="25"/>
        <v>1038.5882359999998</v>
      </c>
      <c r="BE20" s="1680">
        <f t="shared" ref="BE20:BQ20" si="26">SUM(BE21:BE26)</f>
        <v>5929.8489209999998</v>
      </c>
      <c r="BF20" s="551">
        <f>SUM(BF21:BF26)</f>
        <v>488.33468800000003</v>
      </c>
      <c r="BG20" s="551">
        <f t="shared" si="26"/>
        <v>413.16232500000001</v>
      </c>
      <c r="BH20" s="551">
        <f t="shared" si="26"/>
        <v>438.62072799999993</v>
      </c>
      <c r="BI20" s="551">
        <f t="shared" si="26"/>
        <v>457.11065300000001</v>
      </c>
      <c r="BJ20" s="551">
        <f t="shared" si="26"/>
        <v>398.97305899999998</v>
      </c>
      <c r="BK20" s="551">
        <f t="shared" si="26"/>
        <v>491.88131000000004</v>
      </c>
      <c r="BL20" s="551">
        <f t="shared" si="26"/>
        <v>538.33424200000002</v>
      </c>
      <c r="BM20" s="551">
        <f t="shared" si="26"/>
        <v>380.04313200000007</v>
      </c>
      <c r="BN20" s="551">
        <f t="shared" si="26"/>
        <v>411.48899599999999</v>
      </c>
      <c r="BO20" s="551">
        <f t="shared" si="26"/>
        <v>485.416203</v>
      </c>
      <c r="BP20" s="551">
        <f t="shared" si="26"/>
        <v>428.83191699999998</v>
      </c>
      <c r="BQ20" s="552">
        <f t="shared" si="26"/>
        <v>997.65166800000009</v>
      </c>
      <c r="BR20" s="1680">
        <f>SUM(BR21:BR26)</f>
        <v>6253.1447560000006</v>
      </c>
      <c r="BS20" s="2169">
        <f>SUM(BS21:BS26)</f>
        <v>436.23994099999999</v>
      </c>
      <c r="BT20" s="2169">
        <f t="shared" ref="BT20:CD20" si="27">SUM(BT21:BT26)</f>
        <v>430.79148600000002</v>
      </c>
      <c r="BU20" s="2169">
        <f t="shared" si="27"/>
        <v>427.81093999999996</v>
      </c>
      <c r="BV20" s="2169">
        <f t="shared" si="27"/>
        <v>492.14913000000001</v>
      </c>
      <c r="BW20" s="2169">
        <f t="shared" si="27"/>
        <v>427.29929899999996</v>
      </c>
      <c r="BX20" s="2169">
        <f t="shared" si="27"/>
        <v>475.69622700000002</v>
      </c>
      <c r="BY20" s="2169">
        <f t="shared" si="27"/>
        <v>606.12594300000012</v>
      </c>
      <c r="BZ20" s="2169">
        <f t="shared" si="27"/>
        <v>421.44966099999999</v>
      </c>
      <c r="CA20" s="2169">
        <f t="shared" si="27"/>
        <v>567.89280700000006</v>
      </c>
      <c r="CB20" s="2169">
        <f t="shared" si="27"/>
        <v>439.27412800000002</v>
      </c>
      <c r="CC20" s="2169">
        <f t="shared" si="27"/>
        <v>480.66261600000007</v>
      </c>
      <c r="CD20" s="2238">
        <f t="shared" si="27"/>
        <v>1047.7525779999999</v>
      </c>
      <c r="CE20" s="1680">
        <f>SUM(CE21:CE26)</f>
        <v>6414.9786007124985</v>
      </c>
      <c r="CF20" s="2169">
        <f>SUM(CF21:CF26)</f>
        <v>496.51544183088197</v>
      </c>
      <c r="CG20" s="2169">
        <f t="shared" ref="CG20:CQ20" si="28">SUM(CG21:CG26)</f>
        <v>459.17598215612111</v>
      </c>
      <c r="CH20" s="2169">
        <f t="shared" si="28"/>
        <v>512.05809636869776</v>
      </c>
      <c r="CI20" s="2169">
        <f t="shared" si="28"/>
        <v>469.47057906506393</v>
      </c>
      <c r="CJ20" s="2169">
        <f t="shared" si="28"/>
        <v>469.63351786003136</v>
      </c>
      <c r="CK20" s="2169">
        <f t="shared" si="28"/>
        <v>467.60361348799279</v>
      </c>
      <c r="CL20" s="2169">
        <f t="shared" si="28"/>
        <v>522.45649023282169</v>
      </c>
      <c r="CM20" s="2169">
        <f t="shared" si="28"/>
        <v>475.68984755117208</v>
      </c>
      <c r="CN20" s="2169">
        <f t="shared" si="28"/>
        <v>536.02628962329618</v>
      </c>
      <c r="CO20" s="2169">
        <f t="shared" si="28"/>
        <v>491.37412761320388</v>
      </c>
      <c r="CP20" s="2169">
        <f t="shared" si="28"/>
        <v>527.65869201618239</v>
      </c>
      <c r="CQ20" s="2238">
        <f t="shared" si="28"/>
        <v>987.31592290703361</v>
      </c>
    </row>
    <row r="21" spans="1:95">
      <c r="B21" s="3332"/>
      <c r="C21" s="3333"/>
      <c r="D21" s="80" t="s">
        <v>153</v>
      </c>
      <c r="E21" s="277">
        <f t="shared" ref="E21:E26" si="29">SUM(F21:Q21)</f>
        <v>7.1396720000000009</v>
      </c>
      <c r="F21" s="587">
        <v>0.23564199999999999</v>
      </c>
      <c r="G21" s="587">
        <v>0.42864400000000002</v>
      </c>
      <c r="H21" s="587">
        <v>0.42173300000000002</v>
      </c>
      <c r="I21" s="587">
        <v>0.44878400000000002</v>
      </c>
      <c r="J21" s="587">
        <v>0.47592099999999998</v>
      </c>
      <c r="K21" s="587">
        <v>1.063469</v>
      </c>
      <c r="L21" s="587">
        <v>0.79842800000000003</v>
      </c>
      <c r="M21" s="587">
        <v>0.77751300000000001</v>
      </c>
      <c r="N21" s="587">
        <v>0.80000700000000002</v>
      </c>
      <c r="O21" s="587">
        <v>0.68740100000000004</v>
      </c>
      <c r="P21" s="587">
        <v>0.56071499999999996</v>
      </c>
      <c r="Q21" s="587">
        <v>0.441415</v>
      </c>
      <c r="R21" s="277">
        <f t="shared" ref="R21:R26" si="30">SUM(S21:AD21)</f>
        <v>7.4326949999999998</v>
      </c>
      <c r="S21" s="587">
        <v>0.404003</v>
      </c>
      <c r="T21" s="587">
        <v>0.40454800000000002</v>
      </c>
      <c r="U21" s="587">
        <v>0.75046299999999999</v>
      </c>
      <c r="V21" s="587">
        <v>0.86380800000000002</v>
      </c>
      <c r="W21" s="587">
        <v>0.280001</v>
      </c>
      <c r="X21" s="587">
        <v>1.3798280000000001</v>
      </c>
      <c r="Y21" s="587">
        <v>0.85697800000000002</v>
      </c>
      <c r="Z21" s="587">
        <v>0.49291499999999999</v>
      </c>
      <c r="AA21" s="587">
        <v>0.22253000000000001</v>
      </c>
      <c r="AB21" s="587">
        <v>0.29673300000000002</v>
      </c>
      <c r="AC21" s="587">
        <v>0.68082399999999998</v>
      </c>
      <c r="AD21" s="587">
        <v>0.800064</v>
      </c>
      <c r="AE21" s="277">
        <f t="shared" ref="AE21:AE26" si="31">SUM(AF21:AQ21)</f>
        <v>22.060101</v>
      </c>
      <c r="AF21" s="587">
        <v>1.763388</v>
      </c>
      <c r="AG21" s="587">
        <v>1.456671</v>
      </c>
      <c r="AH21" s="587">
        <v>1.8028919999999999</v>
      </c>
      <c r="AI21" s="587">
        <v>1.9971989999999999</v>
      </c>
      <c r="AJ21" s="587">
        <v>1.964299</v>
      </c>
      <c r="AK21" s="587">
        <v>1.7161599999999999</v>
      </c>
      <c r="AL21" s="587">
        <v>1.9680949999999999</v>
      </c>
      <c r="AM21" s="587">
        <v>1.845799</v>
      </c>
      <c r="AN21" s="587">
        <v>1.6053299999999999</v>
      </c>
      <c r="AO21" s="587">
        <v>1.949271</v>
      </c>
      <c r="AP21" s="587">
        <v>1.999924</v>
      </c>
      <c r="AQ21" s="587">
        <v>1.9910730000000001</v>
      </c>
      <c r="AR21" s="869">
        <f t="shared" ref="AR21:AR26" si="32">SUM(AS21:BD21)</f>
        <v>25.325676000000001</v>
      </c>
      <c r="AS21" s="587">
        <v>2.3185690000000001</v>
      </c>
      <c r="AT21" s="587">
        <v>1.6766509999999999</v>
      </c>
      <c r="AU21" s="587">
        <v>1.5900080000000001</v>
      </c>
      <c r="AV21" s="587">
        <v>1.74207</v>
      </c>
      <c r="AW21" s="587">
        <v>2.2604150000000001</v>
      </c>
      <c r="AX21" s="587">
        <v>1.977382</v>
      </c>
      <c r="AY21" s="587">
        <v>1.8735409999999999</v>
      </c>
      <c r="AZ21" s="587">
        <v>2.4696709999999999</v>
      </c>
      <c r="BA21" s="587">
        <v>2.2415039999999999</v>
      </c>
      <c r="BB21" s="587">
        <v>1.975352</v>
      </c>
      <c r="BC21" s="587">
        <v>3.488108</v>
      </c>
      <c r="BD21" s="587">
        <v>1.712405</v>
      </c>
      <c r="BE21" s="869">
        <f t="shared" ref="BE21:BE26" si="33">SUM(BF21:BQ21)</f>
        <v>26.985202000000001</v>
      </c>
      <c r="BF21" s="2155">
        <v>2.5118369999999999</v>
      </c>
      <c r="BG21" s="2155">
        <v>1.6430929999999999</v>
      </c>
      <c r="BH21" s="2155">
        <v>2.6604670000000001</v>
      </c>
      <c r="BI21" s="2155">
        <v>2.408779</v>
      </c>
      <c r="BJ21" s="2155">
        <v>2.102627</v>
      </c>
      <c r="BK21" s="2155">
        <v>2.9317069999999998</v>
      </c>
      <c r="BL21" s="2155">
        <v>2.4780700000000002</v>
      </c>
      <c r="BM21" s="2155">
        <v>1.3468249999999999</v>
      </c>
      <c r="BN21" s="2155">
        <v>2.5642860000000001</v>
      </c>
      <c r="BO21" s="2155">
        <v>2.4082279999999998</v>
      </c>
      <c r="BP21" s="2155">
        <v>1.874182</v>
      </c>
      <c r="BQ21" s="2156">
        <v>2.0551010000000001</v>
      </c>
      <c r="BR21" s="869">
        <f t="shared" ref="BR21:BR26" si="34">SUM(BS21:CD21)</f>
        <v>29.239024999999998</v>
      </c>
      <c r="BS21" s="2155">
        <v>2.2668740000000001</v>
      </c>
      <c r="BT21" s="2155">
        <v>2.9078189999999999</v>
      </c>
      <c r="BU21" s="2155">
        <v>3.1049069999999999</v>
      </c>
      <c r="BV21" s="2155">
        <v>1.9973380000000001</v>
      </c>
      <c r="BW21" s="2155">
        <v>2.0354179999999999</v>
      </c>
      <c r="BX21" s="2155">
        <v>2.187837</v>
      </c>
      <c r="BY21" s="2155">
        <v>2.3497659999999998</v>
      </c>
      <c r="BZ21" s="2155">
        <v>1.896863</v>
      </c>
      <c r="CA21" s="2155">
        <v>4.3922220000000003</v>
      </c>
      <c r="CB21" s="2155">
        <v>1.5609740000000001</v>
      </c>
      <c r="CC21" s="2155">
        <v>2.0692689999999998</v>
      </c>
      <c r="CD21" s="3003">
        <v>2.469738</v>
      </c>
      <c r="CE21" s="869">
        <f t="shared" ref="CE21:CE26" si="35">SUM(CF21:CQ21)</f>
        <v>29.000385999999988</v>
      </c>
      <c r="CF21" s="2152">
        <v>2.4166988333333328</v>
      </c>
      <c r="CG21" s="2152">
        <v>2.4166988333333328</v>
      </c>
      <c r="CH21" s="2152">
        <v>2.4166988333333328</v>
      </c>
      <c r="CI21" s="2152">
        <v>2.4166988333333328</v>
      </c>
      <c r="CJ21" s="2152">
        <v>2.4166988333333328</v>
      </c>
      <c r="CK21" s="2152">
        <v>2.4166988333333328</v>
      </c>
      <c r="CL21" s="2152">
        <v>2.4166988333333328</v>
      </c>
      <c r="CM21" s="2152">
        <v>2.4166988333333328</v>
      </c>
      <c r="CN21" s="2152">
        <v>2.4166988333333328</v>
      </c>
      <c r="CO21" s="2152">
        <v>2.4166988333333328</v>
      </c>
      <c r="CP21" s="2152">
        <v>2.4166988333333328</v>
      </c>
      <c r="CQ21" s="2237">
        <v>2.4166988333333328</v>
      </c>
    </row>
    <row r="22" spans="1:95">
      <c r="B22" s="3332"/>
      <c r="C22" s="3333"/>
      <c r="D22" s="80" t="s">
        <v>154</v>
      </c>
      <c r="E22" s="277">
        <f t="shared" si="29"/>
        <v>906.67248300000006</v>
      </c>
      <c r="F22" s="326">
        <v>76.960690000000014</v>
      </c>
      <c r="G22" s="587">
        <v>77.390114999999994</v>
      </c>
      <c r="H22" s="587">
        <v>78.276517999999996</v>
      </c>
      <c r="I22" s="587">
        <v>75.469712999999999</v>
      </c>
      <c r="J22" s="587">
        <v>73.002141000000009</v>
      </c>
      <c r="K22" s="587">
        <v>79.179115999999993</v>
      </c>
      <c r="L22" s="587">
        <v>77.223702000000003</v>
      </c>
      <c r="M22" s="587">
        <v>71.472946000000007</v>
      </c>
      <c r="N22" s="663">
        <v>74.719542000000004</v>
      </c>
      <c r="O22" s="663">
        <v>72.243534000000011</v>
      </c>
      <c r="P22" s="663">
        <v>74.246333000000007</v>
      </c>
      <c r="Q22" s="663">
        <v>76.488133000000005</v>
      </c>
      <c r="R22" s="277">
        <f t="shared" si="30"/>
        <v>1036.805897</v>
      </c>
      <c r="S22" s="663">
        <v>82.360372000000012</v>
      </c>
      <c r="T22" s="663">
        <v>82.360388</v>
      </c>
      <c r="U22" s="663">
        <v>93.785629999999998</v>
      </c>
      <c r="V22" s="663">
        <v>86.624347</v>
      </c>
      <c r="W22" s="663">
        <v>85.535268000000002</v>
      </c>
      <c r="X22" s="663">
        <v>91.005258000000012</v>
      </c>
      <c r="Y22" s="663">
        <v>85.121869000000004</v>
      </c>
      <c r="Z22" s="663">
        <v>84.332678000000001</v>
      </c>
      <c r="AA22" s="663">
        <v>90.301341000000008</v>
      </c>
      <c r="AB22" s="663">
        <v>83.320634999999996</v>
      </c>
      <c r="AC22" s="663">
        <v>85.559599000000006</v>
      </c>
      <c r="AD22" s="663">
        <v>86.498511999999991</v>
      </c>
      <c r="AE22" s="277">
        <f t="shared" si="31"/>
        <v>1007.1903209999998</v>
      </c>
      <c r="AF22" s="663">
        <v>84.499199000000004</v>
      </c>
      <c r="AG22" s="663">
        <v>81.681225000000012</v>
      </c>
      <c r="AH22" s="663">
        <v>88.109008999999986</v>
      </c>
      <c r="AI22" s="663">
        <v>80.626995999999991</v>
      </c>
      <c r="AJ22" s="663">
        <v>83.528919000000002</v>
      </c>
      <c r="AK22" s="663">
        <v>89.091865999999996</v>
      </c>
      <c r="AL22" s="663">
        <v>78.42756700000001</v>
      </c>
      <c r="AM22" s="663">
        <v>81.772803999999994</v>
      </c>
      <c r="AN22" s="663">
        <v>88.577329999999989</v>
      </c>
      <c r="AO22" s="663">
        <v>79.068190999999999</v>
      </c>
      <c r="AP22" s="663">
        <v>82.271470999999991</v>
      </c>
      <c r="AQ22" s="663">
        <v>89.535744000000008</v>
      </c>
      <c r="AR22" s="869">
        <f t="shared" si="32"/>
        <v>1012.4052409999999</v>
      </c>
      <c r="AS22" s="587">
        <v>82.760435000000001</v>
      </c>
      <c r="AT22" s="587">
        <v>81.862198000000006</v>
      </c>
      <c r="AU22" s="587">
        <v>91.677302999999995</v>
      </c>
      <c r="AV22" s="587">
        <v>78.649101999999999</v>
      </c>
      <c r="AW22" s="587">
        <v>86.378794999999997</v>
      </c>
      <c r="AX22" s="587">
        <v>88.461715000000012</v>
      </c>
      <c r="AY22" s="587">
        <v>79.818083000000001</v>
      </c>
      <c r="AZ22" s="587">
        <v>80.478374000000002</v>
      </c>
      <c r="BA22" s="587">
        <v>89.982020000000006</v>
      </c>
      <c r="BB22" s="587">
        <v>78.430451000000005</v>
      </c>
      <c r="BC22" s="587">
        <v>81.419437999999985</v>
      </c>
      <c r="BD22" s="663">
        <v>92.487326999999993</v>
      </c>
      <c r="BE22" s="869">
        <f t="shared" si="33"/>
        <v>1064.2720910000003</v>
      </c>
      <c r="BF22" s="2155">
        <v>86.180772000000005</v>
      </c>
      <c r="BG22" s="2155">
        <v>81.620279999999994</v>
      </c>
      <c r="BH22" s="2155">
        <v>95.418422000000007</v>
      </c>
      <c r="BI22" s="2155">
        <v>84.310337000000004</v>
      </c>
      <c r="BJ22" s="2155">
        <v>80.371232000000006</v>
      </c>
      <c r="BK22" s="2155">
        <v>99.328286000000006</v>
      </c>
      <c r="BL22" s="2155">
        <v>87.866564999999994</v>
      </c>
      <c r="BM22" s="2155">
        <v>82.077582000000007</v>
      </c>
      <c r="BN22" s="2155">
        <v>92.548435999999995</v>
      </c>
      <c r="BO22" s="2155">
        <v>86.569411000000002</v>
      </c>
      <c r="BP22" s="2155">
        <v>88.114765000000006</v>
      </c>
      <c r="BQ22" s="2156">
        <v>99.866003000000006</v>
      </c>
      <c r="BR22" s="869">
        <f t="shared" si="34"/>
        <v>1288.531107</v>
      </c>
      <c r="BS22" s="2155">
        <v>87.638339000000002</v>
      </c>
      <c r="BT22" s="2155">
        <v>92.499472999999995</v>
      </c>
      <c r="BU22" s="2155">
        <v>105.414964</v>
      </c>
      <c r="BV22" s="2155">
        <v>85.764521000000002</v>
      </c>
      <c r="BW22" s="2155">
        <v>89.435720000000003</v>
      </c>
      <c r="BX22" s="2155">
        <v>106.46940699999999</v>
      </c>
      <c r="BY22" s="2155">
        <v>89.492568000000006</v>
      </c>
      <c r="BZ22" s="2155">
        <v>94.29883199999999</v>
      </c>
      <c r="CA22" s="2155">
        <v>159.11913000000001</v>
      </c>
      <c r="CB22" s="2155">
        <v>108.834641</v>
      </c>
      <c r="CC22" s="2155">
        <v>127.27028300000001</v>
      </c>
      <c r="CD22" s="3003">
        <v>142.29322899999997</v>
      </c>
      <c r="CE22" s="869">
        <f t="shared" si="35"/>
        <v>1090.3519799253822</v>
      </c>
      <c r="CF22" s="2152">
        <f>(CF27*인건비!CG5)/1000000</f>
        <v>90.704482595611623</v>
      </c>
      <c r="CG22" s="2152">
        <f>(CG27*인건비!CH5)/1000000</f>
        <v>90.378187065753792</v>
      </c>
      <c r="CH22" s="2152">
        <f>(CH27*인건비!CI5)/1000000</f>
        <v>90.250506206244197</v>
      </c>
      <c r="CI22" s="2152">
        <f>(CI27*인건비!CJ5)/1000000</f>
        <v>90.1029638796998</v>
      </c>
      <c r="CJ22" s="2152">
        <f>(CJ27*인건비!CK5)/1000000</f>
        <v>90.460470286326654</v>
      </c>
      <c r="CK22" s="2152">
        <f>(CK27*인건비!CL5)/1000000</f>
        <v>90.491681163095635</v>
      </c>
      <c r="CL22" s="2152">
        <f>(CL27*인건비!CM5)/1000000</f>
        <v>91.189669861748087</v>
      </c>
      <c r="CM22" s="2152">
        <f>(CM27*인건비!CN5)/1000000</f>
        <v>91.220880738517096</v>
      </c>
      <c r="CN22" s="2152">
        <f>(CN27*인건비!CO5)/1000000</f>
        <v>91.578387145143935</v>
      </c>
      <c r="CO22" s="2152">
        <f>(CO27*인건비!CP5)/1000000</f>
        <v>91.2833024920551</v>
      </c>
      <c r="CP22" s="2152">
        <f>(CP27*인건비!CQ5)/1000000</f>
        <v>90.988217838966278</v>
      </c>
      <c r="CQ22" s="2237">
        <f>(CQ27*인건비!CR5)/1000000</f>
        <v>91.703230652219986</v>
      </c>
    </row>
    <row r="23" spans="1:95">
      <c r="B23" s="3332"/>
      <c r="C23" s="3333"/>
      <c r="D23" s="150" t="s">
        <v>278</v>
      </c>
      <c r="E23" s="277">
        <f t="shared" si="29"/>
        <v>1624.9330730000001</v>
      </c>
      <c r="F23" s="326">
        <f>무선!F306</f>
        <v>166.48060899999999</v>
      </c>
      <c r="G23" s="326">
        <f>무선!G306</f>
        <v>139.75605400000001</v>
      </c>
      <c r="H23" s="326">
        <f>무선!H306</f>
        <v>122.79602</v>
      </c>
      <c r="I23" s="326">
        <f>무선!I306</f>
        <v>154.56028499999999</v>
      </c>
      <c r="J23" s="326">
        <f>무선!J306</f>
        <v>141.682399</v>
      </c>
      <c r="K23" s="326">
        <f>무선!K306</f>
        <v>164.395184</v>
      </c>
      <c r="L23" s="326">
        <f>무선!L306</f>
        <v>139.98235600000001</v>
      </c>
      <c r="M23" s="326">
        <f>무선!M306</f>
        <v>131.148201</v>
      </c>
      <c r="N23" s="326">
        <v>127.454404</v>
      </c>
      <c r="O23" s="326">
        <v>117.232125</v>
      </c>
      <c r="P23" s="326">
        <f>무선!P306</f>
        <v>114.340909</v>
      </c>
      <c r="Q23" s="326">
        <f>무선!Q306</f>
        <v>105.104527</v>
      </c>
      <c r="R23" s="277">
        <f t="shared" si="30"/>
        <v>1489.2856000000002</v>
      </c>
      <c r="S23" s="587">
        <f>무선!S306</f>
        <v>107.22720700000001</v>
      </c>
      <c r="T23" s="587">
        <f>무선!T306</f>
        <v>110.822255</v>
      </c>
      <c r="U23" s="587">
        <f>무선!U306</f>
        <v>112.649233</v>
      </c>
      <c r="V23" s="587">
        <f>무선!V306</f>
        <v>146.578228</v>
      </c>
      <c r="W23" s="587">
        <f>무선!W306</f>
        <v>134.792542</v>
      </c>
      <c r="X23" s="587">
        <f>무선!X306</f>
        <v>137.90639200000001</v>
      </c>
      <c r="Y23" s="587">
        <f>무선!Y306</f>
        <v>137.53049799999999</v>
      </c>
      <c r="Z23" s="587">
        <f>무선!Z306</f>
        <v>104.486602</v>
      </c>
      <c r="AA23" s="587">
        <f>무선!AA306</f>
        <v>99.518731000000002</v>
      </c>
      <c r="AB23" s="587">
        <v>113.24715500000001</v>
      </c>
      <c r="AC23" s="587">
        <f>무선!AC306</f>
        <v>154.19135</v>
      </c>
      <c r="AD23" s="587">
        <f>무선!AD306</f>
        <v>130.335407</v>
      </c>
      <c r="AE23" s="277">
        <f t="shared" si="31"/>
        <v>2210.6378059999997</v>
      </c>
      <c r="AF23" s="587">
        <f>무선!AF306</f>
        <v>136.28664499999999</v>
      </c>
      <c r="AG23" s="587">
        <f>무선!AG306</f>
        <v>118.124668</v>
      </c>
      <c r="AH23" s="587">
        <f>무선!AH306</f>
        <v>143.647976</v>
      </c>
      <c r="AI23" s="587">
        <f>무선!AI306</f>
        <v>178.51714999999999</v>
      </c>
      <c r="AJ23" s="587">
        <f>무선!AJ306</f>
        <v>186.94122899999999</v>
      </c>
      <c r="AK23" s="587">
        <f>무선!AK306</f>
        <v>188.9179</v>
      </c>
      <c r="AL23" s="587">
        <f>무선!AL306</f>
        <v>198.558742</v>
      </c>
      <c r="AM23" s="587">
        <f>무선!AM306</f>
        <v>211.71278000000001</v>
      </c>
      <c r="AN23" s="587">
        <v>227.90592799999999</v>
      </c>
      <c r="AO23" s="587">
        <v>201.284178</v>
      </c>
      <c r="AP23" s="587">
        <v>239.33255800000001</v>
      </c>
      <c r="AQ23" s="587">
        <v>179.408052</v>
      </c>
      <c r="AR23" s="869">
        <f t="shared" si="32"/>
        <v>2488.3532279999995</v>
      </c>
      <c r="AS23" s="587">
        <v>194.27126799999999</v>
      </c>
      <c r="AT23" s="587">
        <v>200.644037</v>
      </c>
      <c r="AU23" s="587">
        <v>218.04976099999999</v>
      </c>
      <c r="AV23" s="587">
        <v>203.56248299999999</v>
      </c>
      <c r="AW23" s="587">
        <v>221.128241</v>
      </c>
      <c r="AX23" s="587">
        <v>222.84430599999999</v>
      </c>
      <c r="AY23" s="587">
        <v>207.047372</v>
      </c>
      <c r="AZ23" s="587">
        <v>232.67757900000001</v>
      </c>
      <c r="BA23" s="587">
        <v>197.614499</v>
      </c>
      <c r="BB23" s="587">
        <v>193.87720300000001</v>
      </c>
      <c r="BC23" s="587">
        <v>231.59873999999999</v>
      </c>
      <c r="BD23" s="587">
        <v>165.03773899999999</v>
      </c>
      <c r="BE23" s="869">
        <f t="shared" si="33"/>
        <v>1978.168169</v>
      </c>
      <c r="BF23" s="2155">
        <f>무선!BF306</f>
        <v>238.525068</v>
      </c>
      <c r="BG23" s="2155">
        <f>무선!BG306</f>
        <v>178.60021</v>
      </c>
      <c r="BH23" s="2155">
        <f>무선!BH306</f>
        <v>186.904687</v>
      </c>
      <c r="BI23" s="2155">
        <f>무선!BI306</f>
        <v>134.145432</v>
      </c>
      <c r="BJ23" s="2155">
        <f>무선!BJ306</f>
        <v>146.90395599999999</v>
      </c>
      <c r="BK23" s="2155">
        <f>무선!BK306</f>
        <v>132.98604</v>
      </c>
      <c r="BL23" s="2155">
        <f>무선!BL306</f>
        <v>181.104421</v>
      </c>
      <c r="BM23" s="2155">
        <f>무선!BM306</f>
        <v>155.27162100000001</v>
      </c>
      <c r="BN23" s="2155">
        <f>무선!BN306</f>
        <v>148.68358699999999</v>
      </c>
      <c r="BO23" s="2155">
        <f>무선!BO306</f>
        <v>150.99447599999999</v>
      </c>
      <c r="BP23" s="2155">
        <f>무선!BP306</f>
        <v>153.916314</v>
      </c>
      <c r="BQ23" s="2156">
        <f>무선!BQ306</f>
        <v>170.13235700000001</v>
      </c>
      <c r="BR23" s="869">
        <f t="shared" si="34"/>
        <v>2062.401018</v>
      </c>
      <c r="BS23" s="2155">
        <f>무선!BS306</f>
        <v>136.81943200000001</v>
      </c>
      <c r="BT23" s="2155">
        <f>무선!BT306</f>
        <v>155.087614</v>
      </c>
      <c r="BU23" s="2155">
        <f>무선!BU306</f>
        <v>161.48718</v>
      </c>
      <c r="BV23" s="2155">
        <f>무선!BV306</f>
        <v>182.861704</v>
      </c>
      <c r="BW23" s="2155">
        <f>무선!BW306</f>
        <v>185.91220200000001</v>
      </c>
      <c r="BX23" s="2155">
        <f>무선!BX306</f>
        <v>168.87907100000001</v>
      </c>
      <c r="BY23" s="2155">
        <f>무선!BY306</f>
        <v>226.649023</v>
      </c>
      <c r="BZ23" s="2155">
        <f>무선!BZ306</f>
        <v>191.438256</v>
      </c>
      <c r="CA23" s="2155">
        <f>무선!CA306</f>
        <v>184.85152099999999</v>
      </c>
      <c r="CB23" s="2155">
        <f>무선!CB306</f>
        <v>151.666628</v>
      </c>
      <c r="CC23" s="2155">
        <f>무선!CC306</f>
        <v>140.28958299999999</v>
      </c>
      <c r="CD23" s="3003">
        <f>무선!CD306</f>
        <v>176.45880399999999</v>
      </c>
      <c r="CE23" s="869">
        <f t="shared" si="35"/>
        <v>2261.1926757295555</v>
      </c>
      <c r="CF23" s="2152">
        <f>무선!CF306</f>
        <v>199.00957505345218</v>
      </c>
      <c r="CG23" s="2152">
        <f>무선!CG306</f>
        <v>161.99641090854914</v>
      </c>
      <c r="CH23" s="2152">
        <f>무선!CH306</f>
        <v>215.0062059806354</v>
      </c>
      <c r="CI23" s="2152">
        <f>무선!CI306</f>
        <v>172.56623100354597</v>
      </c>
      <c r="CJ23" s="2152">
        <f>무선!CJ306</f>
        <v>172.37166339188659</v>
      </c>
      <c r="CK23" s="2152">
        <f>무선!CK306</f>
        <v>170.31054814307896</v>
      </c>
      <c r="CL23" s="2152">
        <f>무선!CL306</f>
        <v>224.46543618925548</v>
      </c>
      <c r="CM23" s="2152">
        <f>무선!CM306</f>
        <v>177.66758263083676</v>
      </c>
      <c r="CN23" s="2152">
        <f>무선!CN306</f>
        <v>237.64651829633405</v>
      </c>
      <c r="CO23" s="2152">
        <f>무선!CO306</f>
        <v>193.28944093933063</v>
      </c>
      <c r="CP23" s="2152">
        <f>무선!CP306</f>
        <v>179.86908999539781</v>
      </c>
      <c r="CQ23" s="2237">
        <f>무선!CQ306</f>
        <v>156.99397319725253</v>
      </c>
    </row>
    <row r="24" spans="1:95">
      <c r="B24" s="3332"/>
      <c r="C24" s="3333"/>
      <c r="D24" s="151" t="s">
        <v>276</v>
      </c>
      <c r="E24" s="277">
        <f t="shared" si="29"/>
        <v>3.8643540000000001</v>
      </c>
      <c r="F24" s="326">
        <f>유선!F78</f>
        <v>1.512597</v>
      </c>
      <c r="G24" s="326">
        <f>유선!G78</f>
        <v>0.86174600000000001</v>
      </c>
      <c r="H24" s="326">
        <f>유선!H78</f>
        <v>0.87950899999999999</v>
      </c>
      <c r="I24" s="326">
        <f>유선!I78</f>
        <v>0.61050199999999999</v>
      </c>
      <c r="J24" s="326">
        <f>유선!J78</f>
        <v>0</v>
      </c>
      <c r="K24" s="326">
        <f>유선!K78</f>
        <v>0</v>
      </c>
      <c r="L24" s="326">
        <f>유선!L78</f>
        <v>0</v>
      </c>
      <c r="M24" s="326">
        <f>유선!M78</f>
        <v>0</v>
      </c>
      <c r="N24" s="326">
        <v>0</v>
      </c>
      <c r="O24" s="326">
        <v>0</v>
      </c>
      <c r="P24" s="326">
        <f>유선!P78</f>
        <v>0</v>
      </c>
      <c r="Q24" s="326">
        <f>유선!Q78</f>
        <v>0</v>
      </c>
      <c r="R24" s="277">
        <f t="shared" si="30"/>
        <v>0</v>
      </c>
      <c r="S24" s="587">
        <f>유선!S78</f>
        <v>0</v>
      </c>
      <c r="T24" s="587">
        <f>유선!T78</f>
        <v>0</v>
      </c>
      <c r="U24" s="587">
        <f>유선!U78</f>
        <v>0</v>
      </c>
      <c r="V24" s="587">
        <f>유선!V78</f>
        <v>0</v>
      </c>
      <c r="W24" s="587">
        <f>유선!W78</f>
        <v>0</v>
      </c>
      <c r="X24" s="587">
        <f>유선!X78</f>
        <v>0</v>
      </c>
      <c r="Y24" s="587">
        <f>유선!Y78</f>
        <v>0</v>
      </c>
      <c r="Z24" s="587">
        <f>유선!Z78</f>
        <v>0</v>
      </c>
      <c r="AA24" s="587">
        <f>유선!AA78</f>
        <v>0</v>
      </c>
      <c r="AB24" s="587">
        <v>0</v>
      </c>
      <c r="AC24" s="587">
        <f>유선!AC78</f>
        <v>0</v>
      </c>
      <c r="AD24" s="587">
        <f>유선!AD78</f>
        <v>0</v>
      </c>
      <c r="AE24" s="277">
        <f t="shared" si="31"/>
        <v>0</v>
      </c>
      <c r="AF24" s="587">
        <f>유선!AF78</f>
        <v>0</v>
      </c>
      <c r="AG24" s="587">
        <f>유선!AG78</f>
        <v>0</v>
      </c>
      <c r="AH24" s="587">
        <f>유선!AH78</f>
        <v>0</v>
      </c>
      <c r="AI24" s="587">
        <f>유선!AI78</f>
        <v>0</v>
      </c>
      <c r="AJ24" s="587">
        <f>유선!AJ78</f>
        <v>0</v>
      </c>
      <c r="AK24" s="587">
        <f>유선!AK78</f>
        <v>0</v>
      </c>
      <c r="AL24" s="587">
        <f>유선!AL78</f>
        <v>0</v>
      </c>
      <c r="AM24" s="587">
        <f>유선!AM78</f>
        <v>0</v>
      </c>
      <c r="AN24" s="587">
        <v>0</v>
      </c>
      <c r="AO24" s="587">
        <v>0</v>
      </c>
      <c r="AP24" s="587">
        <v>0</v>
      </c>
      <c r="AQ24" s="587">
        <v>0</v>
      </c>
      <c r="AR24" s="869">
        <f t="shared" si="32"/>
        <v>0</v>
      </c>
      <c r="AS24" s="587">
        <v>0</v>
      </c>
      <c r="AT24" s="587">
        <v>0</v>
      </c>
      <c r="AU24" s="587">
        <v>0</v>
      </c>
      <c r="AV24" s="587">
        <v>0</v>
      </c>
      <c r="AW24" s="587">
        <v>0</v>
      </c>
      <c r="AX24" s="587">
        <v>0</v>
      </c>
      <c r="AY24" s="587">
        <v>0</v>
      </c>
      <c r="AZ24" s="587">
        <v>0</v>
      </c>
      <c r="BA24" s="587">
        <v>0</v>
      </c>
      <c r="BB24" s="587">
        <v>0</v>
      </c>
      <c r="BC24" s="587">
        <v>0</v>
      </c>
      <c r="BD24" s="587">
        <v>0</v>
      </c>
      <c r="BE24" s="869">
        <f t="shared" si="33"/>
        <v>0</v>
      </c>
      <c r="BF24" s="2155">
        <f>유선!BF78</f>
        <v>0</v>
      </c>
      <c r="BG24" s="2155">
        <f>유선!BG78</f>
        <v>0</v>
      </c>
      <c r="BH24" s="2155">
        <f>유선!BH78</f>
        <v>0</v>
      </c>
      <c r="BI24" s="2155">
        <f>유선!BI78</f>
        <v>0</v>
      </c>
      <c r="BJ24" s="2155">
        <f>유선!BJ78</f>
        <v>0</v>
      </c>
      <c r="BK24" s="2155">
        <f>유선!BK78</f>
        <v>0</v>
      </c>
      <c r="BL24" s="2155">
        <f>유선!BL78</f>
        <v>0</v>
      </c>
      <c r="BM24" s="2155">
        <f>유선!BM78</f>
        <v>0</v>
      </c>
      <c r="BN24" s="2155">
        <f>유선!BN78</f>
        <v>0</v>
      </c>
      <c r="BO24" s="2155">
        <f>유선!BO78</f>
        <v>0</v>
      </c>
      <c r="BP24" s="2155">
        <f>유선!BP78</f>
        <v>0</v>
      </c>
      <c r="BQ24" s="2156">
        <f>유선!BQ78</f>
        <v>0</v>
      </c>
      <c r="BR24" s="869">
        <f t="shared" si="34"/>
        <v>0</v>
      </c>
      <c r="BS24" s="2155">
        <f>유선!BS78</f>
        <v>0</v>
      </c>
      <c r="BT24" s="2155">
        <f>유선!BT78</f>
        <v>0</v>
      </c>
      <c r="BU24" s="2155">
        <f>유선!BU78</f>
        <v>0</v>
      </c>
      <c r="BV24" s="2155">
        <f>유선!BV78</f>
        <v>0</v>
      </c>
      <c r="BW24" s="2155">
        <f>유선!BW78</f>
        <v>0</v>
      </c>
      <c r="BX24" s="2155">
        <f>유선!BX78</f>
        <v>0</v>
      </c>
      <c r="BY24" s="2155">
        <f>유선!BY78</f>
        <v>0</v>
      </c>
      <c r="BZ24" s="2155">
        <f>유선!BZ78</f>
        <v>0</v>
      </c>
      <c r="CA24" s="2155">
        <f>유선!CA78</f>
        <v>0</v>
      </c>
      <c r="CB24" s="2155">
        <f>유선!CB78</f>
        <v>0</v>
      </c>
      <c r="CC24" s="2155">
        <f>유선!CC78</f>
        <v>0</v>
      </c>
      <c r="CD24" s="3003">
        <f>유선!CD78</f>
        <v>0</v>
      </c>
      <c r="CE24" s="869">
        <f t="shared" si="35"/>
        <v>0</v>
      </c>
      <c r="CF24" s="2152">
        <f>유선!CF78</f>
        <v>0</v>
      </c>
      <c r="CG24" s="2152">
        <f>유선!CG78</f>
        <v>0</v>
      </c>
      <c r="CH24" s="2152">
        <f>유선!CH78</f>
        <v>0</v>
      </c>
      <c r="CI24" s="2152">
        <f>유선!CI78</f>
        <v>0</v>
      </c>
      <c r="CJ24" s="2152">
        <f>유선!CJ78</f>
        <v>0</v>
      </c>
      <c r="CK24" s="2152">
        <f>유선!CK78</f>
        <v>0</v>
      </c>
      <c r="CL24" s="2152">
        <f>유선!CL78</f>
        <v>0</v>
      </c>
      <c r="CM24" s="2152">
        <f>유선!CM78</f>
        <v>0</v>
      </c>
      <c r="CN24" s="2152">
        <f>유선!CN78</f>
        <v>0</v>
      </c>
      <c r="CO24" s="2152">
        <f>유선!CO78</f>
        <v>0</v>
      </c>
      <c r="CP24" s="2152">
        <f>유선!CP78</f>
        <v>0</v>
      </c>
      <c r="CQ24" s="2237">
        <f>유선!CQ78</f>
        <v>0</v>
      </c>
    </row>
    <row r="25" spans="1:95">
      <c r="B25" s="3332"/>
      <c r="C25" s="3333"/>
      <c r="D25" s="89" t="s">
        <v>277</v>
      </c>
      <c r="E25" s="277">
        <f t="shared" si="29"/>
        <v>986.95686699999999</v>
      </c>
      <c r="F25" s="587">
        <v>64.013112000000007</v>
      </c>
      <c r="G25" s="587">
        <v>71.745805000000004</v>
      </c>
      <c r="H25" s="587">
        <v>81.926055000000005</v>
      </c>
      <c r="I25" s="587">
        <v>78.141862000000003</v>
      </c>
      <c r="J25" s="587">
        <v>74.895155000000003</v>
      </c>
      <c r="K25" s="587">
        <v>94.328676999999999</v>
      </c>
      <c r="L25" s="587">
        <v>84.713999999999999</v>
      </c>
      <c r="M25" s="587">
        <v>100.71372</v>
      </c>
      <c r="N25" s="587">
        <v>69.670286000000004</v>
      </c>
      <c r="O25" s="587">
        <v>78.761272000000005</v>
      </c>
      <c r="P25" s="587">
        <v>57.999918999999998</v>
      </c>
      <c r="Q25" s="663">
        <v>130.04700399999999</v>
      </c>
      <c r="R25" s="277">
        <f t="shared" si="30"/>
        <v>1544.3461940000002</v>
      </c>
      <c r="S25" s="587">
        <v>66.337934000000004</v>
      </c>
      <c r="T25" s="587">
        <v>59.199021999999999</v>
      </c>
      <c r="U25" s="587">
        <v>100.334419</v>
      </c>
      <c r="V25" s="587">
        <v>87.799075000000002</v>
      </c>
      <c r="W25" s="587">
        <v>77.600810999999993</v>
      </c>
      <c r="X25" s="587">
        <v>119.669504</v>
      </c>
      <c r="Y25" s="587">
        <v>127.529628</v>
      </c>
      <c r="Z25" s="587">
        <v>112.163792</v>
      </c>
      <c r="AA25" s="587">
        <v>140.148732</v>
      </c>
      <c r="AB25" s="587">
        <v>85.219317000000004</v>
      </c>
      <c r="AC25" s="587">
        <v>124.919179</v>
      </c>
      <c r="AD25" s="587">
        <v>443.424781</v>
      </c>
      <c r="AE25" s="277">
        <f t="shared" si="31"/>
        <v>2900.3071760000003</v>
      </c>
      <c r="AF25" s="587">
        <v>76.092994000000004</v>
      </c>
      <c r="AG25" s="587">
        <v>90.858114</v>
      </c>
      <c r="AH25" s="587">
        <v>145.37332599999999</v>
      </c>
      <c r="AI25" s="587">
        <v>142.44068200000001</v>
      </c>
      <c r="AJ25" s="587">
        <v>143.31770599999999</v>
      </c>
      <c r="AK25" s="587">
        <v>166.137394</v>
      </c>
      <c r="AL25" s="587">
        <v>852.094334</v>
      </c>
      <c r="AM25" s="587">
        <v>173.98870500000001</v>
      </c>
      <c r="AN25" s="587">
        <v>145.99561700000001</v>
      </c>
      <c r="AO25" s="587">
        <v>162.76535999999999</v>
      </c>
      <c r="AP25" s="587">
        <v>174.89090300000001</v>
      </c>
      <c r="AQ25" s="587">
        <v>626.35204099999999</v>
      </c>
      <c r="AR25" s="869">
        <f t="shared" si="32"/>
        <v>3079.0992879999999</v>
      </c>
      <c r="AS25" s="587">
        <v>176.24695</v>
      </c>
      <c r="AT25" s="587">
        <v>161.313264</v>
      </c>
      <c r="AU25" s="587">
        <v>182.02595600000001</v>
      </c>
      <c r="AV25" s="587">
        <v>181.30235200000001</v>
      </c>
      <c r="AW25" s="587">
        <v>128.42569900000001</v>
      </c>
      <c r="AX25" s="587">
        <v>164.53923800000001</v>
      </c>
      <c r="AY25" s="587">
        <v>235.148042</v>
      </c>
      <c r="AZ25" s="587">
        <v>652.86769500000003</v>
      </c>
      <c r="BA25" s="587">
        <v>132.272806</v>
      </c>
      <c r="BB25" s="587">
        <v>173.15186700000001</v>
      </c>
      <c r="BC25" s="587">
        <v>148.69563299999999</v>
      </c>
      <c r="BD25" s="587">
        <v>743.10978599999999</v>
      </c>
      <c r="BE25" s="869">
        <f t="shared" si="33"/>
        <v>2532.5003240000001</v>
      </c>
      <c r="BF25" s="2155">
        <v>138.63624999999999</v>
      </c>
      <c r="BG25" s="2155">
        <v>139.67806400000001</v>
      </c>
      <c r="BH25" s="2155">
        <v>144.24199300000001</v>
      </c>
      <c r="BI25" s="2155">
        <v>131.17247900000001</v>
      </c>
      <c r="BJ25" s="2155">
        <v>155.46981400000001</v>
      </c>
      <c r="BK25" s="2155">
        <v>244.29974799999999</v>
      </c>
      <c r="BL25" s="2155">
        <v>266.77509300000003</v>
      </c>
      <c r="BM25" s="2155">
        <v>130.04035300000001</v>
      </c>
      <c r="BN25" s="2155">
        <v>158.03795299999999</v>
      </c>
      <c r="BO25" s="2155">
        <v>151.90215900000001</v>
      </c>
      <c r="BP25" s="2155">
        <v>164.63567599999999</v>
      </c>
      <c r="BQ25" s="2156">
        <v>707.61074199999996</v>
      </c>
      <c r="BR25" s="869">
        <f t="shared" si="34"/>
        <v>2504.5635699999998</v>
      </c>
      <c r="BS25" s="2155">
        <v>183.833304</v>
      </c>
      <c r="BT25" s="2155">
        <v>135.99074300000001</v>
      </c>
      <c r="BU25" s="2155">
        <v>141.30732699999999</v>
      </c>
      <c r="BV25" s="2155">
        <v>124.059162</v>
      </c>
      <c r="BW25" s="2155">
        <v>141.63760300000001</v>
      </c>
      <c r="BX25" s="2155">
        <v>171.93305100000001</v>
      </c>
      <c r="BY25" s="2155">
        <v>287.13730700000002</v>
      </c>
      <c r="BZ25" s="2155">
        <v>131.45844700000001</v>
      </c>
      <c r="CA25" s="2155">
        <v>197.100821</v>
      </c>
      <c r="CB25" s="2155">
        <v>115.424086</v>
      </c>
      <c r="CC25" s="2155">
        <v>165.11350100000001</v>
      </c>
      <c r="CD25" s="3003">
        <v>709.568218</v>
      </c>
      <c r="CE25" s="869">
        <f t="shared" si="35"/>
        <v>2597.5223800000008</v>
      </c>
      <c r="CF25" s="2152">
        <v>167.97534984848485</v>
      </c>
      <c r="CG25" s="2152">
        <v>167.97534984848485</v>
      </c>
      <c r="CH25" s="2152">
        <v>167.97534984848485</v>
      </c>
      <c r="CI25" s="2152">
        <v>167.97534984848485</v>
      </c>
      <c r="CJ25" s="2152">
        <v>167.97534984848485</v>
      </c>
      <c r="CK25" s="2152">
        <v>167.97534984848485</v>
      </c>
      <c r="CL25" s="2152">
        <v>167.97534984848485</v>
      </c>
      <c r="CM25" s="2152">
        <v>167.97534984848485</v>
      </c>
      <c r="CN25" s="2152">
        <v>167.97534984848485</v>
      </c>
      <c r="CO25" s="2152">
        <v>167.97534984848485</v>
      </c>
      <c r="CP25" s="2152">
        <f>167.975349848485+50</f>
        <v>217.975349848485</v>
      </c>
      <c r="CQ25" s="2237">
        <f>149.793531666667+550</f>
        <v>699.79353166666704</v>
      </c>
    </row>
    <row r="26" spans="1:95">
      <c r="B26" s="3332"/>
      <c r="C26" s="3333"/>
      <c r="D26" s="85" t="s">
        <v>279</v>
      </c>
      <c r="E26" s="277">
        <f t="shared" si="29"/>
        <v>173.45713500000002</v>
      </c>
      <c r="F26" s="587">
        <v>2.4965169999999999</v>
      </c>
      <c r="G26" s="587">
        <v>1.538999</v>
      </c>
      <c r="H26" s="587">
        <v>0.84578100000000001</v>
      </c>
      <c r="I26" s="587">
        <v>0.1</v>
      </c>
      <c r="J26" s="587">
        <v>4.1416899999999996</v>
      </c>
      <c r="K26" s="587">
        <v>1.1266240000000001</v>
      </c>
      <c r="L26" s="587">
        <v>9.6813319999999994</v>
      </c>
      <c r="M26" s="587">
        <v>6.8210069999999998</v>
      </c>
      <c r="N26" s="587">
        <v>11.653700000000001</v>
      </c>
      <c r="O26" s="587">
        <v>5.2170480000000001</v>
      </c>
      <c r="P26" s="587">
        <v>92.480321000000004</v>
      </c>
      <c r="Q26" s="663">
        <v>37.354115999999998</v>
      </c>
      <c r="R26" s="277">
        <f t="shared" si="30"/>
        <v>255.62710100000001</v>
      </c>
      <c r="S26" s="587">
        <v>0</v>
      </c>
      <c r="T26" s="587">
        <v>0.25</v>
      </c>
      <c r="U26" s="587">
        <v>2.4691299999999998</v>
      </c>
      <c r="V26" s="587">
        <v>1.6733960000000001</v>
      </c>
      <c r="W26" s="587">
        <v>2.8128250000000001</v>
      </c>
      <c r="X26" s="587">
        <v>67.086808000000005</v>
      </c>
      <c r="Y26" s="587">
        <v>3.0185529999999998</v>
      </c>
      <c r="Z26" s="587">
        <v>40.722506000000003</v>
      </c>
      <c r="AA26" s="587">
        <v>16.609653999999999</v>
      </c>
      <c r="AB26" s="587">
        <v>24.941161999999998</v>
      </c>
      <c r="AC26" s="587">
        <v>87.365337000000011</v>
      </c>
      <c r="AD26" s="587">
        <v>8.6777300000000004</v>
      </c>
      <c r="AE26" s="277">
        <f t="shared" si="31"/>
        <v>335.67024400000003</v>
      </c>
      <c r="AF26" s="587">
        <v>10.648301</v>
      </c>
      <c r="AG26" s="587">
        <v>4.7935660000000002</v>
      </c>
      <c r="AH26" s="587">
        <v>4.3897069999999996</v>
      </c>
      <c r="AI26" s="587">
        <v>96.677993000000001</v>
      </c>
      <c r="AJ26" s="587">
        <v>13.783446000000001</v>
      </c>
      <c r="AK26" s="587">
        <v>3.7239170000000001</v>
      </c>
      <c r="AL26" s="587">
        <v>19.877942000000001</v>
      </c>
      <c r="AM26" s="587">
        <v>30.975435000000001</v>
      </c>
      <c r="AN26" s="587">
        <v>17.244215999999998</v>
      </c>
      <c r="AO26" s="587">
        <v>91.215757999999994</v>
      </c>
      <c r="AP26" s="587">
        <v>21.337537000000001</v>
      </c>
      <c r="AQ26" s="587">
        <v>21.002426</v>
      </c>
      <c r="AR26" s="869">
        <f t="shared" si="32"/>
        <v>386.98072099999996</v>
      </c>
      <c r="AS26" s="587">
        <v>23.147117999999999</v>
      </c>
      <c r="AT26" s="587">
        <v>26.407634999999999</v>
      </c>
      <c r="AU26" s="587">
        <v>21.578112000000001</v>
      </c>
      <c r="AV26" s="587">
        <v>87.167180999999999</v>
      </c>
      <c r="AW26" s="587">
        <v>25.782769999999999</v>
      </c>
      <c r="AX26" s="587">
        <v>11.513399</v>
      </c>
      <c r="AY26" s="587">
        <v>21.654966000000002</v>
      </c>
      <c r="AZ26" s="587">
        <v>12.248683</v>
      </c>
      <c r="BA26" s="587">
        <v>10.862494999999999</v>
      </c>
      <c r="BB26" s="587">
        <v>62.638007999999999</v>
      </c>
      <c r="BC26" s="587">
        <v>47.739375000000003</v>
      </c>
      <c r="BD26" s="587">
        <v>36.240979000000003</v>
      </c>
      <c r="BE26" s="869">
        <f t="shared" si="33"/>
        <v>327.92313499999995</v>
      </c>
      <c r="BF26" s="2155">
        <v>22.480761000000001</v>
      </c>
      <c r="BG26" s="2155">
        <v>11.620678</v>
      </c>
      <c r="BH26" s="2155">
        <v>9.3951589999999996</v>
      </c>
      <c r="BI26" s="2155">
        <v>105.073626</v>
      </c>
      <c r="BJ26" s="2155">
        <v>14.12543</v>
      </c>
      <c r="BK26" s="2155">
        <v>12.335528999999999</v>
      </c>
      <c r="BL26" s="2155">
        <v>0.110093</v>
      </c>
      <c r="BM26" s="2155">
        <v>11.306751</v>
      </c>
      <c r="BN26" s="2155">
        <v>9.6547339999999995</v>
      </c>
      <c r="BO26" s="2155">
        <v>93.541928999999996</v>
      </c>
      <c r="BP26" s="2155">
        <v>20.290979999999998</v>
      </c>
      <c r="BQ26" s="2156">
        <v>17.987465</v>
      </c>
      <c r="BR26" s="869">
        <f t="shared" si="34"/>
        <v>368.41003599999999</v>
      </c>
      <c r="BS26" s="2155">
        <v>25.681992000000001</v>
      </c>
      <c r="BT26" s="2155">
        <v>44.305836999999997</v>
      </c>
      <c r="BU26" s="2155">
        <v>16.496562000000001</v>
      </c>
      <c r="BV26" s="2155">
        <v>97.466404999999995</v>
      </c>
      <c r="BW26" s="2155">
        <v>8.2783560000000005</v>
      </c>
      <c r="BX26" s="2155">
        <v>26.226861</v>
      </c>
      <c r="BY26" s="2155">
        <v>0.49727900000000003</v>
      </c>
      <c r="BZ26" s="2155">
        <v>2.3572630000000001</v>
      </c>
      <c r="CA26" s="2155">
        <v>22.429113000000001</v>
      </c>
      <c r="CB26" s="2155">
        <v>61.787799000000007</v>
      </c>
      <c r="CC26" s="2155">
        <v>45.919979999999995</v>
      </c>
      <c r="CD26" s="3003">
        <v>16.962589000000001</v>
      </c>
      <c r="CE26" s="869">
        <f t="shared" si="35"/>
        <v>436.91117905756073</v>
      </c>
      <c r="CF26" s="2152">
        <v>36.409335499999997</v>
      </c>
      <c r="CG26" s="2152">
        <v>36.409335499999997</v>
      </c>
      <c r="CH26" s="2152">
        <v>36.409335499999997</v>
      </c>
      <c r="CI26" s="2152">
        <v>36.409335499999997</v>
      </c>
      <c r="CJ26" s="2152">
        <v>36.409335499999997</v>
      </c>
      <c r="CK26" s="2152">
        <v>36.409335499999997</v>
      </c>
      <c r="CL26" s="2152">
        <v>36.409335499999997</v>
      </c>
      <c r="CM26" s="2152">
        <v>36.409335499999997</v>
      </c>
      <c r="CN26" s="2152">
        <v>36.409335499999997</v>
      </c>
      <c r="CO26" s="2152">
        <v>36.409335499999997</v>
      </c>
      <c r="CP26" s="2152">
        <v>36.409335499999997</v>
      </c>
      <c r="CQ26" s="2237">
        <f>36.4093355-0.000846942439238774</f>
        <v>36.408488557560759</v>
      </c>
    </row>
    <row r="27" spans="1:95">
      <c r="B27" s="3332"/>
      <c r="C27" s="3333"/>
      <c r="D27" s="82" t="s">
        <v>155</v>
      </c>
      <c r="E27" s="279">
        <f>AVERAGE(F27:Q27)</f>
        <v>32181.672326783762</v>
      </c>
      <c r="F27" s="327">
        <f>F22*1000000/인건비!G5</f>
        <v>30982.564412238331</v>
      </c>
      <c r="G27" s="327">
        <f>G22*1000000/인건비!H5</f>
        <v>31167.988320579945</v>
      </c>
      <c r="H27" s="327">
        <f>H22*1000000/인건비!I5</f>
        <v>31524.977043898511</v>
      </c>
      <c r="I27" s="327">
        <f>I22*1000000/인건비!J5</f>
        <v>31250.398757763975</v>
      </c>
      <c r="J27" s="327">
        <f>J22*1000000/인건비!K5</f>
        <v>30686.061790668355</v>
      </c>
      <c r="K27" s="327">
        <f>K22*1000000/인건비!L5</f>
        <v>33736.308478909246</v>
      </c>
      <c r="L27" s="327">
        <f>L22*1000000/인건비!M5</f>
        <v>33795.930853391685</v>
      </c>
      <c r="M27" s="327">
        <f>M22*1000000/인건비!N5</f>
        <v>31306.590451160755</v>
      </c>
      <c r="N27" s="327">
        <f>N22*1000000/인건비!O5</f>
        <v>33061.74424778761</v>
      </c>
      <c r="O27" s="327">
        <f>O22*1000000/인건비!P5</f>
        <v>32165.420302760471</v>
      </c>
      <c r="P27" s="327">
        <f>P22*1000000/인건비!Q5</f>
        <v>32925.203104212858</v>
      </c>
      <c r="Q27" s="327">
        <f>Q22*1000000/인건비!R5</f>
        <v>33576.88015803336</v>
      </c>
      <c r="R27" s="279">
        <f>AVERAGE(S27:AD27)</f>
        <v>39539.066607279274</v>
      </c>
      <c r="S27" s="586">
        <f>S22*1000000/인건비!T5</f>
        <v>36250.163732394372</v>
      </c>
      <c r="T27" s="586">
        <f>T22*1000000/인건비!U5</f>
        <v>37082.570013507429</v>
      </c>
      <c r="U27" s="586">
        <f>U22*1000000/인건비!V5</f>
        <v>41188.24330259113</v>
      </c>
      <c r="V27" s="586">
        <f>V22*1000000/인건비!W5</f>
        <v>39428.469276285847</v>
      </c>
      <c r="W27" s="586">
        <f>W22*1000000/인건비!X5</f>
        <v>38844.354223433242</v>
      </c>
      <c r="X27" s="586">
        <f>X22*1000000/인건비!Y5</f>
        <v>41937.906912442406</v>
      </c>
      <c r="Y27" s="586">
        <f>Y22*1000000/인건비!Z5</f>
        <v>38815.261741906063</v>
      </c>
      <c r="Z27" s="586">
        <f>Z22*1000000/인건비!AA5</f>
        <v>39169.845796562935</v>
      </c>
      <c r="AA27" s="586">
        <f>AA22*1000000/인건비!AB5</f>
        <v>42196.888317757017</v>
      </c>
      <c r="AB27" s="586">
        <f>AB22*1000000/인건비!AC5</f>
        <v>38681.81754874652</v>
      </c>
      <c r="AC27" s="586">
        <f>AC22*1000000/인건비!AD5</f>
        <v>40225.481429243067</v>
      </c>
      <c r="AD27" s="586">
        <f>AD22*1000000/인건비!AE5</f>
        <v>40647.796992481199</v>
      </c>
      <c r="AE27" s="279">
        <f>AVERAGE(AF27:AQ27)</f>
        <v>39507.308511820236</v>
      </c>
      <c r="AF27" s="586">
        <f>AF22*1000000/인건비!AG5</f>
        <v>39726.938881053124</v>
      </c>
      <c r="AG27" s="586">
        <f>AG22*1000000/인건비!AH5</f>
        <v>38528.879716981137</v>
      </c>
      <c r="AH27" s="586">
        <f>AH22*1000000/인건비!AI5</f>
        <v>42177.601244614641</v>
      </c>
      <c r="AI27" s="586">
        <f>AI22*1000000/인건비!AJ5</f>
        <v>38302.610926365785</v>
      </c>
      <c r="AJ27" s="586">
        <f>AJ22*1000000/인건비!AK5</f>
        <v>39270.765867418901</v>
      </c>
      <c r="AK27" s="586">
        <f>AK22*1000000/인건비!AL5</f>
        <v>41984.85673892554</v>
      </c>
      <c r="AL27" s="586">
        <f>AL22*1000000/인건비!AM5</f>
        <v>36614.176937441647</v>
      </c>
      <c r="AM27" s="586">
        <f>AM22*1000000/인건비!AN5</f>
        <v>38336.992030004687</v>
      </c>
      <c r="AN27" s="586">
        <v>41781.759433962259</v>
      </c>
      <c r="AO27" s="586">
        <v>37051.635895032799</v>
      </c>
      <c r="AP27" s="586">
        <v>38177.01670533642</v>
      </c>
      <c r="AQ27" s="586">
        <v>42134.467764705892</v>
      </c>
      <c r="AR27" s="870">
        <f>AVERAGE(AS27:BD27)</f>
        <v>40042.36123895878</v>
      </c>
      <c r="AS27" s="1603">
        <f>(AS22*1000000)/인건비!AT5</f>
        <v>38673.100467289718</v>
      </c>
      <c r="AT27" s="1603">
        <f>(AT22*1000000)/인건비!AU5</f>
        <v>38378.902015939988</v>
      </c>
      <c r="AU27" s="1603">
        <f>(AU22*1000000)/인건비!AV5</f>
        <v>43244.010849056605</v>
      </c>
      <c r="AV27" s="1603">
        <f>(AV22*1000000)/인건비!AW5</f>
        <v>37292.129919393075</v>
      </c>
      <c r="AW27" s="1603">
        <f>(AW22*1000000)/인건비!AX5</f>
        <v>40802.453944260749</v>
      </c>
      <c r="AX27" s="1603">
        <f>(AX22*1000000)/인건비!AY5</f>
        <v>42205.016698473286</v>
      </c>
      <c r="AY27" s="1603">
        <f>(AY22*1000000)/인건비!AZ5</f>
        <v>38081.146469465646</v>
      </c>
      <c r="AZ27" s="1603">
        <f>(AZ22*1000000)/인건비!BA5</f>
        <v>38304.794859590671</v>
      </c>
      <c r="BA27" s="1603">
        <f>(BA22*1000000)/인건비!BB5</f>
        <v>42828.186577820088</v>
      </c>
      <c r="BB27" s="1603">
        <f>(BB22*1000000)/인건비!BC5</f>
        <v>37330.057591623037</v>
      </c>
      <c r="BC27" s="1603">
        <f>(BC22*1000000)/인건비!BD5</f>
        <v>39031.370086289542</v>
      </c>
      <c r="BD27" s="1603">
        <f>(BD22*1000000)/인건비!BE5</f>
        <v>44337.165388302972</v>
      </c>
      <c r="BE27" s="870">
        <f>AVERAGE(BF27:BQ27)</f>
        <v>42197.037905817531</v>
      </c>
      <c r="BF27" s="2159">
        <f>(BF22*1000000)/인건비!BG5</f>
        <v>42204.099902056805</v>
      </c>
      <c r="BG27" s="2159">
        <f>(BG22*1000000)/인건비!BH5</f>
        <v>39853.65234375</v>
      </c>
      <c r="BH27" s="2159">
        <f>(BH22*1000000)/인건비!BI5</f>
        <v>46387.176470588238</v>
      </c>
      <c r="BI27" s="2159">
        <f>(BI22*1000000)/인건비!BJ5</f>
        <v>40417.227708533079</v>
      </c>
      <c r="BJ27" s="2159">
        <f>(BJ22*1000000)/인건비!BK5</f>
        <v>38436.744141559066</v>
      </c>
      <c r="BK27" s="2159">
        <f>(BK22*1000000)/인건비!BL5</f>
        <v>47412.069689737473</v>
      </c>
      <c r="BL27" s="2159">
        <f>(BL22*1000000)/인건비!BM5</f>
        <v>41801.410561370125</v>
      </c>
      <c r="BM27" s="2159">
        <f>(BM22*1000000)/인건비!BN5</f>
        <v>39047.374881065654</v>
      </c>
      <c r="BN27" s="2159">
        <f>(BN22*1000000)/인건비!BO5</f>
        <v>43778.824976348158</v>
      </c>
      <c r="BO27" s="2159">
        <f>(BO22*1000000)/인건비!BP5</f>
        <v>40452.995794392526</v>
      </c>
      <c r="BP27" s="2159">
        <f>(BP22*1000000)/인건비!BQ5</f>
        <v>40888.522041763339</v>
      </c>
      <c r="BQ27" s="2160">
        <f>(BQ22*1000000)/인건비!BR5</f>
        <v>45684.356358645928</v>
      </c>
      <c r="BR27" s="870">
        <f>AVERAGE(BS27:CD27)</f>
        <v>49058.538468145161</v>
      </c>
      <c r="BS27" s="2163">
        <f>(BS22*1000000)/인건비!BT5</f>
        <v>39530.14839873703</v>
      </c>
      <c r="BT27" s="2163">
        <f>(BT22*1000000)/인건비!BU5</f>
        <v>41798.225485765928</v>
      </c>
      <c r="BU27" s="2163">
        <f>(BU22*1000000)/인건비!BV5</f>
        <v>47377.511910112356</v>
      </c>
      <c r="BV27" s="2163">
        <f>(BV22*1000000)/인건비!BW5</f>
        <v>38424.964605734764</v>
      </c>
      <c r="BW27" s="2163">
        <f>(BW22*1000000)/인건비!BX5</f>
        <v>40141.705565529621</v>
      </c>
      <c r="BX27" s="2163">
        <f>(BX22*1000000)/인건비!BY5</f>
        <v>48089.16305329719</v>
      </c>
      <c r="BY27" s="2163">
        <f>(BY22*1000000)/인건비!BZ5</f>
        <v>40864.18630136986</v>
      </c>
      <c r="BZ27" s="2163">
        <f>(BZ22*1000000)/인건비!CA5</f>
        <v>43355.784827586198</v>
      </c>
      <c r="CA27" s="2163">
        <f>(CA22*1000000)/인건비!CB5</f>
        <v>73326.788018433173</v>
      </c>
      <c r="CB27" s="2163">
        <f>(CB22*1000000)/인건비!CC5</f>
        <v>50691.495575221241</v>
      </c>
      <c r="CC27" s="2163">
        <f>(CC22*1000000)/인건비!CD5</f>
        <v>59195.480465116278</v>
      </c>
      <c r="CD27" s="3004">
        <f>(CD22*1000000)/인건비!CE5</f>
        <v>65907.007410838341</v>
      </c>
      <c r="CE27" s="870">
        <f>AVERAGE(CF27:CQ27)</f>
        <v>42560.286503196156</v>
      </c>
      <c r="CF27" s="2171">
        <v>42560.286503196148</v>
      </c>
      <c r="CG27" s="2171">
        <v>42560.286503196148</v>
      </c>
      <c r="CH27" s="2171">
        <v>42560.286503196148</v>
      </c>
      <c r="CI27" s="2171">
        <v>42560.286503196148</v>
      </c>
      <c r="CJ27" s="2171">
        <v>42560.286503196148</v>
      </c>
      <c r="CK27" s="2171">
        <v>42560.286503196148</v>
      </c>
      <c r="CL27" s="2171">
        <v>42560.286503196148</v>
      </c>
      <c r="CM27" s="2171">
        <v>42560.286503196148</v>
      </c>
      <c r="CN27" s="2171">
        <v>42560.286503196148</v>
      </c>
      <c r="CO27" s="2171">
        <v>42560.286503196148</v>
      </c>
      <c r="CP27" s="2171">
        <v>42560.286503196148</v>
      </c>
      <c r="CQ27" s="2826">
        <v>42560.286503196148</v>
      </c>
    </row>
    <row r="28" spans="1:95">
      <c r="B28" s="3336" t="s">
        <v>156</v>
      </c>
      <c r="C28" s="3425"/>
      <c r="D28" s="83" t="s">
        <v>142</v>
      </c>
      <c r="E28" s="281">
        <f>SUM(F28:Q28)</f>
        <v>4241.7283950000001</v>
      </c>
      <c r="F28" s="319">
        <v>313.23659099999998</v>
      </c>
      <c r="G28" s="319">
        <v>345.45678900000001</v>
      </c>
      <c r="H28" s="319">
        <v>355.99176499999999</v>
      </c>
      <c r="I28" s="588">
        <v>305.494935</v>
      </c>
      <c r="J28" s="588">
        <v>354.84050000000002</v>
      </c>
      <c r="K28" s="588">
        <v>321.54570799999999</v>
      </c>
      <c r="L28" s="588">
        <v>318.50304</v>
      </c>
      <c r="M28" s="588">
        <v>400.34410700000001</v>
      </c>
      <c r="N28" s="665">
        <v>316.47444200000001</v>
      </c>
      <c r="O28" s="665">
        <v>344.94173899999998</v>
      </c>
      <c r="P28" s="665">
        <v>484.13782900000001</v>
      </c>
      <c r="Q28" s="665">
        <v>380.76094999999998</v>
      </c>
      <c r="R28" s="281">
        <f>SUM(S28:AD28)</f>
        <v>5009.6638869999997</v>
      </c>
      <c r="S28" s="552">
        <v>421.38668799999999</v>
      </c>
      <c r="T28" s="552">
        <v>319.815314</v>
      </c>
      <c r="U28" s="552">
        <v>331.34862700000002</v>
      </c>
      <c r="V28" s="552">
        <v>323.23251499999998</v>
      </c>
      <c r="W28" s="552">
        <v>329.56617999999997</v>
      </c>
      <c r="X28" s="552">
        <v>355.23067200000003</v>
      </c>
      <c r="Y28" s="552">
        <v>361.72110400000003</v>
      </c>
      <c r="Z28" s="552">
        <v>461.27678300000002</v>
      </c>
      <c r="AA28" s="552">
        <v>486.68433099999999</v>
      </c>
      <c r="AB28" s="552">
        <v>650.11604499999999</v>
      </c>
      <c r="AC28" s="552">
        <v>530.65975000000003</v>
      </c>
      <c r="AD28" s="552">
        <v>438.625878</v>
      </c>
      <c r="AE28" s="281">
        <f>SUM(AF28:AQ28)</f>
        <v>5249.1823430000004</v>
      </c>
      <c r="AF28" s="552">
        <v>377.95118600000001</v>
      </c>
      <c r="AG28" s="552">
        <v>442.15393599999999</v>
      </c>
      <c r="AH28" s="552">
        <v>510.70118300000001</v>
      </c>
      <c r="AI28" s="552">
        <v>460.66191700000002</v>
      </c>
      <c r="AJ28" s="552">
        <v>442.38296400000002</v>
      </c>
      <c r="AK28" s="552">
        <v>417.89888400000001</v>
      </c>
      <c r="AL28" s="552">
        <v>379.48032599999999</v>
      </c>
      <c r="AM28" s="552">
        <v>515.00113799999997</v>
      </c>
      <c r="AN28" s="552">
        <v>351.42615599999999</v>
      </c>
      <c r="AO28" s="552">
        <v>548.83955100000003</v>
      </c>
      <c r="AP28" s="552">
        <v>402.45764400000002</v>
      </c>
      <c r="AQ28" s="866">
        <v>400.22745800000001</v>
      </c>
      <c r="AR28" s="871">
        <f>SUM(AS28:BD28)</f>
        <v>4347.9426939999994</v>
      </c>
      <c r="AS28" s="551">
        <v>377.44305700000001</v>
      </c>
      <c r="AT28" s="551">
        <v>453.56723499999998</v>
      </c>
      <c r="AU28" s="551">
        <v>367.66426200000001</v>
      </c>
      <c r="AV28" s="551">
        <v>351.404943</v>
      </c>
      <c r="AW28" s="551">
        <v>329.22386699999998</v>
      </c>
      <c r="AX28" s="551">
        <v>322.12681600000002</v>
      </c>
      <c r="AY28" s="551">
        <v>325.27263499999998</v>
      </c>
      <c r="AZ28" s="551">
        <v>441.97614700000003</v>
      </c>
      <c r="BA28" s="551">
        <v>170.97494399999999</v>
      </c>
      <c r="BB28" s="551">
        <v>519.77551700000004</v>
      </c>
      <c r="BC28" s="551">
        <v>334.94185199999998</v>
      </c>
      <c r="BD28" s="552">
        <v>353.57141899999999</v>
      </c>
      <c r="BE28" s="871">
        <f>SUM(BF28:BQ28)</f>
        <v>4452.6043090000003</v>
      </c>
      <c r="BF28" s="551">
        <v>478.51869900000003</v>
      </c>
      <c r="BG28" s="551">
        <v>391.408389</v>
      </c>
      <c r="BH28" s="551">
        <v>354.42021099999999</v>
      </c>
      <c r="BI28" s="551">
        <v>329.90308199999998</v>
      </c>
      <c r="BJ28" s="551">
        <v>329.25166400000001</v>
      </c>
      <c r="BK28" s="551">
        <v>299.56427500000001</v>
      </c>
      <c r="BL28" s="551">
        <f>454713958/1000000</f>
        <v>454.71395799999999</v>
      </c>
      <c r="BM28" s="551">
        <v>298.64040999999997</v>
      </c>
      <c r="BN28" s="551">
        <v>458.55045200000001</v>
      </c>
      <c r="BO28" s="551">
        <v>426.195716</v>
      </c>
      <c r="BP28" s="551">
        <v>306.47291899999999</v>
      </c>
      <c r="BQ28" s="2153">
        <v>324.96453400000001</v>
      </c>
      <c r="BR28" s="871">
        <f>SUM(BS28:CD28)</f>
        <v>4731.2440649999999</v>
      </c>
      <c r="BS28" s="551">
        <v>294.36073299999998</v>
      </c>
      <c r="BT28" s="551">
        <v>577.17226700000003</v>
      </c>
      <c r="BU28" s="551">
        <v>242.864204</v>
      </c>
      <c r="BV28" s="551">
        <v>324.58544000000001</v>
      </c>
      <c r="BW28" s="551">
        <v>392.61589700000002</v>
      </c>
      <c r="BX28" s="551">
        <v>323.19973900000002</v>
      </c>
      <c r="BY28" s="551">
        <v>496.44607100000002</v>
      </c>
      <c r="BZ28" s="551">
        <v>396.32875200000001</v>
      </c>
      <c r="CA28" s="551">
        <v>524.55371500000001</v>
      </c>
      <c r="CB28" s="551">
        <v>390.47527100000002</v>
      </c>
      <c r="CC28" s="551">
        <v>363.54603600000002</v>
      </c>
      <c r="CD28" s="552">
        <v>405.09593999999998</v>
      </c>
      <c r="CE28" s="871">
        <f>SUM(CF28:CQ28)</f>
        <v>4873.0933142162203</v>
      </c>
      <c r="CF28" s="2240">
        <f>(CF29*무선!CF8)/1000000</f>
        <v>428.88542993637884</v>
      </c>
      <c r="CG28" s="553">
        <f>(CG29*무선!CG8)/1000000</f>
        <v>349.11837946491892</v>
      </c>
      <c r="CH28" s="553">
        <f>(CH29*무선!CH8)/1000000</f>
        <v>463.35976078651925</v>
      </c>
      <c r="CI28" s="553">
        <f>(CI29*무선!CI8)/1000000</f>
        <v>371.89739316099519</v>
      </c>
      <c r="CJ28" s="553">
        <f>(CJ29*무선!CJ8)/1000000</f>
        <v>371.47808060401991</v>
      </c>
      <c r="CK28" s="553">
        <f>(CK29*무선!CK8)/1000000</f>
        <v>367.03617222149177</v>
      </c>
      <c r="CL28" s="553">
        <f>(CL29*무선!CL8)/1000000</f>
        <v>483.74534280588466</v>
      </c>
      <c r="CM28" s="553">
        <f>(CM29*무선!CM8)/1000000</f>
        <v>382.89131335473263</v>
      </c>
      <c r="CN28" s="553">
        <f>(CN29*무선!CN8)/1000000</f>
        <v>512.15188588303408</v>
      </c>
      <c r="CO28" s="553">
        <f>(CO29*무선!CO8)/1000000</f>
        <v>416.55797193256251</v>
      </c>
      <c r="CP28" s="553">
        <f>(CP29*무선!CP8)/1000000</f>
        <v>387.63578071166393</v>
      </c>
      <c r="CQ28" s="2240">
        <f>(CQ29*무선!CQ8)/1000000-0.00182524520369043</f>
        <v>338.33580335401871</v>
      </c>
    </row>
    <row r="29" spans="1:95" s="128" customFormat="1">
      <c r="A29" s="1305"/>
      <c r="B29" s="3426"/>
      <c r="C29" s="3427"/>
      <c r="D29" s="695" t="s">
        <v>157</v>
      </c>
      <c r="E29" s="283">
        <f>AVERAGE(F29:Q29)</f>
        <v>6542.5155842527129</v>
      </c>
      <c r="F29" s="328">
        <f>F28/무선!F8*1000000</f>
        <v>6015.2204747090673</v>
      </c>
      <c r="G29" s="328">
        <f>G28/무선!G8*1000000</f>
        <v>6406.7207396005269</v>
      </c>
      <c r="H29" s="328">
        <f>H28/무선!H8*1000000</f>
        <v>6612.6453979752941</v>
      </c>
      <c r="I29" s="328">
        <f>I28/무선!I8*1000000</f>
        <v>6173.4856016974836</v>
      </c>
      <c r="J29" s="328">
        <f>J28/무선!J8*1000000</f>
        <v>5673.7260357205678</v>
      </c>
      <c r="K29" s="328">
        <f>K28/무선!K8*1000000</f>
        <v>6159.6434619363245</v>
      </c>
      <c r="L29" s="328">
        <f>L28/무선!L8*1000000</f>
        <v>6574.9357995128194</v>
      </c>
      <c r="M29" s="328">
        <f>M28/무선!M8*1000000</f>
        <v>6583.7407413498231</v>
      </c>
      <c r="N29" s="328">
        <f>N28/무선!N8*1000000</f>
        <v>6550.0960758340925</v>
      </c>
      <c r="O29" s="328">
        <f>O28/무선!O8*1000000</f>
        <v>6374.8242284235812</v>
      </c>
      <c r="P29" s="328">
        <f>P28/무선!P8*1000000</f>
        <v>8130.3479436411581</v>
      </c>
      <c r="Q29" s="328">
        <f>Q28/무선!Q8*1000000</f>
        <v>7254.8005106318114</v>
      </c>
      <c r="R29" s="283">
        <f>AVERAGE(S29:AD29)</f>
        <v>7629.4183463550135</v>
      </c>
      <c r="S29" s="328">
        <f>S28*1000000/무선!S8</f>
        <v>7417.4738250308046</v>
      </c>
      <c r="T29" s="328">
        <f>T28*1000000/무선!T8</f>
        <v>6123.5627931912613</v>
      </c>
      <c r="U29" s="328">
        <f>U28*1000000/무선!U8</f>
        <v>5896.9323189179568</v>
      </c>
      <c r="V29" s="328">
        <f>V28*1000000/무선!V8</f>
        <v>6233.8723457599663</v>
      </c>
      <c r="W29" s="328">
        <f>W28*1000000/무선!W8</f>
        <v>6406.8075427682734</v>
      </c>
      <c r="X29" s="328">
        <f>X28*1000000/무선!X8</f>
        <v>6655.3755878220145</v>
      </c>
      <c r="Y29" s="328">
        <f>Y28*1000000/무선!Y8</f>
        <v>7190.559666037173</v>
      </c>
      <c r="Z29" s="328">
        <f>Z28*1000000/무선!Z8</f>
        <v>6981.1090881573973</v>
      </c>
      <c r="AA29" s="328">
        <f>AA28*1000000/무선!AA8</f>
        <v>9358.414210172099</v>
      </c>
      <c r="AB29" s="328">
        <f>AB28*1000000/무선!AB8</f>
        <v>9811.2952370891308</v>
      </c>
      <c r="AC29" s="328">
        <f>AC28*1000000/무선!AC8</f>
        <v>9797.2777121335221</v>
      </c>
      <c r="AD29" s="328">
        <f>AD28*1000000/무선!AD8</f>
        <v>9680.3398291805515</v>
      </c>
      <c r="AE29" s="283">
        <f>AVERAGE(AF29:AQ29)</f>
        <v>8728.9358604790195</v>
      </c>
      <c r="AF29" s="328">
        <f>AF28*1000000/무선!AF8</f>
        <v>7937.9830298447905</v>
      </c>
      <c r="AG29" s="328">
        <f>AG28*1000000/무선!AG8</f>
        <v>7806.8036089482139</v>
      </c>
      <c r="AH29" s="328">
        <f>AH28*1000000/무선!AH8</f>
        <v>10058.915187804061</v>
      </c>
      <c r="AI29" s="328">
        <f>AI28*1000000/무선!AI8</f>
        <v>8944.196897328362</v>
      </c>
      <c r="AJ29" s="328">
        <f>AJ28*1000000/무선!AJ8</f>
        <v>8314.844071874295</v>
      </c>
      <c r="AK29" s="328">
        <f>AK28*1000000/무선!AK8</f>
        <v>8049.209984976309</v>
      </c>
      <c r="AL29" s="328">
        <f>AL28*1000000/무선!AL8</f>
        <v>8296.4653694796671</v>
      </c>
      <c r="AM29" s="328">
        <f>AM28*1000000/무선!AM8</f>
        <v>8596.2466700050063</v>
      </c>
      <c r="AN29" s="328">
        <v>7684.133379979884</v>
      </c>
      <c r="AO29" s="328">
        <v>8090.2056456367927</v>
      </c>
      <c r="AP29" s="328">
        <v>9435.623379363702</v>
      </c>
      <c r="AQ29" s="328">
        <v>11532.603100507145</v>
      </c>
      <c r="AR29" s="872">
        <f>AVERAGE(AS29:BD29)</f>
        <v>8284.908297599768</v>
      </c>
      <c r="AS29" s="611">
        <f>(AS28*1000000)/무선!AS8</f>
        <v>9467.09703887867</v>
      </c>
      <c r="AT29" s="611">
        <f>(AT28*1000000)/무선!AT8</f>
        <v>8552.6051346721833</v>
      </c>
      <c r="AU29" s="611">
        <f>(AU28*1000000)/무선!AU8</f>
        <v>8847.7204514250352</v>
      </c>
      <c r="AV29" s="611">
        <f>(AV28*1000000)/무선!AV8</f>
        <v>8958.9091403265065</v>
      </c>
      <c r="AW29" s="611">
        <f>(AW28*1000000)/무선!AW8</f>
        <v>7650.0580513130308</v>
      </c>
      <c r="AX29" s="611">
        <f>(AX28*1000000)/무선!AX8</f>
        <v>7906.1883608031258</v>
      </c>
      <c r="AY29" s="611">
        <f>(AY28*1000000)/무선!AY8</f>
        <v>8087.0590083720926</v>
      </c>
      <c r="AZ29" s="611">
        <f>(AZ28*1000000)/무선!AZ8</f>
        <v>7594.6490262728194</v>
      </c>
      <c r="BA29" s="611">
        <f>(BA28*1000000)/무선!BA8</f>
        <v>4611.8664843583601</v>
      </c>
      <c r="BB29" s="611">
        <f>(BB28*1000000)/무선!BB8</f>
        <v>7647.0309967382373</v>
      </c>
      <c r="BC29" s="611">
        <f>(BC28*1000000)/무선!BC8</f>
        <v>8817.6610148830823</v>
      </c>
      <c r="BD29" s="664">
        <f>(BD28*1000000)/무선!BD8</f>
        <v>11278.054863154071</v>
      </c>
      <c r="BE29" s="872">
        <f>AVERAGE(BF29:BQ29)</f>
        <v>8162.0598488086553</v>
      </c>
      <c r="BF29" s="2161">
        <f>(BF28*1000000)/무선!BF8</f>
        <v>8811.8499373895102</v>
      </c>
      <c r="BG29" s="2161">
        <f>(BG28*1000000)/무선!BG8</f>
        <v>10223.811226622087</v>
      </c>
      <c r="BH29" s="2161">
        <f>(BH28*1000000)/무선!BH8</f>
        <v>9011.2178942818646</v>
      </c>
      <c r="BI29" s="2161">
        <f>(BI28*1000000)/무선!BI8</f>
        <v>7778.8984201839185</v>
      </c>
      <c r="BJ29" s="2161">
        <f>(BJ28*1000000)/무선!BJ8</f>
        <v>7631.6358157754448</v>
      </c>
      <c r="BK29" s="2161">
        <f>(BK28*1000000)/무선!BK8</f>
        <v>7816.8273621584949</v>
      </c>
      <c r="BL29" s="2161">
        <f>(BL28*1000000)/무선!BL8</f>
        <v>8240.408075243291</v>
      </c>
      <c r="BM29" s="2161">
        <f>(BM28*1000000)/무선!BM8</f>
        <v>7256.1267828072987</v>
      </c>
      <c r="BN29" s="2161">
        <f>(BN28*1000000)/무선!BN8</f>
        <v>7327.6623094378219</v>
      </c>
      <c r="BO29" s="2161">
        <f>(BO28*1000000)/무선!BO8</f>
        <v>7671.5996039960401</v>
      </c>
      <c r="BP29" s="2161">
        <f>(BP28*1000000)/무선!BP8</f>
        <v>7095.4302549024151</v>
      </c>
      <c r="BQ29" s="2162">
        <f>(BQ28*1000000)/무선!BQ8</f>
        <v>9079.2505029056774</v>
      </c>
      <c r="BR29" s="872">
        <f>AVERAGE(BS29:CD29)</f>
        <v>7380.2755335690408</v>
      </c>
      <c r="BS29" s="3005">
        <f>(BS28*1000000)/무선!BS8</f>
        <v>8728.2648776871756</v>
      </c>
      <c r="BT29" s="2161">
        <f>(BT28*1000000)/무선!BT8</f>
        <v>8541.4628179894335</v>
      </c>
      <c r="BU29" s="2161">
        <f>(BU28*1000000)/무선!BU8</f>
        <v>5642.4934714929605</v>
      </c>
      <c r="BV29" s="2161">
        <f>(BV28*1000000)/무선!BV8</f>
        <v>6938.1065771754693</v>
      </c>
      <c r="BW29" s="2161">
        <f>(BW28*1000000)/무선!BW8</f>
        <v>6207.8567001343981</v>
      </c>
      <c r="BX29" s="2161">
        <f>(BX28*1000000)/무선!BX8</f>
        <v>6310.3996524591448</v>
      </c>
      <c r="BY29" s="2161">
        <f>(BY28*1000000)/무선!BY8</f>
        <v>7214.9469683757707</v>
      </c>
      <c r="BZ29" s="2161">
        <f>(BZ28*1000000)/무선!BZ8</f>
        <v>7963.8458385242939</v>
      </c>
      <c r="CA29" s="2161">
        <f>(CA28*1000000)/무선!CA8</f>
        <v>7555.0361509988334</v>
      </c>
      <c r="CB29" s="2161">
        <f>(CB28*1000000)/무선!CB8</f>
        <v>6936.3568231072586</v>
      </c>
      <c r="CC29" s="2161">
        <f>(CC28*1000000)/무선!CC8</f>
        <v>7785.5452618053323</v>
      </c>
      <c r="CD29" s="3006">
        <f>(CD28*1000000)/무선!CD8</f>
        <v>8738.9912630784165</v>
      </c>
      <c r="CE29" s="872">
        <f>AVERAGE(CF29:CQ29)</f>
        <v>7273.2736033077917</v>
      </c>
      <c r="CF29" s="2554">
        <v>7273.2736033077908</v>
      </c>
      <c r="CG29" s="2170">
        <v>7273.2736033077908</v>
      </c>
      <c r="CH29" s="2170">
        <v>7273.2736033077908</v>
      </c>
      <c r="CI29" s="2170">
        <v>7273.2736033077908</v>
      </c>
      <c r="CJ29" s="2170">
        <v>7273.2736033077908</v>
      </c>
      <c r="CK29" s="2170">
        <v>7273.2736033077908</v>
      </c>
      <c r="CL29" s="2170">
        <v>7273.2736033077908</v>
      </c>
      <c r="CM29" s="2170">
        <v>7273.2736033077908</v>
      </c>
      <c r="CN29" s="2170">
        <v>7273.2736033077908</v>
      </c>
      <c r="CO29" s="2170">
        <v>7273.2736033077908</v>
      </c>
      <c r="CP29" s="2170">
        <v>7273.2736033077908</v>
      </c>
      <c r="CQ29" s="2239">
        <v>7273.2736033077908</v>
      </c>
    </row>
    <row r="30" spans="1:95">
      <c r="A30" s="1305"/>
      <c r="B30" s="3336" t="s">
        <v>158</v>
      </c>
      <c r="C30" s="3425"/>
      <c r="D30" s="83" t="s">
        <v>142</v>
      </c>
      <c r="E30" s="281">
        <f>SUM(F30:Q30)</f>
        <v>323.39981900000004</v>
      </c>
      <c r="F30" s="319">
        <v>92.327652999999998</v>
      </c>
      <c r="G30" s="319">
        <v>18.033156999999999</v>
      </c>
      <c r="H30" s="319">
        <v>-2.0875509999999999</v>
      </c>
      <c r="I30" s="588">
        <v>2.1573899999999999</v>
      </c>
      <c r="J30" s="588">
        <v>5.4749809999999997</v>
      </c>
      <c r="K30" s="588">
        <v>18.775095</v>
      </c>
      <c r="L30" s="588">
        <v>63.029646</v>
      </c>
      <c r="M30" s="588">
        <v>6.9826079999999999</v>
      </c>
      <c r="N30" s="665">
        <v>17.306066000000001</v>
      </c>
      <c r="O30" s="665">
        <v>9.7915030000000005</v>
      </c>
      <c r="P30" s="665">
        <v>61.785699000000001</v>
      </c>
      <c r="Q30" s="665">
        <v>29.823571999999999</v>
      </c>
      <c r="R30" s="281">
        <f>SUM(S30:AD30)</f>
        <v>521.45880799999998</v>
      </c>
      <c r="S30" s="552">
        <v>13.022167</v>
      </c>
      <c r="T30" s="552">
        <v>14.420661000000001</v>
      </c>
      <c r="U30" s="552">
        <v>7.6454719999999998</v>
      </c>
      <c r="V30" s="552">
        <v>20.036014000000002</v>
      </c>
      <c r="W30" s="552">
        <v>8.4133650000000006</v>
      </c>
      <c r="X30" s="552">
        <v>23.641030000000001</v>
      </c>
      <c r="Y30" s="552">
        <v>165.59588099999999</v>
      </c>
      <c r="Z30" s="552">
        <v>5.2586110000000001</v>
      </c>
      <c r="AA30" s="552">
        <v>75.991376000000002</v>
      </c>
      <c r="AB30" s="552">
        <v>15.55034</v>
      </c>
      <c r="AC30" s="552">
        <v>41.205311000000002</v>
      </c>
      <c r="AD30" s="552">
        <v>130.67858000000001</v>
      </c>
      <c r="AE30" s="281">
        <f>SUM(AF30:AQ30)</f>
        <v>885.59376700000007</v>
      </c>
      <c r="AF30" s="552">
        <v>28.012008000000002</v>
      </c>
      <c r="AG30" s="552">
        <v>14.885332</v>
      </c>
      <c r="AH30" s="552">
        <v>20.336041000000002</v>
      </c>
      <c r="AI30" s="552">
        <v>180.330983</v>
      </c>
      <c r="AJ30" s="552">
        <v>34.016795000000002</v>
      </c>
      <c r="AK30" s="552">
        <v>50.743423</v>
      </c>
      <c r="AL30" s="552">
        <v>194.319412</v>
      </c>
      <c r="AM30" s="552">
        <v>26.952853999999999</v>
      </c>
      <c r="AN30" s="552">
        <v>45.912398000000003</v>
      </c>
      <c r="AO30" s="552">
        <v>53.810975999999997</v>
      </c>
      <c r="AP30" s="552">
        <v>65.527901999999997</v>
      </c>
      <c r="AQ30" s="552">
        <v>170.745643</v>
      </c>
      <c r="AR30" s="871">
        <f>SUM(AS30:BD30)</f>
        <v>839.96375500000011</v>
      </c>
      <c r="AS30" s="551">
        <v>37.074312999999997</v>
      </c>
      <c r="AT30" s="551">
        <v>19.139544000000001</v>
      </c>
      <c r="AU30" s="551">
        <v>72.206608000000003</v>
      </c>
      <c r="AV30" s="551">
        <v>23.643315000000001</v>
      </c>
      <c r="AW30" s="551">
        <v>16.831766999999999</v>
      </c>
      <c r="AX30" s="551">
        <v>50.467615000000002</v>
      </c>
      <c r="AY30" s="551">
        <v>158.78094999999999</v>
      </c>
      <c r="AZ30" s="551">
        <v>29.247973999999999</v>
      </c>
      <c r="BA30" s="551">
        <v>145.25455099999999</v>
      </c>
      <c r="BB30" s="551">
        <v>46.368648999999998</v>
      </c>
      <c r="BC30" s="551">
        <v>130.380841</v>
      </c>
      <c r="BD30" s="552">
        <v>110.567628</v>
      </c>
      <c r="BE30" s="871">
        <f>SUM(BF30:BQ30)</f>
        <v>942.93550200000004</v>
      </c>
      <c r="BF30" s="551">
        <v>37.373182999999997</v>
      </c>
      <c r="BG30" s="551">
        <v>32.404677999999997</v>
      </c>
      <c r="BH30" s="551">
        <v>27.160269</v>
      </c>
      <c r="BI30" s="551">
        <v>62.228341999999998</v>
      </c>
      <c r="BJ30" s="551">
        <v>25.575593999999999</v>
      </c>
      <c r="BK30" s="551">
        <v>171.32511700000001</v>
      </c>
      <c r="BL30" s="551">
        <v>66.974866000000006</v>
      </c>
      <c r="BM30" s="2154">
        <v>-25.690020000000001</v>
      </c>
      <c r="BN30" s="551">
        <v>8.823874</v>
      </c>
      <c r="BO30" s="551">
        <v>293.67880300000002</v>
      </c>
      <c r="BP30" s="551">
        <v>166.98197999999999</v>
      </c>
      <c r="BQ30" s="2153">
        <v>76.098815999999999</v>
      </c>
      <c r="BR30" s="871">
        <f>SUM(BS30:CD30)</f>
        <v>863.30343300000004</v>
      </c>
      <c r="BS30" s="551">
        <v>30.978331000000001</v>
      </c>
      <c r="BT30" s="551">
        <v>14.051783</v>
      </c>
      <c r="BU30" s="551">
        <v>23.843495000000001</v>
      </c>
      <c r="BV30" s="551">
        <v>27.213749</v>
      </c>
      <c r="BW30" s="551">
        <v>83.954356000000004</v>
      </c>
      <c r="BX30" s="551">
        <v>28.030895999999998</v>
      </c>
      <c r="BY30" s="551">
        <v>187.00326799999999</v>
      </c>
      <c r="BZ30" s="551">
        <v>32.552112000000001</v>
      </c>
      <c r="CA30" s="551">
        <v>28.345769000000001</v>
      </c>
      <c r="CB30" s="551">
        <v>91.638863000000001</v>
      </c>
      <c r="CC30" s="551">
        <v>143.358295</v>
      </c>
      <c r="CD30" s="552">
        <v>172.332516</v>
      </c>
      <c r="CE30" s="871">
        <f>SUM(CF30:CQ30)</f>
        <v>929.91039487920705</v>
      </c>
      <c r="CF30" s="553">
        <f>(CF31*인건비!CG5)/1000000</f>
        <v>76.85849695798295</v>
      </c>
      <c r="CG30" s="553">
        <f>(CG31*인건비!CH5)/1000000</f>
        <v>76.58201024783007</v>
      </c>
      <c r="CH30" s="553">
        <f>(CH31*인건비!CI5)/1000000</f>
        <v>76.473819796031108</v>
      </c>
      <c r="CI30" s="553">
        <f>(CI31*인건비!CJ5)/1000000</f>
        <v>76.348799718396734</v>
      </c>
      <c r="CJ30" s="553">
        <f>(CJ31*인건비!CK5)/1000000+6</f>
        <v>82.651732983433845</v>
      </c>
      <c r="CK30" s="553">
        <f>(CK31*인건비!CL5)/1000000</f>
        <v>76.67817953831802</v>
      </c>
      <c r="CL30" s="553">
        <f>(CL31*인건비!CM5)/1000000</f>
        <v>77.269620674819038</v>
      </c>
      <c r="CM30" s="553">
        <f>(CM31*인건비!CN5)/1000000</f>
        <v>77.296067229703212</v>
      </c>
      <c r="CN30" s="553">
        <f>(CN31*인건비!CO5)/1000000</f>
        <v>77.599000494740324</v>
      </c>
      <c r="CO30" s="553">
        <f>(CO31*인건비!CP5)/1000000</f>
        <v>77.348960339471603</v>
      </c>
      <c r="CP30" s="553">
        <f>(CP31*인건비!CQ5)/1000000</f>
        <v>77.098920184202896</v>
      </c>
      <c r="CQ30" s="2240">
        <f>(CQ31*인건비!CR5)/1000000</f>
        <v>77.704786714277091</v>
      </c>
    </row>
    <row r="31" spans="1:95">
      <c r="A31" s="1305"/>
      <c r="B31" s="3426"/>
      <c r="C31" s="3427"/>
      <c r="D31" s="84" t="s">
        <v>159</v>
      </c>
      <c r="E31" s="277">
        <f>AVERAGE(F31:Q31)</f>
        <v>11494.690978338178</v>
      </c>
      <c r="F31" s="318">
        <f>F30*1000000/인건비!G5</f>
        <v>37168.942431561998</v>
      </c>
      <c r="G31" s="318">
        <f>G30*1000000/인건비!H5</f>
        <v>7262.6488119210635</v>
      </c>
      <c r="H31" s="318">
        <f>H30*1000000/인건비!I5</f>
        <v>-840.7374144180427</v>
      </c>
      <c r="I31" s="318">
        <f>I30*1000000/인건비!J5</f>
        <v>893.32919254658384</v>
      </c>
      <c r="J31" s="318">
        <f>J30*1000000/인건비!K5</f>
        <v>2301.379150903741</v>
      </c>
      <c r="K31" s="318">
        <f>K30*1000000/인건비!L5</f>
        <v>7999.614401363443</v>
      </c>
      <c r="L31" s="318">
        <f>L30*1000000/인건비!M5</f>
        <v>27584.090153172867</v>
      </c>
      <c r="M31" s="318">
        <f>M30*1000000/인건비!N5</f>
        <v>3058.5229960578185</v>
      </c>
      <c r="N31" s="318">
        <f>N30*1000000/인건비!O5</f>
        <v>7657.5513274336281</v>
      </c>
      <c r="O31" s="318">
        <f>O30*1000000/인건비!P5</f>
        <v>4359.5293855743548</v>
      </c>
      <c r="P31" s="318">
        <f>P30*1000000/인건비!Q5</f>
        <v>27399.423059866964</v>
      </c>
      <c r="Q31" s="318">
        <f>Q30*1000000/인건비!R5</f>
        <v>13091.998244073749</v>
      </c>
      <c r="R31" s="277">
        <f>AVERAGE(S31:AD31)</f>
        <v>20073.465951427763</v>
      </c>
      <c r="S31" s="318">
        <f>S30*1000000/인건비!T5</f>
        <v>5731.5875880281692</v>
      </c>
      <c r="T31" s="318">
        <f>T30*1000000/인건비!U5</f>
        <v>6492.8685276902297</v>
      </c>
      <c r="U31" s="318">
        <f>U30*1000000/인건비!V5</f>
        <v>3357.6952129995607</v>
      </c>
      <c r="V31" s="318">
        <f>V30*1000000/인건비!W5</f>
        <v>9119.7150659990893</v>
      </c>
      <c r="W31" s="318">
        <f>W30*1000000/인건비!X5</f>
        <v>3820.7833787465938</v>
      </c>
      <c r="X31" s="318">
        <f>X30*1000000/인건비!Y5</f>
        <v>10894.483870967742</v>
      </c>
      <c r="Y31" s="318">
        <f>Y30*1000000/인건비!Z5</f>
        <v>75511.117647058825</v>
      </c>
      <c r="Z31" s="318">
        <f>Z30*1000000/인건비!AA5</f>
        <v>2442.4575011611705</v>
      </c>
      <c r="AA31" s="318">
        <f>AA30*1000000/인건비!AB5</f>
        <v>35509.988785046728</v>
      </c>
      <c r="AB31" s="318">
        <f>AB30*1000000/인건비!AC5</f>
        <v>7219.2850510677808</v>
      </c>
      <c r="AC31" s="318">
        <f>AC30*1000000/인건비!AD5</f>
        <v>19372.501645510107</v>
      </c>
      <c r="AD31" s="318">
        <f>AD30*1000000/인건비!AE5</f>
        <v>61409.107142857152</v>
      </c>
      <c r="AE31" s="277">
        <f>AVERAGE(AF31:AQ31)</f>
        <v>34707.133794930887</v>
      </c>
      <c r="AF31" s="318">
        <f>AF30*1000000/인건비!AG5</f>
        <v>13169.726375176304</v>
      </c>
      <c r="AG31" s="318">
        <f>AG30*1000000/인건비!AH5</f>
        <v>7021.3830188679249</v>
      </c>
      <c r="AH31" s="318">
        <f>AH30*1000000/인건비!AI5</f>
        <v>9734.8209669698426</v>
      </c>
      <c r="AI31" s="318">
        <f>AI30*1000000/인건비!AJ5</f>
        <v>85667.92541567696</v>
      </c>
      <c r="AJ31" s="318">
        <f>AJ30*1000000/인건비!AK5</f>
        <v>15992.851433944523</v>
      </c>
      <c r="AK31" s="318">
        <f>AK30*1000000/인건비!AL5</f>
        <v>23913.017436380775</v>
      </c>
      <c r="AL31" s="318">
        <f>AL30*1000000/인건비!AM5</f>
        <v>90718.679738562088</v>
      </c>
      <c r="AM31" s="318">
        <f>AM30*1000000/인건비!AN5</f>
        <v>12636.124706985467</v>
      </c>
      <c r="AN31" s="318">
        <v>21656.791509433962</v>
      </c>
      <c r="AO31" s="318">
        <v>25216.014995313963</v>
      </c>
      <c r="AP31" s="318">
        <v>30407.379118329467</v>
      </c>
      <c r="AQ31" s="318">
        <v>80350.890823529407</v>
      </c>
      <c r="AR31" s="869">
        <f>AVERAGE(AS31:BD31)</f>
        <v>33332.092026562059</v>
      </c>
      <c r="AS31" s="1604">
        <f>(AS30*1000000)/인건비!AT5</f>
        <v>17324.445327102803</v>
      </c>
      <c r="AT31" s="587">
        <f>(AT30*1000000)/인건비!AU5</f>
        <v>8973.0632911392404</v>
      </c>
      <c r="AU31" s="587">
        <f>(AU30*1000000)/인건비!AV5</f>
        <v>34059.720754716982</v>
      </c>
      <c r="AV31" s="587">
        <f>(AV30*1000000)/인건비!AW5</f>
        <v>11210.675675675675</v>
      </c>
      <c r="AW31" s="587">
        <f>(AW30*1000000)/인건비!AX5</f>
        <v>7950.7638167217765</v>
      </c>
      <c r="AX31" s="587">
        <f>(AX30*1000000)/인건비!AY5</f>
        <v>24078.060591603054</v>
      </c>
      <c r="AY31" s="587">
        <f>(AY30*1000000)/인건비!AZ5</f>
        <v>75754.270038167946</v>
      </c>
      <c r="AZ31" s="587">
        <f>(AZ30*1000000)/인건비!BA5</f>
        <v>13920.977629700143</v>
      </c>
      <c r="BA31" s="587">
        <f>(BA30*1000000)/인건비!BB5</f>
        <v>69135.911946692053</v>
      </c>
      <c r="BB31" s="587">
        <f>(BB30*1000000)/인건비!BC5</f>
        <v>22069.799619228939</v>
      </c>
      <c r="BC31" s="587">
        <f>(BC30*1000000)/인건비!BD5</f>
        <v>62502.800095877275</v>
      </c>
      <c r="BD31" s="663">
        <f>(BD30*1000000)/인건비!BE5</f>
        <v>53004.615532118885</v>
      </c>
      <c r="BE31" s="869">
        <f>AVERAGE(BF31:BQ31)</f>
        <v>37042.920547769776</v>
      </c>
      <c r="BF31" s="2155">
        <f>(BF30*1000000)/인건비!BG5</f>
        <v>18302.244368266405</v>
      </c>
      <c r="BG31" s="2155">
        <f>(BG30*1000000)/인건비!BH5</f>
        <v>15822.596679687498</v>
      </c>
      <c r="BH31" s="2155">
        <f>(BH30*1000000)/인건비!BI5</f>
        <v>13203.82547399125</v>
      </c>
      <c r="BI31" s="2155">
        <f>(BI30*1000000)/인건비!BJ5</f>
        <v>29831.419942473633</v>
      </c>
      <c r="BJ31" s="2155">
        <f>(BJ30*1000000)/인건비!BK5</f>
        <v>12231.274031563846</v>
      </c>
      <c r="BK31" s="2155">
        <f>(BK30*1000000)/인건비!BL5</f>
        <v>81778.098806682581</v>
      </c>
      <c r="BL31" s="2155">
        <f>(BL30*1000000)/인건비!BM5</f>
        <v>31862.44814462417</v>
      </c>
      <c r="BM31" s="2157">
        <f>(BM30*1000000)/인건비!BN5</f>
        <v>-12221.703139866793</v>
      </c>
      <c r="BN31" s="2155">
        <f>(BN30*1000000)/인건비!BO5</f>
        <v>4174.017975402081</v>
      </c>
      <c r="BO31" s="2155">
        <f>(BO30*1000000)/인건비!BP5</f>
        <v>137233.08551401869</v>
      </c>
      <c r="BP31" s="2155">
        <f>(BP30*1000000)/인건비!BQ5</f>
        <v>77485.837587006958</v>
      </c>
      <c r="BQ31" s="2156">
        <f>(BQ30*1000000)/인건비!BR5</f>
        <v>34811.901189387005</v>
      </c>
      <c r="BR31" s="869">
        <f>AVERAGE(BS31:CD31)</f>
        <v>33014.454508789036</v>
      </c>
      <c r="BS31" s="2155">
        <f>(BS30*1000000)/인건비!BT5</f>
        <v>13973.085701398286</v>
      </c>
      <c r="BT31" s="2155">
        <f>(BT30*1000000)/인건비!BU5</f>
        <v>6349.6534116583825</v>
      </c>
      <c r="BU31" s="2155">
        <f>(BU30*1000000)/인건비!BV5</f>
        <v>10716.177528089887</v>
      </c>
      <c r="BV31" s="2155">
        <f>(BV30*1000000)/인건비!BW5</f>
        <v>12192.539874551971</v>
      </c>
      <c r="BW31" s="2155">
        <f>(BW30*1000000)/인건비!BX5</f>
        <v>37681.488330341112</v>
      </c>
      <c r="BX31" s="2155">
        <f>(BX30*1000000)/인건비!BY5</f>
        <v>12660.747967479674</v>
      </c>
      <c r="BY31" s="2155">
        <f>(BY30*1000000)/인건비!BZ5</f>
        <v>85389.620091324206</v>
      </c>
      <c r="BZ31" s="2155">
        <f>(BZ30*1000000)/인건비!CA5</f>
        <v>14966.48827586207</v>
      </c>
      <c r="CA31" s="2155">
        <f>(CA30*1000000)/인건비!CB5</f>
        <v>13062.566359447004</v>
      </c>
      <c r="CB31" s="2155">
        <f>(CB30*1000000)/인건비!CC5</f>
        <v>42682.283651606893</v>
      </c>
      <c r="CC31" s="2155">
        <f>(CC30*1000000)/인건비!CD5</f>
        <v>66678.276744186049</v>
      </c>
      <c r="CD31" s="3006">
        <f>(CD30*1000000)/인건비!CE5</f>
        <v>79820.526169522927</v>
      </c>
      <c r="CE31" s="869">
        <f>AVERAGE(CF31:CQ31)</f>
        <v>36063.483932987503</v>
      </c>
      <c r="CF31" s="2554">
        <v>36063.483932987503</v>
      </c>
      <c r="CG31" s="2170">
        <v>36063.483932987503</v>
      </c>
      <c r="CH31" s="2170">
        <v>36063.483932987503</v>
      </c>
      <c r="CI31" s="2170">
        <v>36063.483932987503</v>
      </c>
      <c r="CJ31" s="2170">
        <v>36063.483932987503</v>
      </c>
      <c r="CK31" s="2170">
        <v>36063.483932987503</v>
      </c>
      <c r="CL31" s="2170">
        <v>36063.483932987503</v>
      </c>
      <c r="CM31" s="2170">
        <v>36063.483932987503</v>
      </c>
      <c r="CN31" s="2170">
        <v>36063.483932987503</v>
      </c>
      <c r="CO31" s="2170">
        <v>36063.483932987503</v>
      </c>
      <c r="CP31" s="2170">
        <v>36063.483932987503</v>
      </c>
      <c r="CQ31" s="2239">
        <v>36063.483932987503</v>
      </c>
    </row>
    <row r="32" spans="1:95">
      <c r="A32" s="867"/>
      <c r="B32" s="3330" t="s">
        <v>160</v>
      </c>
      <c r="C32" s="3331"/>
      <c r="D32" s="72" t="s">
        <v>142</v>
      </c>
      <c r="E32" s="281">
        <f>SUM(F32:Q32)</f>
        <v>875.42642000000012</v>
      </c>
      <c r="F32" s="319">
        <v>64.366017999999997</v>
      </c>
      <c r="G32" s="319">
        <v>61.252482000000001</v>
      </c>
      <c r="H32" s="319">
        <v>64.661236000000002</v>
      </c>
      <c r="I32" s="588">
        <v>61.989928999999997</v>
      </c>
      <c r="J32" s="588">
        <v>62.676468</v>
      </c>
      <c r="K32" s="588">
        <v>164.74719999999999</v>
      </c>
      <c r="L32" s="588">
        <v>61.65484</v>
      </c>
      <c r="M32" s="588">
        <v>62.583139000000003</v>
      </c>
      <c r="N32" s="665">
        <v>64.550195000000002</v>
      </c>
      <c r="O32" s="665">
        <v>61.954684999999998</v>
      </c>
      <c r="P32" s="665">
        <v>72.992206999999993</v>
      </c>
      <c r="Q32" s="665">
        <v>71.998020999999994</v>
      </c>
      <c r="R32" s="281">
        <f>SUM(S32:AD32)</f>
        <v>856.63505099999998</v>
      </c>
      <c r="S32" s="552">
        <v>73.348996999999997</v>
      </c>
      <c r="T32" s="552">
        <v>73.907360999999995</v>
      </c>
      <c r="U32" s="552">
        <v>72.103870999999998</v>
      </c>
      <c r="V32" s="552">
        <v>72.859599000000003</v>
      </c>
      <c r="W32" s="552">
        <v>72.045862</v>
      </c>
      <c r="X32" s="552">
        <v>67.728333000000006</v>
      </c>
      <c r="Y32" s="552">
        <v>71.461899000000003</v>
      </c>
      <c r="Z32" s="552">
        <v>72.173114999999996</v>
      </c>
      <c r="AA32" s="552">
        <v>72.437236999999996</v>
      </c>
      <c r="AB32" s="552">
        <v>71.427152000000007</v>
      </c>
      <c r="AC32" s="552">
        <v>68.198778000000004</v>
      </c>
      <c r="AD32" s="552">
        <v>68.942847</v>
      </c>
      <c r="AE32" s="281">
        <f>SUM(AF32:AQ32)</f>
        <v>854.93248500000004</v>
      </c>
      <c r="AF32" s="552">
        <v>66.553906999999995</v>
      </c>
      <c r="AG32" s="552">
        <v>62.206795999999997</v>
      </c>
      <c r="AH32" s="552">
        <v>66.051008999999993</v>
      </c>
      <c r="AI32" s="552">
        <v>73.191967000000005</v>
      </c>
      <c r="AJ32" s="552">
        <v>74.015153999999995</v>
      </c>
      <c r="AK32" s="552">
        <v>71.318016999999998</v>
      </c>
      <c r="AL32" s="552">
        <v>70.216375999999997</v>
      </c>
      <c r="AM32" s="552">
        <v>71.675483</v>
      </c>
      <c r="AN32" s="552">
        <v>77.994112000000001</v>
      </c>
      <c r="AO32" s="552">
        <v>74.521369000000007</v>
      </c>
      <c r="AP32" s="552">
        <v>72.623053999999996</v>
      </c>
      <c r="AQ32" s="552">
        <v>74.565241</v>
      </c>
      <c r="AR32" s="871">
        <f>SUM(AS32:BD32)</f>
        <v>824.72214200000008</v>
      </c>
      <c r="AS32" s="551">
        <v>72.808867000000006</v>
      </c>
      <c r="AT32" s="551">
        <v>69.870351999999997</v>
      </c>
      <c r="AU32" s="551">
        <v>70.535837999999998</v>
      </c>
      <c r="AV32" s="551">
        <v>67.027694999999994</v>
      </c>
      <c r="AW32" s="551">
        <v>68.592184000000003</v>
      </c>
      <c r="AX32" s="551">
        <v>66.882166999999995</v>
      </c>
      <c r="AY32" s="551">
        <v>67.242610999999997</v>
      </c>
      <c r="AZ32" s="551">
        <v>72.176147</v>
      </c>
      <c r="BA32" s="551">
        <v>69.012283999999994</v>
      </c>
      <c r="BB32" s="551">
        <v>67.524860000000004</v>
      </c>
      <c r="BC32" s="551">
        <v>67.115392</v>
      </c>
      <c r="BD32" s="552">
        <v>65.933745000000002</v>
      </c>
      <c r="BE32" s="871">
        <f>SUM(BF32:BQ32)</f>
        <v>894.15289100000007</v>
      </c>
      <c r="BF32" s="551">
        <v>67.628157000000002</v>
      </c>
      <c r="BG32" s="551">
        <v>70.566115999999994</v>
      </c>
      <c r="BH32" s="551">
        <v>64.666602999999995</v>
      </c>
      <c r="BI32" s="551">
        <v>63.118426999999997</v>
      </c>
      <c r="BJ32" s="551">
        <v>65.920035999999996</v>
      </c>
      <c r="BK32" s="551">
        <v>64.901308999999998</v>
      </c>
      <c r="BL32" s="551">
        <f>69.913697+0.000280000000003611+0.000560000000007221</f>
        <v>69.91453700000001</v>
      </c>
      <c r="BM32" s="551">
        <v>69.359395000000006</v>
      </c>
      <c r="BN32" s="551">
        <v>65.433113000000006</v>
      </c>
      <c r="BO32" s="551">
        <v>116.749088</v>
      </c>
      <c r="BP32" s="551">
        <v>103.954846</v>
      </c>
      <c r="BQ32" s="2153">
        <v>71.941264000000004</v>
      </c>
      <c r="BR32" s="871">
        <f>SUM(BS32:CD32)</f>
        <v>945.07067800000004</v>
      </c>
      <c r="BS32" s="551">
        <v>74.973583000000005</v>
      </c>
      <c r="BT32" s="551">
        <v>76.536135000000002</v>
      </c>
      <c r="BU32" s="551">
        <v>73.643845999999996</v>
      </c>
      <c r="BV32" s="551">
        <v>73.597348999999994</v>
      </c>
      <c r="BW32" s="551">
        <v>74.715328999999997</v>
      </c>
      <c r="BX32" s="551">
        <v>78.955467999999996</v>
      </c>
      <c r="BY32" s="551">
        <v>84.122896999999995</v>
      </c>
      <c r="BZ32" s="551">
        <v>82.841228999999998</v>
      </c>
      <c r="CA32" s="551">
        <v>79.126619000000005</v>
      </c>
      <c r="CB32" s="551">
        <v>80.618352000000002</v>
      </c>
      <c r="CC32" s="551">
        <v>79.492795999999998</v>
      </c>
      <c r="CD32" s="552">
        <v>86.447074999999998</v>
      </c>
      <c r="CE32" s="871">
        <f>SUM(CF32:CQ32)</f>
        <v>1010.5877658655576</v>
      </c>
      <c r="CF32" s="553">
        <f>(CF33*인건비!CG5)/1000000</f>
        <v>80.907882689124321</v>
      </c>
      <c r="CG32" s="553">
        <f>(CG33*인건비!CH5)/1000000+2</f>
        <v>82.616828931953123</v>
      </c>
      <c r="CH32" s="553">
        <f>(CH33*인건비!CI5)/1000000+2</f>
        <v>82.502938331320891</v>
      </c>
      <c r="CI32" s="553">
        <f>(CI33*인건비!CJ5)/1000000+2</f>
        <v>82.371331415034788</v>
      </c>
      <c r="CJ32" s="553">
        <f>(CJ33*인건비!CK5)/1000000+4</f>
        <v>84.690225096804994</v>
      </c>
      <c r="CK32" s="553">
        <f>(CK33*인건비!CL5)/1000000+4</f>
        <v>84.718065021403973</v>
      </c>
      <c r="CL32" s="553">
        <f>(CL33*인건비!CM5)/1000000+4</f>
        <v>85.340666971526758</v>
      </c>
      <c r="CM32" s="553">
        <f>(CM33*인건비!CN5)/1000000+4</f>
        <v>85.368506896125737</v>
      </c>
      <c r="CN32" s="553">
        <f>(CN33*인건비!CO5)/1000000+4</f>
        <v>85.687400577895929</v>
      </c>
      <c r="CO32" s="553">
        <f>(CO33*인건비!CP5)/1000000+4</f>
        <v>85.424186745323709</v>
      </c>
      <c r="CP32" s="553">
        <f>(CP33*인건비!CQ5)/1000000+4</f>
        <v>85.160972912751461</v>
      </c>
      <c r="CQ32" s="2240">
        <f>(CQ33*인건비!CR5)/1000000+4</f>
        <v>85.798760276291873</v>
      </c>
    </row>
    <row r="33" spans="1:95">
      <c r="A33" s="867"/>
      <c r="B33" s="3334"/>
      <c r="C33" s="3335"/>
      <c r="D33" s="85" t="s">
        <v>161</v>
      </c>
      <c r="E33" s="277">
        <f>AVERAGE(F33:Q33)</f>
        <v>31112.352841874224</v>
      </c>
      <c r="F33" s="318">
        <f>F32*1000000/인건비!G5</f>
        <v>25912.245571658616</v>
      </c>
      <c r="G33" s="318">
        <f>G32*1000000/인건비!H5</f>
        <v>24668.7402335884</v>
      </c>
      <c r="H33" s="318">
        <f>H32*1000000/인건비!I5</f>
        <v>26041.577124446234</v>
      </c>
      <c r="I33" s="318">
        <f>I32*1000000/인건비!J5</f>
        <v>25668.707660455486</v>
      </c>
      <c r="J33" s="318">
        <f>J32*1000000/인건비!K5</f>
        <v>26345.720050441363</v>
      </c>
      <c r="K33" s="318">
        <f>K32*1000000/인건비!L5</f>
        <v>70194.801874733705</v>
      </c>
      <c r="L33" s="318">
        <f>L32*1000000/인건비!M5</f>
        <v>26982.424507658645</v>
      </c>
      <c r="M33" s="318">
        <f>M32*1000000/인건비!N5</f>
        <v>27412.675865089794</v>
      </c>
      <c r="N33" s="318">
        <f>N32*1000000/인건비!O5</f>
        <v>28562.033185840708</v>
      </c>
      <c r="O33" s="318">
        <f>O32*1000000/인건비!P5</f>
        <v>27584.454585930544</v>
      </c>
      <c r="P33" s="318">
        <f>P32*1000000/인건비!Q5</f>
        <v>32369.049667405765</v>
      </c>
      <c r="Q33" s="318">
        <f>Q32*1000000/인건비!R5</f>
        <v>31605.803775241438</v>
      </c>
      <c r="R33" s="277">
        <f>AVERAGE(S33:AD33)</f>
        <v>32658.225003490134</v>
      </c>
      <c r="S33" s="318">
        <f>S32*1000000/인건비!T5</f>
        <v>32283.889524647886</v>
      </c>
      <c r="T33" s="318">
        <f>T32*1000000/인건비!U5</f>
        <v>33276.614588023411</v>
      </c>
      <c r="U33" s="318">
        <f>U32*1000000/인건비!V5</f>
        <v>31666.170838823014</v>
      </c>
      <c r="V33" s="318">
        <f>V32*1000000/인건비!W5</f>
        <v>33163.222121074192</v>
      </c>
      <c r="W33" s="318">
        <f>W32*1000000/인건비!X5</f>
        <v>32718.375113533151</v>
      </c>
      <c r="X33" s="318">
        <f>X32*1000000/인건비!Y5</f>
        <v>31211.2133640553</v>
      </c>
      <c r="Y33" s="318">
        <f>Y32*1000000/인건비!Z5</f>
        <v>32586.365253077976</v>
      </c>
      <c r="Z33" s="318">
        <f>Z32*1000000/인건비!AA5</f>
        <v>33522.115652577799</v>
      </c>
      <c r="AA33" s="318">
        <f>AA32*1000000/인건비!AB5</f>
        <v>33849.176168224301</v>
      </c>
      <c r="AB33" s="318">
        <f>AB32*1000000/인건비!AC5</f>
        <v>33160.237697307333</v>
      </c>
      <c r="AC33" s="318">
        <f>AC32*1000000/인건비!AD5</f>
        <v>32063.365303244005</v>
      </c>
      <c r="AD33" s="318">
        <f>AD32*1000000/인건비!AE5</f>
        <v>32397.954417293233</v>
      </c>
      <c r="AE33" s="277">
        <f>AVERAGE(AF33:AQ33)</f>
        <v>33526.042890366938</v>
      </c>
      <c r="AF33" s="318">
        <f>AF32*1000000/인건비!AG5</f>
        <v>31290.036201222374</v>
      </c>
      <c r="AG33" s="318">
        <f>AG32*1000000/인건비!AH5</f>
        <v>29342.828301886791</v>
      </c>
      <c r="AH33" s="318">
        <f>AH32*1000000/인건비!AI5</f>
        <v>31618.482048827187</v>
      </c>
      <c r="AI33" s="318">
        <f>AI32*1000000/인건비!AJ5</f>
        <v>34770.530641330166</v>
      </c>
      <c r="AJ33" s="318">
        <f>AJ32*1000000/인건비!AK5</f>
        <v>34797.909732016924</v>
      </c>
      <c r="AK33" s="318">
        <f>AK32*1000000/인건비!AL5</f>
        <v>33608.867577756835</v>
      </c>
      <c r="AL33" s="318">
        <f>AL32*1000000/인건비!AM5</f>
        <v>32780.754435107374</v>
      </c>
      <c r="AM33" s="318">
        <f>AM32*1000000/인건비!AN5</f>
        <v>33603.133145804029</v>
      </c>
      <c r="AN33" s="318">
        <v>36789.675471698116</v>
      </c>
      <c r="AO33" s="318">
        <v>34920.978912839739</v>
      </c>
      <c r="AP33" s="318">
        <v>33699.793039443153</v>
      </c>
      <c r="AQ33" s="318">
        <v>35089.52517647059</v>
      </c>
      <c r="AR33" s="869">
        <f>AVERAGE(AS33:BD33)</f>
        <v>32612.204128010246</v>
      </c>
      <c r="AS33" s="1604">
        <f>(AS32*1000000)/인건비!AT5</f>
        <v>34022.835046728971</v>
      </c>
      <c r="AT33" s="587">
        <f>(AT32*1000000)/인건비!AU5</f>
        <v>32756.845757149553</v>
      </c>
      <c r="AU33" s="587">
        <f>(AU32*1000000)/인건비!AV5</f>
        <v>33271.621698113209</v>
      </c>
      <c r="AV33" s="587">
        <f>(AV32*1000000)/인건비!AW5</f>
        <v>31781.742532005686</v>
      </c>
      <c r="AW33" s="587">
        <f>(AW32*1000000)/인건비!AX5</f>
        <v>32400.653755314124</v>
      </c>
      <c r="AX33" s="587">
        <f>(AX32*1000000)/인건비!AY5</f>
        <v>31909.430820610683</v>
      </c>
      <c r="AY33" s="587">
        <f>(AY32*1000000)/인건비!AZ5</f>
        <v>32081.398377862595</v>
      </c>
      <c r="AZ33" s="587">
        <f>(AZ32*1000000)/인건비!BA5</f>
        <v>34353.235126130414</v>
      </c>
      <c r="BA33" s="587">
        <f>(BA32*1000000)/인건비!BB5</f>
        <v>32847.350785340313</v>
      </c>
      <c r="BB33" s="587">
        <f>(BB32*1000000)/인건비!BC5</f>
        <v>32139.39076630176</v>
      </c>
      <c r="BC33" s="587">
        <f>(BC32*1000000)/인건비!BD5</f>
        <v>32174.205177372962</v>
      </c>
      <c r="BD33" s="663">
        <f>(BD32*1000000)/인건비!BE5</f>
        <v>31607.739693192714</v>
      </c>
      <c r="BE33" s="869">
        <f>AVERAGE(BF33:BQ33)</f>
        <v>35390.795977584639</v>
      </c>
      <c r="BF33" s="2155">
        <f>(BF32*1000000)/인건비!BG5</f>
        <v>33118.588148873656</v>
      </c>
      <c r="BG33" s="2155">
        <f>(BG32*1000000)/인건비!BH5</f>
        <v>34456.111328125</v>
      </c>
      <c r="BH33" s="2155">
        <f>(BH32*1000000)/인건비!BI5</f>
        <v>31437.337384540588</v>
      </c>
      <c r="BI33" s="2155">
        <f>(BI32*1000000)/인건비!BJ5</f>
        <v>30258.114573346116</v>
      </c>
      <c r="BJ33" s="2155">
        <f>(BJ32*1000000)/인건비!BK5</f>
        <v>31525.603060736485</v>
      </c>
      <c r="BK33" s="2155">
        <f>(BK32*1000000)/인건비!BL5</f>
        <v>30979.145107398566</v>
      </c>
      <c r="BL33" s="2155">
        <f>(BL32*1000000)/인건비!BM5</f>
        <v>33260.959562321608</v>
      </c>
      <c r="BM33" s="2155">
        <f>(BM32*1000000)/인건비!BN5</f>
        <v>32996.857754519508</v>
      </c>
      <c r="BN33" s="2155">
        <f>(BN32*1000000)/인건비!BO5</f>
        <v>30952.276726584678</v>
      </c>
      <c r="BO33" s="2155">
        <f>(BO32*1000000)/인건비!BP5</f>
        <v>54555.648598130843</v>
      </c>
      <c r="BP33" s="2155">
        <f>(BP32*1000000)/인건비!BQ5</f>
        <v>48238.90765661253</v>
      </c>
      <c r="BQ33" s="2156">
        <f>(BQ32*1000000)/인건비!BR5</f>
        <v>32910.001829826164</v>
      </c>
      <c r="BR33" s="869">
        <f>AVERAGE(BS33:CD33)</f>
        <v>35933.181580766774</v>
      </c>
      <c r="BS33" s="2155">
        <f>(BS32*1000000)/인건비!BT5</f>
        <v>33817.58367162833</v>
      </c>
      <c r="BT33" s="2155">
        <f>(BT32*1000000)/인건비!BU5</f>
        <v>34584.787618617265</v>
      </c>
      <c r="BU33" s="2155">
        <f>(BU32*1000000)/인건비!BV5</f>
        <v>33098.357752808988</v>
      </c>
      <c r="BV33" s="2155">
        <f>(BV32*1000000)/인건비!BW5</f>
        <v>32973.7226702509</v>
      </c>
      <c r="BW33" s="2155">
        <f>(BW32*1000000)/인건비!BX5</f>
        <v>33534.707809694795</v>
      </c>
      <c r="BX33" s="2155">
        <f>(BX32*1000000)/인건비!BY5</f>
        <v>35661.909665763327</v>
      </c>
      <c r="BY33" s="2155">
        <f>(BY32*1000000)/인건비!BZ5</f>
        <v>38412.281735159821</v>
      </c>
      <c r="BZ33" s="2155">
        <f>(BZ32*1000000)/인건비!CA5</f>
        <v>38087.921379310348</v>
      </c>
      <c r="CA33" s="2155">
        <f>(CA32*1000000)/인건비!CB5</f>
        <v>36463.879723502301</v>
      </c>
      <c r="CB33" s="2155">
        <f>(CB32*1000000)/인건비!CC5</f>
        <v>37549.302282254306</v>
      </c>
      <c r="CC33" s="2155">
        <f>(CC32*1000000)/인건비!CD5</f>
        <v>36973.393488372094</v>
      </c>
      <c r="CD33" s="3006">
        <f>(CD32*1000000)/인건비!CE5</f>
        <v>40040.331171838814</v>
      </c>
      <c r="CE33" s="869">
        <f>AVERAGE(CF33:CQ33)</f>
        <v>37963.533544071091</v>
      </c>
      <c r="CF33" s="2152">
        <v>37963.533544071099</v>
      </c>
      <c r="CG33" s="2152">
        <v>37963.533544071099</v>
      </c>
      <c r="CH33" s="2152">
        <v>37963.533544071099</v>
      </c>
      <c r="CI33" s="2152">
        <v>37963.533544071099</v>
      </c>
      <c r="CJ33" s="2152">
        <v>37963.533544071099</v>
      </c>
      <c r="CK33" s="2152">
        <v>37963.533544071099</v>
      </c>
      <c r="CL33" s="2170">
        <v>37963.533544071099</v>
      </c>
      <c r="CM33" s="2170">
        <v>37963.533544071099</v>
      </c>
      <c r="CN33" s="2170">
        <v>37963.533544071099</v>
      </c>
      <c r="CO33" s="2170">
        <v>37963.533544071099</v>
      </c>
      <c r="CP33" s="2170">
        <v>37963.533544071099</v>
      </c>
      <c r="CQ33" s="2239">
        <v>37963.533544071099</v>
      </c>
    </row>
    <row r="34" spans="1:95">
      <c r="A34" s="867"/>
      <c r="B34" s="3330" t="s">
        <v>162</v>
      </c>
      <c r="C34" s="3330"/>
      <c r="D34" s="91" t="s">
        <v>142</v>
      </c>
      <c r="E34" s="281">
        <f>SUM(E35:E36)</f>
        <v>1282.5662969999998</v>
      </c>
      <c r="F34" s="319">
        <f>SUM(F35:F36)</f>
        <v>106.312152</v>
      </c>
      <c r="G34" s="319">
        <v>143.16126399999999</v>
      </c>
      <c r="H34" s="319">
        <v>111.867558</v>
      </c>
      <c r="I34" s="588">
        <v>97.659762000000001</v>
      </c>
      <c r="J34" s="588">
        <v>91.874725999999995</v>
      </c>
      <c r="K34" s="588">
        <v>102.619946</v>
      </c>
      <c r="L34" s="588">
        <v>92.140224000000003</v>
      </c>
      <c r="M34" s="588">
        <v>86.598078999999998</v>
      </c>
      <c r="N34" s="665">
        <v>96.382289</v>
      </c>
      <c r="O34" s="665">
        <v>104.319796</v>
      </c>
      <c r="P34" s="665">
        <v>97.638671000000002</v>
      </c>
      <c r="Q34" s="665">
        <v>151.99182999999999</v>
      </c>
      <c r="R34" s="281">
        <f>SUM(R35:R36)</f>
        <v>1816.5009250000001</v>
      </c>
      <c r="S34" s="552">
        <v>91.079194000000001</v>
      </c>
      <c r="T34" s="552">
        <v>152.23155299999999</v>
      </c>
      <c r="U34" s="552">
        <v>103.33819200000001</v>
      </c>
      <c r="V34" s="552">
        <v>130.265593</v>
      </c>
      <c r="W34" s="552">
        <v>104.443719</v>
      </c>
      <c r="X34" s="552">
        <v>106.25638600000001</v>
      </c>
      <c r="Y34" s="551">
        <v>108.14138699999999</v>
      </c>
      <c r="Z34" s="551">
        <v>103.573098</v>
      </c>
      <c r="AA34" s="551">
        <v>86.559213</v>
      </c>
      <c r="AB34" s="551">
        <v>122.280991</v>
      </c>
      <c r="AC34" s="551">
        <v>108.870186</v>
      </c>
      <c r="AD34" s="551">
        <v>599.46141299999999</v>
      </c>
      <c r="AE34" s="281">
        <f>SUM(AE35:AE36)</f>
        <v>1349.5731019999998</v>
      </c>
      <c r="AF34" s="552">
        <v>110.211399</v>
      </c>
      <c r="AG34" s="552">
        <v>99.981373000000005</v>
      </c>
      <c r="AH34" s="552">
        <v>98.673209999999997</v>
      </c>
      <c r="AI34" s="552">
        <v>151.959631</v>
      </c>
      <c r="AJ34" s="552">
        <v>141.47633099999999</v>
      </c>
      <c r="AK34" s="552">
        <v>74.581081999999995</v>
      </c>
      <c r="AL34" s="552">
        <v>122.06431499999999</v>
      </c>
      <c r="AM34" s="552">
        <v>92.240926999999999</v>
      </c>
      <c r="AN34" s="552">
        <v>92.752910999999997</v>
      </c>
      <c r="AO34" s="552">
        <v>111.892449</v>
      </c>
      <c r="AP34" s="552">
        <v>83.060788000000002</v>
      </c>
      <c r="AQ34" s="552">
        <v>170.678686</v>
      </c>
      <c r="AR34" s="871">
        <f>SUM(AR35:AR36)</f>
        <v>1167.6784950000001</v>
      </c>
      <c r="AS34" s="551">
        <v>105.374793</v>
      </c>
      <c r="AT34" s="551">
        <v>85.826843999999994</v>
      </c>
      <c r="AU34" s="551">
        <v>99.879159999999999</v>
      </c>
      <c r="AV34" s="551">
        <v>92.467646000000002</v>
      </c>
      <c r="AW34" s="551">
        <v>85.219193000000004</v>
      </c>
      <c r="AX34" s="551">
        <v>69.369452999999993</v>
      </c>
      <c r="AY34" s="551">
        <v>139.99495999999999</v>
      </c>
      <c r="AZ34" s="551">
        <v>95.302975000000004</v>
      </c>
      <c r="BA34" s="551">
        <f t="shared" ref="BA34:BD34" si="36">BA35+BA36</f>
        <v>61.351132</v>
      </c>
      <c r="BB34" s="551">
        <f t="shared" si="36"/>
        <v>88.316636000000003</v>
      </c>
      <c r="BC34" s="551">
        <f t="shared" si="36"/>
        <v>97.477003999999994</v>
      </c>
      <c r="BD34" s="552">
        <f t="shared" si="36"/>
        <v>147.09869900000001</v>
      </c>
      <c r="BE34" s="871">
        <f>SUM(BE35:BE36)</f>
        <v>2298.8505110000001</v>
      </c>
      <c r="BF34" s="551">
        <v>106.687725</v>
      </c>
      <c r="BG34" s="551">
        <v>82.214734000000007</v>
      </c>
      <c r="BH34" s="551">
        <v>124.39828199999999</v>
      </c>
      <c r="BI34" s="551">
        <v>94.869114999999994</v>
      </c>
      <c r="BJ34" s="551">
        <v>101.164879</v>
      </c>
      <c r="BK34" s="551">
        <v>154.85498999999999</v>
      </c>
      <c r="BL34" s="551">
        <v>931.82860000000005</v>
      </c>
      <c r="BM34" s="551">
        <v>85.248356000000001</v>
      </c>
      <c r="BN34" s="551">
        <v>80.034533999999994</v>
      </c>
      <c r="BO34" s="551">
        <v>154.555419</v>
      </c>
      <c r="BP34" s="551">
        <v>163.40456499999999</v>
      </c>
      <c r="BQ34" s="2153">
        <v>219.58931200000001</v>
      </c>
      <c r="BR34" s="871">
        <f>SUM(BR35:BR36)</f>
        <v>1449.4285559999998</v>
      </c>
      <c r="BS34" s="551">
        <v>131.061374</v>
      </c>
      <c r="BT34" s="551">
        <v>81.985692</v>
      </c>
      <c r="BU34" s="551">
        <v>103.759046</v>
      </c>
      <c r="BV34" s="551">
        <v>97.362499999999997</v>
      </c>
      <c r="BW34" s="551">
        <v>93.138609000000002</v>
      </c>
      <c r="BX34" s="551">
        <v>145.32474199999999</v>
      </c>
      <c r="BY34" s="551">
        <v>175.90343100000001</v>
      </c>
      <c r="BZ34" s="551">
        <v>99.719471999999996</v>
      </c>
      <c r="CA34" s="551">
        <v>122.823324</v>
      </c>
      <c r="CB34" s="551">
        <v>126.418492</v>
      </c>
      <c r="CC34" s="551">
        <v>127.3853</v>
      </c>
      <c r="CD34" s="552">
        <v>144.54657399999999</v>
      </c>
      <c r="CE34" s="871">
        <f>SUM(CE35:CE36)</f>
        <v>1477.6986102704052</v>
      </c>
      <c r="CF34" s="551">
        <f t="shared" ref="CF34:CK34" si="37">SUM(CF35:CF36)</f>
        <v>123.04033249573703</v>
      </c>
      <c r="CG34" s="551">
        <f t="shared" si="37"/>
        <v>122.83154125959435</v>
      </c>
      <c r="CH34" s="551">
        <f t="shared" si="37"/>
        <v>122.74984034110372</v>
      </c>
      <c r="CI34" s="551">
        <f t="shared" si="37"/>
        <v>122.6554303908479</v>
      </c>
      <c r="CJ34" s="551">
        <f t="shared" si="37"/>
        <v>122.88419296262164</v>
      </c>
      <c r="CK34" s="551">
        <f t="shared" si="37"/>
        <v>122.90416429825268</v>
      </c>
      <c r="CL34" s="551">
        <f>SUM(CL35:CL36)</f>
        <v>123.35079598600142</v>
      </c>
      <c r="CM34" s="551">
        <f t="shared" ref="CM34:CQ34" si="38">SUM(CM35:CM36)</f>
        <v>123.37076732163244</v>
      </c>
      <c r="CN34" s="551">
        <f t="shared" si="38"/>
        <v>123.59952989340619</v>
      </c>
      <c r="CO34" s="551">
        <f t="shared" si="38"/>
        <v>123.41070999289454</v>
      </c>
      <c r="CP34" s="551">
        <f t="shared" si="38"/>
        <v>123.22189009238286</v>
      </c>
      <c r="CQ34" s="552">
        <f t="shared" si="38"/>
        <v>123.67941523593035</v>
      </c>
    </row>
    <row r="35" spans="1:95">
      <c r="A35" s="867"/>
      <c r="B35" s="3332"/>
      <c r="C35" s="3332"/>
      <c r="D35" s="131" t="s">
        <v>230</v>
      </c>
      <c r="E35" s="277">
        <f>SUM(F35:Q35)</f>
        <v>552.47599699999989</v>
      </c>
      <c r="F35" s="587">
        <v>39.171858999999998</v>
      </c>
      <c r="G35" s="586">
        <v>55.753534999999999</v>
      </c>
      <c r="H35" s="586">
        <v>55.870629000000001</v>
      </c>
      <c r="I35" s="586">
        <v>39.183211</v>
      </c>
      <c r="J35" s="586">
        <v>37.418433</v>
      </c>
      <c r="K35" s="586">
        <v>39.977055</v>
      </c>
      <c r="L35" s="586">
        <v>36.696738000000003</v>
      </c>
      <c r="M35" s="586">
        <v>31.230371999999999</v>
      </c>
      <c r="N35" s="586">
        <v>39.779674</v>
      </c>
      <c r="O35" s="586">
        <v>49.225459999999998</v>
      </c>
      <c r="P35" s="586">
        <v>37.569462999999999</v>
      </c>
      <c r="Q35" s="586">
        <v>90.599568000000005</v>
      </c>
      <c r="R35" s="277">
        <f>SUM(S35:AD35)</f>
        <v>1102.3097330000001</v>
      </c>
      <c r="S35" s="587">
        <v>28.641625999999999</v>
      </c>
      <c r="T35" s="586">
        <v>98.076500999999993</v>
      </c>
      <c r="U35" s="586">
        <v>39.940182999999998</v>
      </c>
      <c r="V35" s="586">
        <v>70.814158000000006</v>
      </c>
      <c r="W35" s="586">
        <v>42.886048000000002</v>
      </c>
      <c r="X35" s="586">
        <v>42.719524999999997</v>
      </c>
      <c r="Y35" s="586">
        <v>46.770885999999997</v>
      </c>
      <c r="Z35" s="586">
        <v>48.975776000000003</v>
      </c>
      <c r="AA35" s="586">
        <v>29.168043999999998</v>
      </c>
      <c r="AB35" s="586">
        <v>65.756054000000006</v>
      </c>
      <c r="AC35" s="586">
        <v>49.120277000000002</v>
      </c>
      <c r="AD35" s="586">
        <v>539.44065499999999</v>
      </c>
      <c r="AE35" s="277">
        <f>SUM(AF35:AQ35)</f>
        <v>493.08135800000002</v>
      </c>
      <c r="AF35" s="586">
        <v>48.317042000000001</v>
      </c>
      <c r="AG35" s="586">
        <v>36.873072999999998</v>
      </c>
      <c r="AH35" s="586">
        <v>34.209359999999997</v>
      </c>
      <c r="AI35" s="586">
        <v>52.347757999999999</v>
      </c>
      <c r="AJ35" s="586">
        <v>42.260210999999998</v>
      </c>
      <c r="AK35" s="586">
        <v>14.973307</v>
      </c>
      <c r="AL35" s="586">
        <v>39.782823999999998</v>
      </c>
      <c r="AM35" s="586">
        <v>35.991446000000003</v>
      </c>
      <c r="AN35" s="586">
        <v>37.682067000000004</v>
      </c>
      <c r="AO35" s="586">
        <v>35.249836999999999</v>
      </c>
      <c r="AP35" s="586">
        <v>25.647013000000001</v>
      </c>
      <c r="AQ35" s="586">
        <v>89.747420000000005</v>
      </c>
      <c r="AR35" s="869">
        <f>SUM(AS35:BD35)</f>
        <v>395.59559300000001</v>
      </c>
      <c r="AS35" s="586">
        <v>42.744101000000001</v>
      </c>
      <c r="AT35" s="586">
        <v>25.793469000000002</v>
      </c>
      <c r="AU35" s="586">
        <v>37.245502000000002</v>
      </c>
      <c r="AV35" s="586">
        <v>28.319900000000001</v>
      </c>
      <c r="AW35" s="586">
        <v>34.177588999999998</v>
      </c>
      <c r="AX35" s="586">
        <v>18.798776</v>
      </c>
      <c r="AY35" s="586">
        <v>26.945658999999999</v>
      </c>
      <c r="AZ35" s="586">
        <v>42.427249000000003</v>
      </c>
      <c r="BA35" s="586">
        <v>15.392799999999999</v>
      </c>
      <c r="BB35" s="586">
        <v>29.832723000000001</v>
      </c>
      <c r="BC35" s="586">
        <v>37.422550999999999</v>
      </c>
      <c r="BD35" s="586">
        <v>56.495274000000002</v>
      </c>
      <c r="BE35" s="869">
        <f>SUM(BF35:BQ35)</f>
        <v>670.77559800000006</v>
      </c>
      <c r="BF35" s="2155">
        <v>45.804856999999998</v>
      </c>
      <c r="BG35" s="2163">
        <v>29.566548000000001</v>
      </c>
      <c r="BH35" s="2163">
        <v>48.435198</v>
      </c>
      <c r="BI35" s="2163">
        <v>27.760971999999999</v>
      </c>
      <c r="BJ35" s="2163">
        <v>34.968524000000002</v>
      </c>
      <c r="BK35" s="2163">
        <v>34.687294000000001</v>
      </c>
      <c r="BL35" s="2163">
        <v>73.062200000000004</v>
      </c>
      <c r="BM35" s="2163">
        <v>20.463947000000001</v>
      </c>
      <c r="BN35" s="2163">
        <v>33.805849000000002</v>
      </c>
      <c r="BO35" s="2163">
        <v>93.866549000000006</v>
      </c>
      <c r="BP35" s="2163">
        <v>104.46891599999999</v>
      </c>
      <c r="BQ35" s="2164">
        <v>123.884744</v>
      </c>
      <c r="BR35" s="869">
        <f>SUM(BS35:CD35)</f>
        <v>736.73046499999998</v>
      </c>
      <c r="BS35" s="2155">
        <v>80.077727999999993</v>
      </c>
      <c r="BT35" s="2163">
        <v>23.024504</v>
      </c>
      <c r="BU35" s="2163">
        <v>33.360213999999999</v>
      </c>
      <c r="BV35" s="2163">
        <v>30.080750999999999</v>
      </c>
      <c r="BW35" s="2163">
        <v>46.793996</v>
      </c>
      <c r="BX35" s="2163">
        <v>86.835947000000004</v>
      </c>
      <c r="BY35" s="2163">
        <v>97.850837999999996</v>
      </c>
      <c r="BZ35" s="2163">
        <v>52.736541000000003</v>
      </c>
      <c r="CA35" s="2163">
        <v>55.791446999999998</v>
      </c>
      <c r="CB35" s="2163">
        <v>70.522737000000006</v>
      </c>
      <c r="CC35" s="2163">
        <v>73.291505999999998</v>
      </c>
      <c r="CD35" s="3004">
        <v>86.364255999999997</v>
      </c>
      <c r="CE35" s="869">
        <f>SUM(CF35:CQ35)</f>
        <v>780</v>
      </c>
      <c r="CF35" s="2152">
        <v>65</v>
      </c>
      <c r="CG35" s="2171">
        <v>65</v>
      </c>
      <c r="CH35" s="2171">
        <v>65</v>
      </c>
      <c r="CI35" s="2171">
        <v>65</v>
      </c>
      <c r="CJ35" s="2171">
        <v>65</v>
      </c>
      <c r="CK35" s="2171">
        <v>65</v>
      </c>
      <c r="CL35" s="2171">
        <v>65</v>
      </c>
      <c r="CM35" s="2171">
        <v>65</v>
      </c>
      <c r="CN35" s="2171">
        <v>65</v>
      </c>
      <c r="CO35" s="2171">
        <v>65</v>
      </c>
      <c r="CP35" s="2171">
        <v>65</v>
      </c>
      <c r="CQ35" s="2826">
        <v>65</v>
      </c>
    </row>
    <row r="36" spans="1:95">
      <c r="A36" s="1305"/>
      <c r="B36" s="3332"/>
      <c r="C36" s="3332"/>
      <c r="D36" s="85" t="s">
        <v>373</v>
      </c>
      <c r="E36" s="280">
        <f>SUM(F36:Q36)</f>
        <v>730.09029999999996</v>
      </c>
      <c r="F36" s="328">
        <v>67.140293</v>
      </c>
      <c r="G36" s="328">
        <f t="shared" ref="G36:I36" si="39">G34-G35</f>
        <v>87.407728999999989</v>
      </c>
      <c r="H36" s="328">
        <f t="shared" si="39"/>
        <v>55.996929000000002</v>
      </c>
      <c r="I36" s="328">
        <f t="shared" si="39"/>
        <v>58.476551000000001</v>
      </c>
      <c r="J36" s="328">
        <f t="shared" ref="J36:K36" si="40">J34-J35</f>
        <v>54.456292999999995</v>
      </c>
      <c r="K36" s="328">
        <f t="shared" si="40"/>
        <v>62.642890999999999</v>
      </c>
      <c r="L36" s="611">
        <v>55.443486</v>
      </c>
      <c r="M36" s="611">
        <v>55.367706999999996</v>
      </c>
      <c r="N36" s="664">
        <v>56.602615</v>
      </c>
      <c r="O36" s="664">
        <v>55.094335999999998</v>
      </c>
      <c r="P36" s="664">
        <v>60.069208000000003</v>
      </c>
      <c r="Q36" s="664">
        <f>Q34-Q35</f>
        <v>61.392261999999988</v>
      </c>
      <c r="R36" s="280">
        <f>SUM(S36:AD36)</f>
        <v>714.191192</v>
      </c>
      <c r="S36" s="664">
        <f t="shared" ref="S36:AC36" si="41">S34-S35</f>
        <v>62.437567999999999</v>
      </c>
      <c r="T36" s="664">
        <f t="shared" si="41"/>
        <v>54.155051999999998</v>
      </c>
      <c r="U36" s="664">
        <f t="shared" si="41"/>
        <v>63.398009000000009</v>
      </c>
      <c r="V36" s="664">
        <f t="shared" si="41"/>
        <v>59.451434999999989</v>
      </c>
      <c r="W36" s="664">
        <f t="shared" si="41"/>
        <v>61.557670999999999</v>
      </c>
      <c r="X36" s="664">
        <f t="shared" si="41"/>
        <v>63.536861000000009</v>
      </c>
      <c r="Y36" s="664">
        <f t="shared" si="41"/>
        <v>61.370500999999997</v>
      </c>
      <c r="Z36" s="664">
        <f t="shared" si="41"/>
        <v>54.597321999999998</v>
      </c>
      <c r="AA36" s="664">
        <f t="shared" si="41"/>
        <v>57.391169000000005</v>
      </c>
      <c r="AB36" s="664">
        <f t="shared" si="41"/>
        <v>56.524936999999994</v>
      </c>
      <c r="AC36" s="664">
        <f t="shared" si="41"/>
        <v>59.749909000000002</v>
      </c>
      <c r="AD36" s="664">
        <f t="shared" ref="AD36:AF36" si="42">AD34-AD35</f>
        <v>60.020758000000001</v>
      </c>
      <c r="AE36" s="280">
        <f>SUM(AF36:AQ36)</f>
        <v>856.49174399999993</v>
      </c>
      <c r="AF36" s="664">
        <f t="shared" si="42"/>
        <v>61.894356999999999</v>
      </c>
      <c r="AG36" s="664">
        <f t="shared" ref="AG36:AQ36" si="43">AG34-AG35</f>
        <v>63.108300000000007</v>
      </c>
      <c r="AH36" s="664">
        <f t="shared" si="43"/>
        <v>64.463850000000008</v>
      </c>
      <c r="AI36" s="664">
        <f t="shared" si="43"/>
        <v>99.611873000000003</v>
      </c>
      <c r="AJ36" s="664">
        <f t="shared" si="43"/>
        <v>99.216119999999989</v>
      </c>
      <c r="AK36" s="664">
        <f t="shared" si="43"/>
        <v>59.607774999999997</v>
      </c>
      <c r="AL36" s="664">
        <f t="shared" si="43"/>
        <v>82.281490999999988</v>
      </c>
      <c r="AM36" s="664">
        <f t="shared" si="43"/>
        <v>56.249480999999996</v>
      </c>
      <c r="AN36" s="664">
        <f t="shared" si="43"/>
        <v>55.070843999999994</v>
      </c>
      <c r="AO36" s="664">
        <f t="shared" si="43"/>
        <v>76.642612</v>
      </c>
      <c r="AP36" s="664">
        <f t="shared" si="43"/>
        <v>57.413775000000001</v>
      </c>
      <c r="AQ36" s="664">
        <f t="shared" si="43"/>
        <v>80.931265999999994</v>
      </c>
      <c r="AR36" s="873">
        <f>SUM(AS36:BD36)</f>
        <v>772.08290199999999</v>
      </c>
      <c r="AS36" s="611">
        <v>62.630691999999996</v>
      </c>
      <c r="AT36" s="611">
        <v>60.033374999999992</v>
      </c>
      <c r="AU36" s="611">
        <v>62.633657999999997</v>
      </c>
      <c r="AV36" s="611">
        <v>64.147745999999998</v>
      </c>
      <c r="AW36" s="611">
        <v>51.041604000000007</v>
      </c>
      <c r="AX36" s="611">
        <v>50.570676999999989</v>
      </c>
      <c r="AY36" s="611">
        <v>113.04930099999999</v>
      </c>
      <c r="AZ36" s="611">
        <v>52.875726</v>
      </c>
      <c r="BA36" s="611">
        <v>45.958331999999999</v>
      </c>
      <c r="BB36" s="611">
        <v>58.483913000000001</v>
      </c>
      <c r="BC36" s="611">
        <v>60.054452999999995</v>
      </c>
      <c r="BD36" s="664">
        <v>90.603425000000001</v>
      </c>
      <c r="BE36" s="873">
        <f>SUM(BF36:BQ36)</f>
        <v>1628.0749130000002</v>
      </c>
      <c r="BF36" s="2161">
        <f>BF34-BF35</f>
        <v>60.882868000000002</v>
      </c>
      <c r="BG36" s="2161">
        <f t="shared" ref="BG36:BQ36" si="44">BG34-BG35</f>
        <v>52.64818600000001</v>
      </c>
      <c r="BH36" s="2161">
        <f t="shared" si="44"/>
        <v>75.963083999999995</v>
      </c>
      <c r="BI36" s="2161">
        <f t="shared" si="44"/>
        <v>67.108142999999998</v>
      </c>
      <c r="BJ36" s="2161">
        <f t="shared" si="44"/>
        <v>66.196354999999997</v>
      </c>
      <c r="BK36" s="2161">
        <f t="shared" si="44"/>
        <v>120.16769599999998</v>
      </c>
      <c r="BL36" s="2161">
        <f t="shared" si="44"/>
        <v>858.76640000000009</v>
      </c>
      <c r="BM36" s="2161">
        <f t="shared" si="44"/>
        <v>64.784408999999997</v>
      </c>
      <c r="BN36" s="2161">
        <f t="shared" si="44"/>
        <v>46.228684999999992</v>
      </c>
      <c r="BO36" s="2161">
        <f t="shared" si="44"/>
        <v>60.688869999999994</v>
      </c>
      <c r="BP36" s="2161">
        <f t="shared" si="44"/>
        <v>58.935648999999998</v>
      </c>
      <c r="BQ36" s="2162">
        <f t="shared" si="44"/>
        <v>95.704568000000009</v>
      </c>
      <c r="BR36" s="873">
        <f>SUM(BS36:CD36)</f>
        <v>712.69809099999998</v>
      </c>
      <c r="BS36" s="2161">
        <v>50.983646000000007</v>
      </c>
      <c r="BT36" s="2161">
        <v>58.961188</v>
      </c>
      <c r="BU36" s="2161">
        <v>70.398831999999999</v>
      </c>
      <c r="BV36" s="2161">
        <v>67.281748999999991</v>
      </c>
      <c r="BW36" s="2161">
        <v>46.344613000000003</v>
      </c>
      <c r="BX36" s="2161">
        <v>58.488794999999982</v>
      </c>
      <c r="BY36" s="2161">
        <v>78.052593000000016</v>
      </c>
      <c r="BZ36" s="2161">
        <v>46.982930999999994</v>
      </c>
      <c r="CA36" s="2161">
        <v>67.031877000000009</v>
      </c>
      <c r="CB36" s="2161">
        <v>55.895754999999994</v>
      </c>
      <c r="CC36" s="2161">
        <v>54.093794000000003</v>
      </c>
      <c r="CD36" s="3006">
        <v>58.182317999999995</v>
      </c>
      <c r="CE36" s="873">
        <f>SUM(CF36:CQ36)</f>
        <v>697.6986102704052</v>
      </c>
      <c r="CF36" s="2170">
        <f>(CF37*인건비!CG5)/1000000</f>
        <v>58.04033249573704</v>
      </c>
      <c r="CG36" s="2170">
        <f>(CG37*인건비!CH5)/1000000</f>
        <v>57.831541259594346</v>
      </c>
      <c r="CH36" s="2170">
        <f>(CH37*인건비!CI5)/1000000</f>
        <v>57.749840341103727</v>
      </c>
      <c r="CI36" s="2170">
        <f>(CI37*인건비!CJ5)/1000000</f>
        <v>57.655430390847897</v>
      </c>
      <c r="CJ36" s="2170">
        <f>(CJ37*인건비!CK5)/1000000</f>
        <v>57.88419296262164</v>
      </c>
      <c r="CK36" s="2170">
        <f>(CK37*인건비!CL5)/1000000</f>
        <v>57.904164298252674</v>
      </c>
      <c r="CL36" s="2170">
        <f>(CL37*인건비!CM5)/1000000</f>
        <v>58.350795986001415</v>
      </c>
      <c r="CM36" s="2170">
        <f>(CM37*인건비!CN5)/1000000</f>
        <v>58.370767321632442</v>
      </c>
      <c r="CN36" s="2170">
        <f>(CN37*인건비!CO5)/1000000</f>
        <v>58.599529893406192</v>
      </c>
      <c r="CO36" s="2170">
        <f>(CO37*인건비!CP5)/1000000</f>
        <v>58.410709992894532</v>
      </c>
      <c r="CP36" s="2170">
        <f>(CP37*인건비!CQ5)/1000000</f>
        <v>58.221890092382871</v>
      </c>
      <c r="CQ36" s="2239">
        <f>(CQ37*인건비!CR5)/1000000</f>
        <v>58.679415235930357</v>
      </c>
    </row>
    <row r="37" spans="1:95">
      <c r="A37" s="867"/>
      <c r="B37" s="3332"/>
      <c r="C37" s="3332"/>
      <c r="D37" s="85" t="s">
        <v>231</v>
      </c>
      <c r="E37" s="277">
        <f>AVERAGE(F37:Q37)</f>
        <v>25854.882615147962</v>
      </c>
      <c r="F37" s="318">
        <f>F36*1000000/인건비!G5</f>
        <v>27029.103462157811</v>
      </c>
      <c r="G37" s="318">
        <f>G36*1000000/인건비!H5</f>
        <v>35202.468385018117</v>
      </c>
      <c r="H37" s="318">
        <f>H36*1000000/인건비!I5</f>
        <v>22552.126057188885</v>
      </c>
      <c r="I37" s="318">
        <f>I36*1000000/인건비!J5</f>
        <v>24213.892753623189</v>
      </c>
      <c r="J37" s="318">
        <f>J36*1000000/인건비!K5</f>
        <v>22890.413198823033</v>
      </c>
      <c r="K37" s="318">
        <f>K36*1000000/인건비!L5</f>
        <v>26690.62249680443</v>
      </c>
      <c r="L37" s="318">
        <f>L36*1000000/인건비!M5</f>
        <v>24264.107658643326</v>
      </c>
      <c r="M37" s="318">
        <f>M36*1000000/인건비!N5</f>
        <v>24252.171265878227</v>
      </c>
      <c r="N37" s="318">
        <f>N36*1000000/인건비!O5</f>
        <v>25045.404867256639</v>
      </c>
      <c r="O37" s="318">
        <f>O36*1000000/인건비!P5</f>
        <v>24529.980409617096</v>
      </c>
      <c r="P37" s="318">
        <f>P36*1000000/인건비!Q5</f>
        <v>26638.229711751665</v>
      </c>
      <c r="Q37" s="318">
        <f>Q36*1000000/인건비!R5</f>
        <v>26950.071115013165</v>
      </c>
      <c r="R37" s="277">
        <f>AVERAGE(S37:AD37)</f>
        <v>27225.214557437666</v>
      </c>
      <c r="S37" s="318">
        <f>S36*1000000/인건비!T5</f>
        <v>27481.323943661973</v>
      </c>
      <c r="T37" s="318">
        <f>T36*1000000/인건비!U5</f>
        <v>24383.184151283207</v>
      </c>
      <c r="U37" s="318">
        <f>U36*1000000/인건비!V5</f>
        <v>27842.77953447519</v>
      </c>
      <c r="V37" s="318">
        <f>V36*1000000/인건비!W5</f>
        <v>27060.279927173415</v>
      </c>
      <c r="W37" s="318">
        <f>W36*1000000/인건비!X5</f>
        <v>27955.345594913713</v>
      </c>
      <c r="X37" s="318">
        <f>X36*1000000/인건비!Y5</f>
        <v>29279.659447004611</v>
      </c>
      <c r="Y37" s="318">
        <f>Y36*1000000/인건비!Z5</f>
        <v>27984.724578203375</v>
      </c>
      <c r="Z37" s="318">
        <f>Z36*1000000/인건비!AA5</f>
        <v>25358.718996748721</v>
      </c>
      <c r="AA37" s="318">
        <f>AA36*1000000/인건비!AB5</f>
        <v>26818.303271028042</v>
      </c>
      <c r="AB37" s="318">
        <f>AB36*1000000/인건비!AC5</f>
        <v>26241.846332404824</v>
      </c>
      <c r="AC37" s="318">
        <f>AC36*1000000/인건비!AD5</f>
        <v>28091.165491302305</v>
      </c>
      <c r="AD37" s="318">
        <f>AD36*1000000/인건비!AE5</f>
        <v>28205.24342105263</v>
      </c>
      <c r="AE37" s="277">
        <f>AVERAGE(AF37:AQ37)</f>
        <v>33598.984256017771</v>
      </c>
      <c r="AF37" s="318">
        <f>AF36*1000000/인건비!AG5</f>
        <v>29099.368594264222</v>
      </c>
      <c r="AG37" s="318">
        <f>AG36*1000000/인건비!AH5</f>
        <v>29768.066037735851</v>
      </c>
      <c r="AH37" s="318">
        <f>AH36*1000000/인건비!AI5</f>
        <v>30858.712302537104</v>
      </c>
      <c r="AI37" s="318">
        <f>AI36*1000000/인건비!AJ5</f>
        <v>47321.554869358668</v>
      </c>
      <c r="AJ37" s="318">
        <f>AJ36*1000000/인건비!AK5</f>
        <v>46646.036671368114</v>
      </c>
      <c r="AK37" s="318">
        <f>AK36*1000000/인건비!AL5</f>
        <v>28090.374646559849</v>
      </c>
      <c r="AL37" s="318">
        <f>AL36*1000000/인건비!AM5</f>
        <v>38413.39449112978</v>
      </c>
      <c r="AM37" s="318">
        <f>AM36*1000000/인건비!AN5</f>
        <v>26371.064697608999</v>
      </c>
      <c r="AN37" s="318">
        <v>25976.813207547166</v>
      </c>
      <c r="AO37" s="318">
        <v>35915.000937207122</v>
      </c>
      <c r="AP37" s="318">
        <v>26642.122969837586</v>
      </c>
      <c r="AQ37" s="318">
        <v>38085.301647058826</v>
      </c>
      <c r="AR37" s="869">
        <f>AVERAGE(AS37:BD37)</f>
        <v>30553.866833038916</v>
      </c>
      <c r="AS37" s="1604">
        <f>(AS36*1000000)/인건비!AT5</f>
        <v>29266.678504672895</v>
      </c>
      <c r="AT37" s="1604">
        <f>(AT36*1000000)/인건비!AU5</f>
        <v>28145.042194092825</v>
      </c>
      <c r="AU37" s="1604">
        <f>(AU36*1000000)/인건비!AV5</f>
        <v>29544.178301886794</v>
      </c>
      <c r="AV37" s="1604">
        <f>(AV36*1000000)/인건비!AW5</f>
        <v>30416.190611664297</v>
      </c>
      <c r="AW37" s="1604">
        <f>(AW36*1000000)/인건비!AX5</f>
        <v>24110.346717052435</v>
      </c>
      <c r="AX37" s="1604">
        <f>(AX36*1000000)/인건비!AY5</f>
        <v>24127.231393129769</v>
      </c>
      <c r="AY37" s="1604">
        <f>(AY36*1000000)/인건비!AZ5</f>
        <v>53935.73520992366</v>
      </c>
      <c r="AZ37" s="1604">
        <f>(AZ36*1000000)/인건비!BA5</f>
        <v>25166.93288910043</v>
      </c>
      <c r="BA37" s="1604">
        <f>(BA36*1000000)/인건비!BB5</f>
        <v>21874.503569728702</v>
      </c>
      <c r="BB37" s="1604">
        <f>(BB36*1000000)/인건비!BC5</f>
        <v>27836.22703474536</v>
      </c>
      <c r="BC37" s="1604">
        <f>(BC36*1000000)/인건비!BD5</f>
        <v>28789.287152444867</v>
      </c>
      <c r="BD37" s="1605">
        <f>(BD36*1000000)/인건비!BE5</f>
        <v>43434.048418024926</v>
      </c>
      <c r="BE37" s="869">
        <f>AVERAGE(BF37:BQ37)</f>
        <v>64530.256905222246</v>
      </c>
      <c r="BF37" s="2155">
        <f>(BF36*1000000)/인건비!BG5</f>
        <v>29815.312438785506</v>
      </c>
      <c r="BG37" s="2155">
        <f>(BG36*1000000)/인건비!BH5</f>
        <v>25707.122070312504</v>
      </c>
      <c r="BH37" s="2155">
        <f>(BH36*1000000)/인건비!BI5</f>
        <v>36929.063684978122</v>
      </c>
      <c r="BI37" s="2155">
        <f>(BI36*1000000)/인건비!BJ5</f>
        <v>32170.730105465005</v>
      </c>
      <c r="BJ37" s="2155">
        <f>(BJ36*1000000)/인건비!BK5</f>
        <v>31657.74988043998</v>
      </c>
      <c r="BK37" s="2155">
        <f>(BK36*1000000)/인건비!BL5</f>
        <v>57359.282100238655</v>
      </c>
      <c r="BL37" s="2155">
        <f>(BL36*1000000)/인건비!BM5</f>
        <v>408547.28829686018</v>
      </c>
      <c r="BM37" s="2155">
        <f>(BM36*1000000)/인건비!BN5</f>
        <v>30820.365842055184</v>
      </c>
      <c r="BN37" s="2155">
        <f>(BN36*1000000)/인건비!BO5</f>
        <v>21867.873699148531</v>
      </c>
      <c r="BO37" s="2155">
        <f>(BO36*1000000)/인건비!BP5</f>
        <v>28359.285046728968</v>
      </c>
      <c r="BP37" s="2155">
        <f>(BP36*1000000)/인건비!BQ5</f>
        <v>27348.329002320184</v>
      </c>
      <c r="BQ37" s="2156">
        <f>(BQ36*1000000)/인건비!BR5</f>
        <v>43780.680695333947</v>
      </c>
      <c r="BR37" s="869">
        <f>AVERAGE(BS37:CD37)</f>
        <v>27076.46820465376</v>
      </c>
      <c r="BS37" s="2155">
        <f>(BS36*1000000)/인건비!BT5</f>
        <v>22996.682904826346</v>
      </c>
      <c r="BT37" s="2155">
        <f>(BT36*1000000)/인건비!BU5</f>
        <v>26643.103479439676</v>
      </c>
      <c r="BU37" s="2155">
        <f>(BU36*1000000)/인건비!BV5</f>
        <v>31639.924494382023</v>
      </c>
      <c r="BV37" s="2155">
        <f>(BV36*1000000)/인건비!BW5</f>
        <v>30144.15277777777</v>
      </c>
      <c r="BW37" s="2155">
        <f>(BW36*1000000)/인건비!BX5</f>
        <v>20800.993267504487</v>
      </c>
      <c r="BX37" s="2155">
        <f>(BX36*1000000)/인건비!BY5</f>
        <v>26417.703252032512</v>
      </c>
      <c r="BY37" s="2155">
        <f>(BY36*1000000)/인건비!BZ5</f>
        <v>35640.453424657542</v>
      </c>
      <c r="BZ37" s="2161">
        <f>(BZ36*1000000)/인건비!CA5</f>
        <v>21601.347586206892</v>
      </c>
      <c r="CA37" s="2161">
        <f>(CA36*1000000)/인건비!CB5</f>
        <v>30890.265898617516</v>
      </c>
      <c r="CB37" s="2161">
        <f>(CB36*1000000)/인건비!CC5</f>
        <v>26034.352585002325</v>
      </c>
      <c r="CC37" s="2161">
        <f>(CC36*1000000)/인건비!CD5</f>
        <v>25159.904186046511</v>
      </c>
      <c r="CD37" s="3006">
        <f>(CD36*1000000)/인건비!CE5</f>
        <v>26948.734599351548</v>
      </c>
      <c r="CE37" s="869">
        <f>AVERAGE(CF37:CQ37)</f>
        <v>27233.639496873602</v>
      </c>
      <c r="CF37" s="2152">
        <v>27233.639496873613</v>
      </c>
      <c r="CG37" s="2152">
        <v>27233.639496873613</v>
      </c>
      <c r="CH37" s="2152">
        <v>27233.639496873613</v>
      </c>
      <c r="CI37" s="2152">
        <v>27233.639496873613</v>
      </c>
      <c r="CJ37" s="2152">
        <v>27233.639496873613</v>
      </c>
      <c r="CK37" s="2152">
        <v>27233.639496873613</v>
      </c>
      <c r="CL37" s="2152">
        <v>27233.639496873613</v>
      </c>
      <c r="CM37" s="2170">
        <v>27233.639496873613</v>
      </c>
      <c r="CN37" s="2170">
        <v>27233.639496873613</v>
      </c>
      <c r="CO37" s="2170">
        <v>27233.639496873613</v>
      </c>
      <c r="CP37" s="2170">
        <v>27233.639496873613</v>
      </c>
      <c r="CQ37" s="2239">
        <v>27233.639496873613</v>
      </c>
    </row>
    <row r="38" spans="1:95">
      <c r="A38" s="867"/>
      <c r="B38" s="3348" t="s">
        <v>163</v>
      </c>
      <c r="C38" s="3422"/>
      <c r="D38" s="83" t="s">
        <v>142</v>
      </c>
      <c r="E38" s="281">
        <f>SUM(F38:Q38)</f>
        <v>118.595</v>
      </c>
      <c r="F38" s="588">
        <v>47.01</v>
      </c>
      <c r="G38" s="588">
        <v>1.35</v>
      </c>
      <c r="H38" s="588">
        <v>2.6</v>
      </c>
      <c r="I38" s="588">
        <v>2.8</v>
      </c>
      <c r="J38" s="588">
        <v>3.4</v>
      </c>
      <c r="K38" s="588">
        <v>2.2999999999999998</v>
      </c>
      <c r="L38" s="588">
        <v>2.1800000000000002</v>
      </c>
      <c r="M38" s="588">
        <v>1.9</v>
      </c>
      <c r="N38" s="588">
        <v>48.255000000000003</v>
      </c>
      <c r="O38" s="588">
        <v>2.4</v>
      </c>
      <c r="P38" s="588">
        <v>2.5</v>
      </c>
      <c r="Q38" s="588">
        <v>1.9</v>
      </c>
      <c r="R38" s="281">
        <f>SUM(S38:AD38)</f>
        <v>176.22908999999999</v>
      </c>
      <c r="S38" s="552">
        <v>5.6724500000000004</v>
      </c>
      <c r="T38" s="552">
        <v>42.25</v>
      </c>
      <c r="U38" s="552">
        <v>2.3894000000000002</v>
      </c>
      <c r="V38" s="552">
        <v>2.3702000000000001</v>
      </c>
      <c r="W38" s="552">
        <v>2.0499999999999998</v>
      </c>
      <c r="X38" s="552">
        <v>3.5</v>
      </c>
      <c r="Y38" s="552">
        <v>8.8511000000000006</v>
      </c>
      <c r="Z38" s="552">
        <v>8.9009999999999998</v>
      </c>
      <c r="AA38" s="552">
        <v>62.207039999999999</v>
      </c>
      <c r="AB38" s="552">
        <v>16.949200000000001</v>
      </c>
      <c r="AC38" s="552">
        <v>14.480700000000001</v>
      </c>
      <c r="AD38" s="552">
        <v>6.6079999999999997</v>
      </c>
      <c r="AE38" s="281">
        <f>SUM(AF38:AQ38)</f>
        <v>257.60586599999993</v>
      </c>
      <c r="AF38" s="552">
        <v>62.625799999999998</v>
      </c>
      <c r="AG38" s="552">
        <v>6.4425460000000001</v>
      </c>
      <c r="AH38" s="552">
        <v>12.632</v>
      </c>
      <c r="AI38" s="552">
        <v>14.324</v>
      </c>
      <c r="AJ38" s="552">
        <v>15.448</v>
      </c>
      <c r="AK38" s="552">
        <v>23.263500000000001</v>
      </c>
      <c r="AL38" s="552">
        <v>15.0457</v>
      </c>
      <c r="AM38" s="552">
        <v>20.2407</v>
      </c>
      <c r="AN38" s="552">
        <v>51.55762</v>
      </c>
      <c r="AO38" s="552">
        <v>13.35</v>
      </c>
      <c r="AP38" s="552">
        <v>10.884</v>
      </c>
      <c r="AQ38" s="552">
        <v>11.792</v>
      </c>
      <c r="AR38" s="871">
        <f>SUM(AS38:BD38)</f>
        <v>221.48115999999999</v>
      </c>
      <c r="AS38" s="551">
        <v>32.69294</v>
      </c>
      <c r="AT38" s="551">
        <v>34.090000000000003</v>
      </c>
      <c r="AU38" s="551">
        <v>5.0679999999999996</v>
      </c>
      <c r="AV38" s="551">
        <v>4.3639999999999999</v>
      </c>
      <c r="AW38" s="551">
        <v>11.707000000000001</v>
      </c>
      <c r="AX38" s="551">
        <v>10.696</v>
      </c>
      <c r="AY38" s="551">
        <v>14.159000000000001</v>
      </c>
      <c r="AZ38" s="551">
        <v>6.3520000000000003</v>
      </c>
      <c r="BA38" s="551">
        <v>75.364999999999995</v>
      </c>
      <c r="BB38" s="551">
        <v>8.9225999999999992</v>
      </c>
      <c r="BC38" s="551">
        <v>1.9</v>
      </c>
      <c r="BD38" s="552">
        <v>16.164619999999999</v>
      </c>
      <c r="BE38" s="871">
        <f>SUM(BF38:BQ38)</f>
        <v>263.67071499999997</v>
      </c>
      <c r="BF38" s="551">
        <v>14.487120000000001</v>
      </c>
      <c r="BG38" s="551">
        <v>55.238</v>
      </c>
      <c r="BH38" s="551">
        <v>13.768000000000001</v>
      </c>
      <c r="BI38" s="551">
        <v>10.467000000000001</v>
      </c>
      <c r="BJ38" s="551">
        <v>13.6235</v>
      </c>
      <c r="BK38" s="551">
        <v>14.609</v>
      </c>
      <c r="BL38" s="551">
        <v>10.824999999999999</v>
      </c>
      <c r="BM38" s="551">
        <v>10.200495</v>
      </c>
      <c r="BN38" s="551">
        <v>66.128100000000003</v>
      </c>
      <c r="BO38" s="551">
        <v>30.426500000000001</v>
      </c>
      <c r="BP38" s="551">
        <v>17.645</v>
      </c>
      <c r="BQ38" s="2153">
        <v>6.2530000000000001</v>
      </c>
      <c r="BR38" s="871">
        <f>SUM(BS38:CD38)</f>
        <v>299.09793000000002</v>
      </c>
      <c r="BS38" s="551">
        <v>77.547200000000004</v>
      </c>
      <c r="BT38" s="551">
        <v>5.758</v>
      </c>
      <c r="BU38" s="551">
        <v>20.348099999999999</v>
      </c>
      <c r="BV38" s="551">
        <v>13.670999999999999</v>
      </c>
      <c r="BW38" s="551">
        <v>20.782499999999999</v>
      </c>
      <c r="BX38" s="551">
        <v>18.4102</v>
      </c>
      <c r="BY38" s="551">
        <v>17.919499999999999</v>
      </c>
      <c r="BZ38" s="2846">
        <v>22.030999999999999</v>
      </c>
      <c r="CA38" s="2846">
        <v>46.281239999999997</v>
      </c>
      <c r="CB38" s="2846">
        <v>18.1416</v>
      </c>
      <c r="CC38" s="2846">
        <v>26.69659</v>
      </c>
      <c r="CD38" s="2847">
        <v>11.510999999999999</v>
      </c>
      <c r="CE38" s="871">
        <f>SUM(CF38:CQ38)</f>
        <v>322.42502000000002</v>
      </c>
      <c r="CF38" s="551">
        <v>26.868751666666668</v>
      </c>
      <c r="CG38" s="551">
        <v>26.868751666666668</v>
      </c>
      <c r="CH38" s="551">
        <v>26.868751666666668</v>
      </c>
      <c r="CI38" s="551">
        <v>26.868751666666668</v>
      </c>
      <c r="CJ38" s="551">
        <v>26.868751666666668</v>
      </c>
      <c r="CK38" s="551">
        <v>26.868751666666668</v>
      </c>
      <c r="CL38" s="551">
        <v>26.868751666666668</v>
      </c>
      <c r="CM38" s="2846">
        <v>26.868751666666668</v>
      </c>
      <c r="CN38" s="2846">
        <v>26.868751666666668</v>
      </c>
      <c r="CO38" s="2846">
        <v>26.868751666666668</v>
      </c>
      <c r="CP38" s="2846">
        <v>26.868751666666668</v>
      </c>
      <c r="CQ38" s="2847">
        <v>26.868751666666668</v>
      </c>
    </row>
    <row r="39" spans="1:95">
      <c r="A39" s="867"/>
      <c r="B39" s="3330" t="s">
        <v>164</v>
      </c>
      <c r="C39" s="3330"/>
      <c r="D39" s="91" t="s">
        <v>142</v>
      </c>
      <c r="E39" s="281">
        <f>SUM(E40:E41)</f>
        <v>1329.3977790000001</v>
      </c>
      <c r="F39" s="319">
        <v>838.51259400000004</v>
      </c>
      <c r="G39" s="319">
        <v>40.857596999999998</v>
      </c>
      <c r="H39" s="319">
        <v>42.520546000000003</v>
      </c>
      <c r="I39" s="588">
        <v>34.749302999999998</v>
      </c>
      <c r="J39" s="588">
        <v>42.357377999999997</v>
      </c>
      <c r="K39" s="588">
        <v>42.047097999999998</v>
      </c>
      <c r="L39" s="588">
        <v>57.572671</v>
      </c>
      <c r="M39" s="588">
        <v>56.638252000000001</v>
      </c>
      <c r="N39" s="588">
        <v>44.528512999999997</v>
      </c>
      <c r="O39" s="588">
        <v>40.954464000000002</v>
      </c>
      <c r="P39" s="588">
        <v>39.585920000000002</v>
      </c>
      <c r="Q39" s="588">
        <v>49.073442999999997</v>
      </c>
      <c r="R39" s="281">
        <f>SUM(R40:R41)</f>
        <v>2016.5891590000001</v>
      </c>
      <c r="S39" s="551">
        <v>862.11679400000003</v>
      </c>
      <c r="T39" s="551">
        <v>41.430579999999999</v>
      </c>
      <c r="U39" s="551">
        <v>42.522649000000001</v>
      </c>
      <c r="V39" s="551">
        <v>41.150950999999999</v>
      </c>
      <c r="W39" s="551">
        <v>42.582293999999997</v>
      </c>
      <c r="X39" s="551">
        <v>41.150950999999999</v>
      </c>
      <c r="Y39" s="551">
        <v>66.433890000000005</v>
      </c>
      <c r="Z39" s="552">
        <v>51.269348000000001</v>
      </c>
      <c r="AA39" s="551">
        <v>46.869756000000002</v>
      </c>
      <c r="AB39" s="551">
        <v>49.090072999999997</v>
      </c>
      <c r="AC39" s="551">
        <v>47.562933000000001</v>
      </c>
      <c r="AD39" s="551">
        <v>684.40894000000003</v>
      </c>
      <c r="AE39" s="281">
        <f>SUM(AE40:AE41)</f>
        <v>599.09047599999985</v>
      </c>
      <c r="AF39" s="551">
        <v>-33.029499999999999</v>
      </c>
      <c r="AG39" s="552">
        <v>45.571767000000001</v>
      </c>
      <c r="AH39" s="552">
        <v>51.272202999999998</v>
      </c>
      <c r="AI39" s="552">
        <v>77.978470999999999</v>
      </c>
      <c r="AJ39" s="552">
        <v>51.453293000000002</v>
      </c>
      <c r="AK39" s="552">
        <v>52.795121999999999</v>
      </c>
      <c r="AL39" s="552">
        <v>54.709366000000003</v>
      </c>
      <c r="AM39" s="552">
        <v>57.734842999999998</v>
      </c>
      <c r="AN39" s="552">
        <v>53.529380000000003</v>
      </c>
      <c r="AO39" s="552">
        <v>55.151645000000002</v>
      </c>
      <c r="AP39" s="552">
        <v>67.401889999999995</v>
      </c>
      <c r="AQ39" s="552">
        <v>64.521996000000001</v>
      </c>
      <c r="AR39" s="871">
        <f>SUM(AR40:AR41)</f>
        <v>763.88472999999999</v>
      </c>
      <c r="AS39" s="551">
        <v>64.420361999999997</v>
      </c>
      <c r="AT39" s="551">
        <v>49.947899999999997</v>
      </c>
      <c r="AU39" s="551">
        <v>54.161822999999998</v>
      </c>
      <c r="AV39" s="551">
        <v>62.527476</v>
      </c>
      <c r="AW39" s="551">
        <v>54.133682999999998</v>
      </c>
      <c r="AX39" s="551">
        <v>52.358246000000001</v>
      </c>
      <c r="AY39" s="551">
        <v>53.733815999999997</v>
      </c>
      <c r="AZ39" s="551">
        <f>AZ40+AZ41</f>
        <v>57.443496999999994</v>
      </c>
      <c r="BA39" s="551">
        <f t="shared" ref="BA39:BD39" si="45">BA40+BA41</f>
        <v>51.968959999999996</v>
      </c>
      <c r="BB39" s="551">
        <f t="shared" si="45"/>
        <v>74.50984600000001</v>
      </c>
      <c r="BC39" s="551">
        <f t="shared" si="45"/>
        <v>52.000540999999998</v>
      </c>
      <c r="BD39" s="552">
        <f t="shared" si="45"/>
        <v>136.67858000000001</v>
      </c>
      <c r="BE39" s="871">
        <f>SUM(BE40:BE41)</f>
        <v>783.1864119999999</v>
      </c>
      <c r="BF39" s="551">
        <v>84.945335999999998</v>
      </c>
      <c r="BG39" s="551">
        <v>66.825074999999998</v>
      </c>
      <c r="BH39" s="551">
        <v>60.513421999999998</v>
      </c>
      <c r="BI39" s="551">
        <v>53.637171000000002</v>
      </c>
      <c r="BJ39" s="551">
        <v>60.127521999999999</v>
      </c>
      <c r="BK39" s="551">
        <v>58.672145999999998</v>
      </c>
      <c r="BL39" s="551">
        <v>61.714564000000003</v>
      </c>
      <c r="BM39" s="551">
        <v>64.443855999999997</v>
      </c>
      <c r="BN39" s="551">
        <v>58.514485999999998</v>
      </c>
      <c r="BO39" s="551">
        <v>81.465980000000002</v>
      </c>
      <c r="BP39" s="551">
        <v>58.791854000000001</v>
      </c>
      <c r="BQ39" s="2153">
        <v>73.534999999999997</v>
      </c>
      <c r="BR39" s="871">
        <f>SUM(BR40:BR41)</f>
        <v>886.8635139999999</v>
      </c>
      <c r="BS39" s="551">
        <v>73.289779999999993</v>
      </c>
      <c r="BT39" s="551">
        <v>55.032052</v>
      </c>
      <c r="BU39" s="551">
        <v>70.889920000000004</v>
      </c>
      <c r="BV39" s="551">
        <v>68.556836000000004</v>
      </c>
      <c r="BW39" s="551">
        <v>115.892481</v>
      </c>
      <c r="BX39" s="551">
        <v>68.209175999999999</v>
      </c>
      <c r="BY39" s="551">
        <v>67.824595000000002</v>
      </c>
      <c r="BZ39" s="551">
        <v>72.204939999999993</v>
      </c>
      <c r="CA39" s="551">
        <v>70.528009999999995</v>
      </c>
      <c r="CB39" s="551">
        <v>70.509349999999998</v>
      </c>
      <c r="CC39" s="551">
        <v>66.152341000000007</v>
      </c>
      <c r="CD39" s="552">
        <v>87.774033000000003</v>
      </c>
      <c r="CE39" s="871">
        <f>SUM(CE40:CE41)</f>
        <v>933.75119464270108</v>
      </c>
      <c r="CF39" s="551">
        <f t="shared" ref="CF39:CK39" si="46">SUM(CF40:CF41)</f>
        <v>77.706941281566714</v>
      </c>
      <c r="CG39" s="551">
        <f t="shared" si="46"/>
        <v>77.488991482839438</v>
      </c>
      <c r="CH39" s="551">
        <f t="shared" si="46"/>
        <v>77.40370677898963</v>
      </c>
      <c r="CI39" s="551">
        <f t="shared" si="46"/>
        <v>77.305155565652086</v>
      </c>
      <c r="CJ39" s="551">
        <f t="shared" si="46"/>
        <v>77.54395273643155</v>
      </c>
      <c r="CK39" s="551">
        <f t="shared" si="46"/>
        <v>77.564800108483709</v>
      </c>
      <c r="CL39" s="551">
        <f>SUM(CL40:CL41)</f>
        <v>78.031023156195971</v>
      </c>
      <c r="CM39" s="551">
        <f t="shared" ref="CM39:CQ39" si="47">SUM(CM40:CM41)</f>
        <v>78.051870528248145</v>
      </c>
      <c r="CN39" s="551">
        <f t="shared" si="47"/>
        <v>78.290667699027608</v>
      </c>
      <c r="CO39" s="551">
        <f t="shared" si="47"/>
        <v>78.093565272352492</v>
      </c>
      <c r="CP39" s="551">
        <f t="shared" si="47"/>
        <v>77.896462845677405</v>
      </c>
      <c r="CQ39" s="552">
        <f t="shared" si="47"/>
        <v>78.374057187236303</v>
      </c>
    </row>
    <row r="40" spans="1:95">
      <c r="A40" s="867"/>
      <c r="B40" s="3332"/>
      <c r="C40" s="3332"/>
      <c r="D40" s="131" t="s">
        <v>165</v>
      </c>
      <c r="E40" s="279">
        <f>SUM(F40:Q40)</f>
        <v>909.65780400000017</v>
      </c>
      <c r="F40" s="586">
        <f t="shared" ref="F40:K40" si="48">F39-F41</f>
        <v>800.41545700000006</v>
      </c>
      <c r="G40" s="586">
        <f t="shared" si="48"/>
        <v>6.4472839999999962</v>
      </c>
      <c r="H40" s="586">
        <f t="shared" si="48"/>
        <v>6.4001160000000041</v>
      </c>
      <c r="I40" s="586">
        <f t="shared" si="48"/>
        <v>10.270297999999997</v>
      </c>
      <c r="J40" s="586">
        <f t="shared" si="48"/>
        <v>6.2369479999999982</v>
      </c>
      <c r="K40" s="586">
        <f t="shared" si="48"/>
        <v>7.0918429999999972</v>
      </c>
      <c r="L40" s="586">
        <v>21.452241000000001</v>
      </c>
      <c r="M40" s="586">
        <v>20.517822000000002</v>
      </c>
      <c r="N40" s="586">
        <v>8.4080829999999978</v>
      </c>
      <c r="O40" s="586">
        <v>4.8340340000000026</v>
      </c>
      <c r="P40" s="586">
        <v>4.6306650000000005</v>
      </c>
      <c r="Q40" s="586">
        <f>Q39-Q41</f>
        <v>12.953012999999999</v>
      </c>
      <c r="R40" s="279">
        <f>SUM(S40:AD40)</f>
        <v>1566.602347</v>
      </c>
      <c r="S40" s="586">
        <v>821.47049000000004</v>
      </c>
      <c r="T40" s="586">
        <f t="shared" ref="T40:AQ40" si="49">T39-T41</f>
        <v>5.3101500000000001</v>
      </c>
      <c r="U40" s="586">
        <f t="shared" si="49"/>
        <v>4.7127720000000011</v>
      </c>
      <c r="V40" s="586">
        <f t="shared" si="49"/>
        <v>4.5607469999999992</v>
      </c>
      <c r="W40" s="586">
        <f t="shared" si="49"/>
        <v>4.7724169999999972</v>
      </c>
      <c r="X40" s="586">
        <f t="shared" si="49"/>
        <v>4.5607469999999992</v>
      </c>
      <c r="Y40" s="586">
        <f t="shared" si="49"/>
        <v>28.624013000000005</v>
      </c>
      <c r="Z40" s="586">
        <f t="shared" si="49"/>
        <v>13.459471000000001</v>
      </c>
      <c r="AA40" s="586">
        <f t="shared" si="49"/>
        <v>10.279552000000002</v>
      </c>
      <c r="AB40" s="586">
        <f t="shared" si="49"/>
        <v>11.280195999999997</v>
      </c>
      <c r="AC40" s="586">
        <f t="shared" si="49"/>
        <v>10.972729000000001</v>
      </c>
      <c r="AD40" s="586">
        <f t="shared" si="49"/>
        <v>646.599063</v>
      </c>
      <c r="AE40" s="279">
        <f>SUM(AF40:AQ40)</f>
        <v>125.87490599999998</v>
      </c>
      <c r="AF40" s="586">
        <f t="shared" si="49"/>
        <v>-70.839376999999999</v>
      </c>
      <c r="AG40" s="586">
        <f t="shared" si="49"/>
        <v>11.420909999999999</v>
      </c>
      <c r="AH40" s="586">
        <f t="shared" si="49"/>
        <v>10.622202999999999</v>
      </c>
      <c r="AI40" s="586">
        <f t="shared" si="49"/>
        <v>38.639761999999997</v>
      </c>
      <c r="AJ40" s="586">
        <f t="shared" si="49"/>
        <v>10.803293000000004</v>
      </c>
      <c r="AK40" s="586">
        <f t="shared" si="49"/>
        <v>13.456412999999998</v>
      </c>
      <c r="AL40" s="586">
        <f t="shared" si="49"/>
        <v>14.059366000000004</v>
      </c>
      <c r="AM40" s="586">
        <f t="shared" si="49"/>
        <v>17.084842999999999</v>
      </c>
      <c r="AN40" s="586">
        <f t="shared" si="49"/>
        <v>14.190671000000002</v>
      </c>
      <c r="AO40" s="586">
        <f t="shared" si="49"/>
        <v>14.501645000000003</v>
      </c>
      <c r="AP40" s="586">
        <f t="shared" si="49"/>
        <v>28.063180999999993</v>
      </c>
      <c r="AQ40" s="586">
        <f t="shared" si="49"/>
        <v>23.871996000000003</v>
      </c>
      <c r="AR40" s="870">
        <f>SUM(AS40:BD40)</f>
        <v>286.806622</v>
      </c>
      <c r="AS40" s="586">
        <v>26.610484999999997</v>
      </c>
      <c r="AT40" s="586">
        <v>13.231770999999995</v>
      </c>
      <c r="AU40" s="586">
        <v>14.199486</v>
      </c>
      <c r="AV40" s="586">
        <v>15.769086000000001</v>
      </c>
      <c r="AW40" s="586">
        <v>14.171346</v>
      </c>
      <c r="AX40" s="586">
        <v>13.685016000000005</v>
      </c>
      <c r="AY40" s="586">
        <v>13.771478999999999</v>
      </c>
      <c r="AZ40" s="586">
        <v>17.481159999999999</v>
      </c>
      <c r="BA40" s="586">
        <v>13.295730000000001</v>
      </c>
      <c r="BB40" s="586">
        <v>34.547509000000005</v>
      </c>
      <c r="BC40" s="586">
        <v>13.327311</v>
      </c>
      <c r="BD40" s="1606">
        <v>96.716243000000006</v>
      </c>
      <c r="BE40" s="869">
        <f>SUM(BF40:BQ40)</f>
        <v>255.923993</v>
      </c>
      <c r="BF40" s="2155">
        <f>BF39-BF41</f>
        <v>44.982999</v>
      </c>
      <c r="BG40" s="2155">
        <f t="shared" ref="BG40:BQ40" si="50">BG39-BG41</f>
        <v>29.440953</v>
      </c>
      <c r="BH40" s="2155">
        <f t="shared" si="50"/>
        <v>14.327849000000001</v>
      </c>
      <c r="BI40" s="2155">
        <f t="shared" si="50"/>
        <v>14.921794000000006</v>
      </c>
      <c r="BJ40" s="2155">
        <f t="shared" si="50"/>
        <v>13.941949000000001</v>
      </c>
      <c r="BK40" s="2155">
        <f t="shared" si="50"/>
        <v>13.976430999999998</v>
      </c>
      <c r="BL40" s="2155">
        <f t="shared" si="50"/>
        <v>15.528991000000005</v>
      </c>
      <c r="BM40" s="2155">
        <f t="shared" si="50"/>
        <v>18.258282999999999</v>
      </c>
      <c r="BN40" s="2155">
        <f t="shared" si="50"/>
        <v>13.818770999999998</v>
      </c>
      <c r="BO40" s="2155">
        <f t="shared" si="50"/>
        <v>35.280407000000004</v>
      </c>
      <c r="BP40" s="2155">
        <f t="shared" si="50"/>
        <v>14.096139000000001</v>
      </c>
      <c r="BQ40" s="2156">
        <f t="shared" si="50"/>
        <v>27.349426999999999</v>
      </c>
      <c r="BR40" s="869">
        <f>SUM(BS40:CD40)</f>
        <v>197.15648099999999</v>
      </c>
      <c r="BS40" s="2155">
        <f>BS39-BS41</f>
        <v>27.104206999999995</v>
      </c>
      <c r="BT40" s="2155">
        <f t="shared" ref="BT40:CD40" si="51">BT39-BT41</f>
        <v>13.316051000000002</v>
      </c>
      <c r="BU40" s="2155">
        <f t="shared" si="51"/>
        <v>14.523679000000001</v>
      </c>
      <c r="BV40" s="2155">
        <f t="shared" si="51"/>
        <v>14.008861000000003</v>
      </c>
      <c r="BW40" s="2155">
        <f t="shared" si="51"/>
        <v>14.110127000000006</v>
      </c>
      <c r="BX40" s="2155">
        <f t="shared" si="51"/>
        <v>13.661200999999998</v>
      </c>
      <c r="BY40" s="2155">
        <f t="shared" si="51"/>
        <v>11.458354</v>
      </c>
      <c r="BZ40" s="2155">
        <f t="shared" si="51"/>
        <v>15.838698999999991</v>
      </c>
      <c r="CA40" s="2155">
        <f t="shared" si="51"/>
        <v>15.980034999999994</v>
      </c>
      <c r="CB40" s="2155">
        <f t="shared" si="51"/>
        <v>14.143108999999995</v>
      </c>
      <c r="CC40" s="2155">
        <f t="shared" si="51"/>
        <v>11.604366000000006</v>
      </c>
      <c r="CD40" s="3003">
        <f t="shared" si="51"/>
        <v>31.407792000000001</v>
      </c>
      <c r="CE40" s="869">
        <f>SUM(CF40:CQ40)</f>
        <v>205.44825200000002</v>
      </c>
      <c r="CF40" s="2152">
        <v>17.120687666666669</v>
      </c>
      <c r="CG40" s="2152">
        <v>17.120687666666669</v>
      </c>
      <c r="CH40" s="2152">
        <v>17.120687666666669</v>
      </c>
      <c r="CI40" s="2152">
        <v>17.120687666666669</v>
      </c>
      <c r="CJ40" s="2152">
        <v>17.120687666666669</v>
      </c>
      <c r="CK40" s="2152">
        <v>17.120687666666669</v>
      </c>
      <c r="CL40" s="2152">
        <v>17.120687666666669</v>
      </c>
      <c r="CM40" s="2152">
        <v>17.120687666666669</v>
      </c>
      <c r="CN40" s="2152">
        <v>17.120687666666669</v>
      </c>
      <c r="CO40" s="2152">
        <v>17.120687666666669</v>
      </c>
      <c r="CP40" s="2152">
        <v>17.120687666666669</v>
      </c>
      <c r="CQ40" s="2237">
        <v>17.120687666666669</v>
      </c>
    </row>
    <row r="41" spans="1:95">
      <c r="A41" s="867"/>
      <c r="B41" s="3332"/>
      <c r="C41" s="3332"/>
      <c r="D41" s="89" t="s">
        <v>166</v>
      </c>
      <c r="E41" s="277">
        <f>SUM(F41:Q41)</f>
        <v>419.73997500000002</v>
      </c>
      <c r="F41" s="587">
        <v>38.097136999999996</v>
      </c>
      <c r="G41" s="587">
        <v>34.410313000000002</v>
      </c>
      <c r="H41" s="587">
        <v>36.120429999999999</v>
      </c>
      <c r="I41" s="587">
        <v>24.479005000000001</v>
      </c>
      <c r="J41" s="587">
        <v>36.120429999999999</v>
      </c>
      <c r="K41" s="587">
        <v>34.955255000000001</v>
      </c>
      <c r="L41" s="587">
        <v>36.120429999999999</v>
      </c>
      <c r="M41" s="587">
        <v>36.120429999999999</v>
      </c>
      <c r="N41" s="663">
        <v>36.120429999999999</v>
      </c>
      <c r="O41" s="663">
        <v>36.120429999999999</v>
      </c>
      <c r="P41" s="663">
        <v>34.955255000000001</v>
      </c>
      <c r="Q41" s="663">
        <v>36.120429999999999</v>
      </c>
      <c r="R41" s="277">
        <f>SUM(S41:AD41)</f>
        <v>449.98681199999999</v>
      </c>
      <c r="S41" s="2568">
        <f>S39-S40</f>
        <v>40.646303999999986</v>
      </c>
      <c r="T41" s="2568">
        <v>36.120429999999999</v>
      </c>
      <c r="U41" s="663">
        <v>37.809877</v>
      </c>
      <c r="V41" s="663">
        <v>36.590204</v>
      </c>
      <c r="W41" s="663">
        <v>37.809877</v>
      </c>
      <c r="X41" s="663">
        <v>36.590204</v>
      </c>
      <c r="Y41" s="663">
        <v>37.809877</v>
      </c>
      <c r="Z41" s="663">
        <v>37.809877</v>
      </c>
      <c r="AA41" s="663">
        <v>36.590204</v>
      </c>
      <c r="AB41" s="663">
        <v>37.809877</v>
      </c>
      <c r="AC41" s="663">
        <v>36.590204</v>
      </c>
      <c r="AD41" s="663">
        <v>37.809877</v>
      </c>
      <c r="AE41" s="277">
        <f>SUM(AF41:AQ41)</f>
        <v>473.2155699999999</v>
      </c>
      <c r="AF41" s="663">
        <v>37.809877</v>
      </c>
      <c r="AG41" s="663">
        <v>34.150857000000002</v>
      </c>
      <c r="AH41" s="663">
        <v>40.65</v>
      </c>
      <c r="AI41" s="663">
        <v>39.338709000000001</v>
      </c>
      <c r="AJ41" s="663">
        <v>40.65</v>
      </c>
      <c r="AK41" s="663">
        <v>39.338709000000001</v>
      </c>
      <c r="AL41" s="663">
        <v>40.65</v>
      </c>
      <c r="AM41" s="663">
        <v>40.65</v>
      </c>
      <c r="AN41" s="663">
        <v>39.338709000000001</v>
      </c>
      <c r="AO41" s="663">
        <v>40.65</v>
      </c>
      <c r="AP41" s="663">
        <v>39.338709000000001</v>
      </c>
      <c r="AQ41" s="663">
        <v>40.65</v>
      </c>
      <c r="AR41" s="869">
        <f>SUM(AS41:BD41)</f>
        <v>477.07810799999993</v>
      </c>
      <c r="AS41" s="587">
        <v>37.809877</v>
      </c>
      <c r="AT41" s="587">
        <v>36.716129000000002</v>
      </c>
      <c r="AU41" s="587">
        <v>39.962336999999998</v>
      </c>
      <c r="AV41" s="587">
        <v>46.758389999999999</v>
      </c>
      <c r="AW41" s="587">
        <v>39.962336999999998</v>
      </c>
      <c r="AX41" s="587">
        <v>38.673229999999997</v>
      </c>
      <c r="AY41" s="587">
        <v>39.962336999999998</v>
      </c>
      <c r="AZ41" s="587">
        <v>39.962336999999998</v>
      </c>
      <c r="BA41" s="587">
        <v>38.673229999999997</v>
      </c>
      <c r="BB41" s="587">
        <v>39.962336999999998</v>
      </c>
      <c r="BC41" s="587">
        <v>38.673229999999997</v>
      </c>
      <c r="BD41" s="2569">
        <v>39.962336999999998</v>
      </c>
      <c r="BE41" s="869">
        <f>SUM(BF41:BQ41)</f>
        <v>527.26241899999991</v>
      </c>
      <c r="BF41" s="2155">
        <v>39.962336999999998</v>
      </c>
      <c r="BG41" s="2155">
        <v>37.384121999999998</v>
      </c>
      <c r="BH41" s="2155">
        <v>46.185572999999998</v>
      </c>
      <c r="BI41" s="2155">
        <v>38.715376999999997</v>
      </c>
      <c r="BJ41" s="2155">
        <v>46.185572999999998</v>
      </c>
      <c r="BK41" s="2155">
        <v>44.695715</v>
      </c>
      <c r="BL41" s="2155">
        <v>46.185572999999998</v>
      </c>
      <c r="BM41" s="2155">
        <v>46.185572999999998</v>
      </c>
      <c r="BN41" s="2155">
        <v>44.695715</v>
      </c>
      <c r="BO41" s="2155">
        <v>46.185572999999998</v>
      </c>
      <c r="BP41" s="2155">
        <v>44.695715</v>
      </c>
      <c r="BQ41" s="2156">
        <v>46.185572999999998</v>
      </c>
      <c r="BR41" s="869">
        <f>SUM(BS41:CD41)</f>
        <v>689.70703299999991</v>
      </c>
      <c r="BS41" s="2155">
        <v>46.185572999999998</v>
      </c>
      <c r="BT41" s="2155">
        <v>41.716000999999999</v>
      </c>
      <c r="BU41" s="2155">
        <v>56.366241000000002</v>
      </c>
      <c r="BV41" s="2155">
        <v>54.547975000000001</v>
      </c>
      <c r="BW41" s="2155">
        <v>101.782354</v>
      </c>
      <c r="BX41" s="2155">
        <v>54.547975000000001</v>
      </c>
      <c r="BY41" s="2155">
        <v>56.366241000000002</v>
      </c>
      <c r="BZ41" s="2155">
        <v>56.366241000000002</v>
      </c>
      <c r="CA41" s="2155">
        <v>54.547975000000001</v>
      </c>
      <c r="CB41" s="2155">
        <v>56.366241000000002</v>
      </c>
      <c r="CC41" s="2155">
        <v>54.547975000000001</v>
      </c>
      <c r="CD41" s="3003">
        <v>56.366241000000002</v>
      </c>
      <c r="CE41" s="869">
        <f>SUM(CF41:CQ41)</f>
        <v>728.30294264270105</v>
      </c>
      <c r="CF41" s="2152">
        <f>(CF42*인건비!CG5)/1000000</f>
        <v>60.586253614900045</v>
      </c>
      <c r="CG41" s="2152">
        <f>(CG42*인건비!CH5)/1000000</f>
        <v>60.368303816172769</v>
      </c>
      <c r="CH41" s="2152">
        <f>(CH42*인건비!CI5)/1000000</f>
        <v>60.283019112322968</v>
      </c>
      <c r="CI41" s="2152">
        <f>(CI42*인건비!CJ5)/1000000</f>
        <v>60.184467898985424</v>
      </c>
      <c r="CJ41" s="2152">
        <f>(CJ42*인건비!CK5)/1000000</f>
        <v>60.423265069764874</v>
      </c>
      <c r="CK41" s="2152">
        <f>(CK42*인건비!CL5)/1000000</f>
        <v>60.44411244181704</v>
      </c>
      <c r="CL41" s="2152">
        <f>(CL42*인건비!CM5)/1000000</f>
        <v>60.910335489529309</v>
      </c>
      <c r="CM41" s="2152">
        <f>(CM42*인건비!CN5)/1000000</f>
        <v>60.931182861581483</v>
      </c>
      <c r="CN41" s="2152">
        <f>(CN42*인건비!CO5)/1000000</f>
        <v>61.169980032360932</v>
      </c>
      <c r="CO41" s="2152">
        <f>(CO42*인건비!CP5)/1000000</f>
        <v>60.972877605685831</v>
      </c>
      <c r="CP41" s="2152">
        <f>(CP42*인건비!CQ5)/1000000</f>
        <v>60.775775179010729</v>
      </c>
      <c r="CQ41" s="2237">
        <f>(CQ42*인건비!CR5)/1000000</f>
        <v>61.253369520569628</v>
      </c>
    </row>
    <row r="42" spans="1:95">
      <c r="A42" s="1305"/>
      <c r="B42" s="3332"/>
      <c r="C42" s="3332"/>
      <c r="D42" s="84" t="s">
        <v>167</v>
      </c>
      <c r="E42" s="283">
        <f>AVERAGE(F42:Q42)</f>
        <v>14917.204582451088</v>
      </c>
      <c r="F42" s="319">
        <f>F41*1000000/인건비!G5</f>
        <v>15337.011674718196</v>
      </c>
      <c r="G42" s="319">
        <f>G41*1000000/인건비!H5</f>
        <v>13858.362062021748</v>
      </c>
      <c r="H42" s="319">
        <f>H41*1000000/인건비!I5</f>
        <v>14547.092227144583</v>
      </c>
      <c r="I42" s="319">
        <f>I41*1000000/인건비!J5</f>
        <v>10136.233954451345</v>
      </c>
      <c r="J42" s="319">
        <f>J41*1000000/인건비!K5</f>
        <v>15183.030685161833</v>
      </c>
      <c r="K42" s="319">
        <f>K41*1000000/인건비!L5</f>
        <v>14893.589688964636</v>
      </c>
      <c r="L42" s="319">
        <f>L41*1000000/인건비!M5</f>
        <v>15807.628008752736</v>
      </c>
      <c r="M42" s="319">
        <f>M41*1000000/인건비!N5</f>
        <v>15821.476127901884</v>
      </c>
      <c r="N42" s="319">
        <f>N41*1000000/인건비!O5</f>
        <v>15982.491150442478</v>
      </c>
      <c r="O42" s="319">
        <f>O41*1000000/인건비!P5</f>
        <v>16082.114870881567</v>
      </c>
      <c r="P42" s="319">
        <f>P41*1000000/인건비!Q5</f>
        <v>15501.221729490022</v>
      </c>
      <c r="Q42" s="319">
        <f>Q41*1000000/인건비!R5</f>
        <v>15856.202809482002</v>
      </c>
      <c r="R42" s="283">
        <f>AVERAGE(S42:AD42)</f>
        <v>17155.855586733251</v>
      </c>
      <c r="S42" s="319">
        <f>S41*1000000/인건비!T5</f>
        <v>17890.098591549289</v>
      </c>
      <c r="T42" s="319">
        <f>T41*1000000/인건비!U5</f>
        <v>16263.138226024314</v>
      </c>
      <c r="U42" s="319">
        <f>U41*1000000/인건비!V5</f>
        <v>16605.128238910849</v>
      </c>
      <c r="V42" s="319">
        <f>V41*1000000/인건비!W5</f>
        <v>16654.621756941284</v>
      </c>
      <c r="W42" s="319">
        <f>W41*1000000/인건비!X5</f>
        <v>17170.69800181653</v>
      </c>
      <c r="X42" s="319">
        <f>X41*1000000/인건비!Y5</f>
        <v>16861.845161290323</v>
      </c>
      <c r="Y42" s="319">
        <f>Y41*1000000/인건비!Z5</f>
        <v>17241.165982672137</v>
      </c>
      <c r="Z42" s="319">
        <f>Z41*1000000/인건비!AA5</f>
        <v>17561.484904784022</v>
      </c>
      <c r="AA42" s="319">
        <f>AA41*1000000/인건비!AB5</f>
        <v>17098.226168224301</v>
      </c>
      <c r="AB42" s="319">
        <f>AB41*1000000/인건비!AC5</f>
        <v>17553.331940575674</v>
      </c>
      <c r="AC42" s="319">
        <f>AC41*1000000/인건비!AD5</f>
        <v>17202.728725905032</v>
      </c>
      <c r="AD42" s="319">
        <f>AD41*1000000/인건비!AE5</f>
        <v>17767.799342105263</v>
      </c>
      <c r="AE42" s="283">
        <f>AVERAGE(AF42:AQ42)</f>
        <v>18618.310612772246</v>
      </c>
      <c r="AF42" s="319">
        <f>AF41*1000000/인건비!AG5</f>
        <v>17776.152797367184</v>
      </c>
      <c r="AG42" s="319">
        <f>AG41*1000000/인건비!AH5</f>
        <v>16108.894811320755</v>
      </c>
      <c r="AH42" s="319">
        <f>AH41*1000000/인건비!AI5</f>
        <v>19459.0713259933</v>
      </c>
      <c r="AI42" s="319">
        <f>AI41*1000000/인건비!AJ5</f>
        <v>18688.222802850356</v>
      </c>
      <c r="AJ42" s="319">
        <f>AJ41*1000000/인건비!AK5</f>
        <v>19111.424541607899</v>
      </c>
      <c r="AK42" s="319">
        <f>AK41*1000000/인건비!AL5</f>
        <v>18538.505655042412</v>
      </c>
      <c r="AL42" s="319">
        <f>AL41*1000000/인건비!AM5</f>
        <v>18977.591036414567</v>
      </c>
      <c r="AM42" s="319">
        <f>AM41*1000000/인건비!AN5</f>
        <v>19057.665260196907</v>
      </c>
      <c r="AN42" s="319">
        <v>18555.994811320754</v>
      </c>
      <c r="AO42" s="319">
        <v>19048.734770384253</v>
      </c>
      <c r="AP42" s="319">
        <v>19048.734770384253</v>
      </c>
      <c r="AQ42" s="319">
        <v>19048.734770384253</v>
      </c>
      <c r="AR42" s="872">
        <f>AVERAGE(AS42:BD42)</f>
        <v>18870.129645423767</v>
      </c>
      <c r="AS42" s="2570">
        <f>(AS41*1000000)/인건비!AT5</f>
        <v>17668.166822429906</v>
      </c>
      <c r="AT42" s="2570">
        <f>(AT41*1000000)/인건비!AU5</f>
        <v>17213.375058602905</v>
      </c>
      <c r="AU42" s="2570">
        <f>(AU41*1000000)/인건비!AV5</f>
        <v>18850.158962264151</v>
      </c>
      <c r="AV42" s="2570">
        <f>(AV41*1000000)/인건비!AW5</f>
        <v>22170.881934566147</v>
      </c>
      <c r="AW42" s="2570">
        <f>(AW41*1000000)/인건비!AX5</f>
        <v>18876.871516296647</v>
      </c>
      <c r="AX42" s="2570">
        <f>(AX41*1000000)/인건비!AY5</f>
        <v>18450.968511450381</v>
      </c>
      <c r="AY42" s="2570">
        <f>(AY41*1000000)/인건비!AZ5</f>
        <v>19066.000477099238</v>
      </c>
      <c r="AZ42" s="2570">
        <f>(AZ41*1000000)/인건비!BA5</f>
        <v>19020.626844359827</v>
      </c>
      <c r="BA42" s="2570">
        <f>(BA41*1000000)/인건비!BB5</f>
        <v>18407.058543550691</v>
      </c>
      <c r="BB42" s="2570">
        <f>(BB41*1000000)/인건비!BC5</f>
        <v>19020.626844359827</v>
      </c>
      <c r="BC42" s="2570">
        <f>(BC41*1000000)/인건비!BD5</f>
        <v>18539.419942473633</v>
      </c>
      <c r="BD42" s="2571">
        <f>(BD41*1000000)/인건비!BE5</f>
        <v>19157.40028763183</v>
      </c>
      <c r="BE42" s="872">
        <f>AVERAGE(BF42:BQ42)</f>
        <v>20899.705325839579</v>
      </c>
      <c r="BF42" s="2165">
        <f>(BF41*1000000)/인건비!BG5</f>
        <v>19570.194417238003</v>
      </c>
      <c r="BG42" s="2165">
        <f>(BG41*1000000)/인건비!BH5</f>
        <v>18253.9658203125</v>
      </c>
      <c r="BH42" s="2165">
        <f>(BH41*1000000)/인건비!BI5</f>
        <v>22452.879436071951</v>
      </c>
      <c r="BI42" s="2165">
        <f>(BI41*1000000)/인건비!BJ5</f>
        <v>18559.62464046021</v>
      </c>
      <c r="BJ42" s="2165">
        <f>(BJ41*1000000)/인건비!BK5</f>
        <v>22087.791965566714</v>
      </c>
      <c r="BK42" s="2165">
        <f>(BK41*1000000)/인건비!BL5</f>
        <v>21334.470167064439</v>
      </c>
      <c r="BL42" s="2165">
        <f>(BL41*1000000)/인건비!BM5</f>
        <v>21972.20409134158</v>
      </c>
      <c r="BM42" s="2165">
        <f>(BM41*1000000)/인건비!BN5</f>
        <v>21972.20409134158</v>
      </c>
      <c r="BN42" s="2165">
        <f>(BN41*1000000)/인건비!BO5</f>
        <v>21142.722327341533</v>
      </c>
      <c r="BO42" s="2165">
        <f>(BO41*1000000)/인건비!BP5</f>
        <v>21582.043457943924</v>
      </c>
      <c r="BP42" s="2165">
        <f>(BP41*1000000)/인건비!BQ5</f>
        <v>20740.470997679815</v>
      </c>
      <c r="BQ42" s="2166">
        <f>(BQ41*1000000)/인건비!BR5</f>
        <v>21127.892497712717</v>
      </c>
      <c r="BR42" s="872">
        <f>AVERAGE(BS42:CD42)</f>
        <v>26191.597611668421</v>
      </c>
      <c r="BS42" s="2165">
        <f>(BS41*1000000)/인건비!BT5</f>
        <v>20832.464140730717</v>
      </c>
      <c r="BT42" s="2165">
        <f>(BT41*1000000)/인건비!BU5</f>
        <v>18850.429733393583</v>
      </c>
      <c r="BU42" s="2165">
        <f>(BU41*1000000)/인건비!BV5</f>
        <v>25333.142022471911</v>
      </c>
      <c r="BV42" s="2165">
        <f>(BV41*1000000)/인건비!BW5</f>
        <v>24439.056899641579</v>
      </c>
      <c r="BW42" s="2165">
        <f>(BW41*1000000)/인건비!BX5</f>
        <v>45683.282764811491</v>
      </c>
      <c r="BX42" s="2165">
        <f>(BX41*1000000)/인건비!BY5</f>
        <v>24637.748419150859</v>
      </c>
      <c r="BY42" s="2165">
        <f>(BY41*1000000)/인건비!BZ5</f>
        <v>25738.009589041096</v>
      </c>
      <c r="BZ42" s="2165">
        <f>(BZ41*1000000)/인건비!CA5</f>
        <v>25915.513103448277</v>
      </c>
      <c r="CA42" s="2165">
        <f>(CA41*1000000)/인건비!CB5</f>
        <v>25137.315668202766</v>
      </c>
      <c r="CB42" s="2165">
        <f>(CB41*1000000)/인건비!CC5</f>
        <v>26253.489054494643</v>
      </c>
      <c r="CC42" s="2165">
        <f>(CC41*1000000)/인건비!CD5</f>
        <v>25371.151162790698</v>
      </c>
      <c r="CD42" s="2184">
        <f>(CD41*1000000)/인건비!CE5</f>
        <v>26107.568781843445</v>
      </c>
      <c r="CE42" s="872">
        <f>AVERAGE(CF42:CQ42)</f>
        <v>28428.234616601007</v>
      </c>
      <c r="CF42" s="553">
        <v>28428.234616600999</v>
      </c>
      <c r="CG42" s="553">
        <v>28428.234616600999</v>
      </c>
      <c r="CH42" s="553">
        <v>28428.234616600999</v>
      </c>
      <c r="CI42" s="553">
        <v>28428.234616600999</v>
      </c>
      <c r="CJ42" s="553">
        <v>28428.234616600999</v>
      </c>
      <c r="CK42" s="553">
        <v>28428.234616600999</v>
      </c>
      <c r="CL42" s="553">
        <v>28428.234616600999</v>
      </c>
      <c r="CM42" s="553">
        <v>28428.234616600999</v>
      </c>
      <c r="CN42" s="553">
        <v>28428.234616600999</v>
      </c>
      <c r="CO42" s="553">
        <v>28428.234616600999</v>
      </c>
      <c r="CP42" s="553">
        <v>28428.234616600999</v>
      </c>
      <c r="CQ42" s="2240">
        <v>28428.234616600999</v>
      </c>
    </row>
    <row r="43" spans="1:95">
      <c r="A43" s="1305"/>
      <c r="B43" s="3330" t="s">
        <v>168</v>
      </c>
      <c r="C43" s="3331"/>
      <c r="D43" s="72" t="s">
        <v>142</v>
      </c>
      <c r="E43" s="281">
        <f>SUM(F43:Q43)</f>
        <v>193.23578799999996</v>
      </c>
      <c r="F43" s="588">
        <v>12.868449999999999</v>
      </c>
      <c r="G43" s="588">
        <v>10.75216</v>
      </c>
      <c r="H43" s="588">
        <v>12.547750000000001</v>
      </c>
      <c r="I43" s="588">
        <v>16.64273</v>
      </c>
      <c r="J43" s="588">
        <v>9.6627700000000001</v>
      </c>
      <c r="K43" s="588">
        <v>7.2116069999999999</v>
      </c>
      <c r="L43" s="588">
        <v>17.62509</v>
      </c>
      <c r="M43" s="588">
        <v>74.314899999999994</v>
      </c>
      <c r="N43" s="588">
        <v>7.3954700000000004</v>
      </c>
      <c r="O43" s="588">
        <v>10.517511000000001</v>
      </c>
      <c r="P43" s="588">
        <v>7.1087499999999997</v>
      </c>
      <c r="Q43" s="665">
        <v>6.5885999999999996</v>
      </c>
      <c r="R43" s="281">
        <f>SUM(S43:AD43)</f>
        <v>202.40366399999999</v>
      </c>
      <c r="S43" s="551">
        <v>11.44388</v>
      </c>
      <c r="T43" s="551">
        <v>6.1403699999999999</v>
      </c>
      <c r="U43" s="551">
        <v>7.3143000000000002</v>
      </c>
      <c r="V43" s="551">
        <v>15.559189999999999</v>
      </c>
      <c r="W43" s="551">
        <v>11.15775</v>
      </c>
      <c r="X43" s="551">
        <v>8.4592179999999999</v>
      </c>
      <c r="Y43" s="551">
        <v>7.5685399999999996</v>
      </c>
      <c r="Z43" s="551">
        <v>100.58695</v>
      </c>
      <c r="AA43" s="551">
        <v>8.0209100000000007</v>
      </c>
      <c r="AB43" s="551">
        <v>9.0402660000000008</v>
      </c>
      <c r="AC43" s="551">
        <v>8.8894099999999998</v>
      </c>
      <c r="AD43" s="551">
        <v>8.22288</v>
      </c>
      <c r="AE43" s="281">
        <f>SUM(AF43:AQ43)</f>
        <v>196.15882100000002</v>
      </c>
      <c r="AF43" s="551">
        <v>10.975849999999999</v>
      </c>
      <c r="AG43" s="551">
        <v>6.18804</v>
      </c>
      <c r="AH43" s="551">
        <v>7.9767599999999996</v>
      </c>
      <c r="AI43" s="551">
        <v>16.039549999999998</v>
      </c>
      <c r="AJ43" s="551">
        <v>7.5802899999999998</v>
      </c>
      <c r="AK43" s="551">
        <v>8.1558100000000007</v>
      </c>
      <c r="AL43" s="551">
        <v>6.9520499999999998</v>
      </c>
      <c r="AM43" s="551">
        <v>96.475980000000007</v>
      </c>
      <c r="AN43" s="551">
        <v>7.2684800000000003</v>
      </c>
      <c r="AO43" s="551">
        <v>8.2550910000000002</v>
      </c>
      <c r="AP43" s="551">
        <v>8.0796200000000002</v>
      </c>
      <c r="AQ43" s="551">
        <v>12.2113</v>
      </c>
      <c r="AR43" s="871">
        <f>SUM(AS43:BD43)</f>
        <v>193.87601900000001</v>
      </c>
      <c r="AS43" s="551">
        <v>8.8558400000000006</v>
      </c>
      <c r="AT43" s="551">
        <v>9.8330900000000003</v>
      </c>
      <c r="AU43" s="551">
        <v>7.2264600000000003</v>
      </c>
      <c r="AV43" s="551">
        <v>16.525362000000001</v>
      </c>
      <c r="AW43" s="551">
        <v>8.1939899999999994</v>
      </c>
      <c r="AX43" s="551">
        <v>7.6582100000000004</v>
      </c>
      <c r="AY43" s="551">
        <v>6.9799699999999998</v>
      </c>
      <c r="AZ43" s="551">
        <v>95.802490000000006</v>
      </c>
      <c r="BA43" s="551">
        <v>6.8324100000000003</v>
      </c>
      <c r="BB43" s="551">
        <v>8.2867899999999999</v>
      </c>
      <c r="BC43" s="551">
        <v>8.0620250000000002</v>
      </c>
      <c r="BD43" s="551">
        <v>9.6193819999999999</v>
      </c>
      <c r="BE43" s="871">
        <f>SUM(BF43:BQ43)</f>
        <v>233.32802800000002</v>
      </c>
      <c r="BF43" s="551">
        <v>10.385249999999999</v>
      </c>
      <c r="BG43" s="551">
        <v>6.5329100000000002</v>
      </c>
      <c r="BH43" s="551">
        <v>8.2549700000000001</v>
      </c>
      <c r="BI43" s="551">
        <v>18.072389999999999</v>
      </c>
      <c r="BJ43" s="551">
        <v>11.349360000000001</v>
      </c>
      <c r="BK43" s="551">
        <v>10.00121</v>
      </c>
      <c r="BL43" s="551">
        <v>11.129148000000001</v>
      </c>
      <c r="BM43" s="551">
        <v>105.71973199999999</v>
      </c>
      <c r="BN43" s="551">
        <v>10.55264</v>
      </c>
      <c r="BO43" s="551">
        <v>14.507149999999999</v>
      </c>
      <c r="BP43" s="551">
        <v>15.281978000000001</v>
      </c>
      <c r="BQ43" s="2153">
        <v>11.54129</v>
      </c>
      <c r="BR43" s="871">
        <f>SUM(BS43:CD43)</f>
        <v>241.69809099999998</v>
      </c>
      <c r="BS43" s="551">
        <v>17.11458</v>
      </c>
      <c r="BT43" s="551">
        <v>11.417199999999999</v>
      </c>
      <c r="BU43" s="551">
        <v>11.912979999999999</v>
      </c>
      <c r="BV43" s="551">
        <v>10.674939999999999</v>
      </c>
      <c r="BW43" s="551">
        <v>13.042776999999999</v>
      </c>
      <c r="BX43" s="551">
        <v>11.700329999999999</v>
      </c>
      <c r="BY43" s="551">
        <v>11.11294</v>
      </c>
      <c r="BZ43" s="551">
        <v>15.553900000000001</v>
      </c>
      <c r="CA43" s="551">
        <v>98.789079999999998</v>
      </c>
      <c r="CB43" s="551">
        <v>13.603249</v>
      </c>
      <c r="CC43" s="551">
        <v>15.828279999999999</v>
      </c>
      <c r="CD43" s="552">
        <v>10.947835</v>
      </c>
      <c r="CE43" s="871">
        <f>SUM(CF43:CQ43)</f>
        <v>258.92561399999994</v>
      </c>
      <c r="CF43" s="551">
        <v>13.243801166666664</v>
      </c>
      <c r="CG43" s="551">
        <v>13.243801166666664</v>
      </c>
      <c r="CH43" s="551">
        <v>13.243801166666664</v>
      </c>
      <c r="CI43" s="551">
        <v>13.243801166666664</v>
      </c>
      <c r="CJ43" s="551">
        <v>13.243801166666664</v>
      </c>
      <c r="CK43" s="551">
        <v>13.243801166666664</v>
      </c>
      <c r="CL43" s="551">
        <v>13.243801166666664</v>
      </c>
      <c r="CM43" s="551">
        <v>113.24380116666666</v>
      </c>
      <c r="CN43" s="551">
        <v>13.243801166666664</v>
      </c>
      <c r="CO43" s="551">
        <v>13.243801166666664</v>
      </c>
      <c r="CP43" s="551">
        <v>13.243801166666664</v>
      </c>
      <c r="CQ43" s="552">
        <v>13.243801166666664</v>
      </c>
    </row>
    <row r="44" spans="1:95">
      <c r="A44" s="867"/>
      <c r="B44" s="3330" t="s">
        <v>169</v>
      </c>
      <c r="C44" s="3331"/>
      <c r="D44" s="72" t="s">
        <v>142</v>
      </c>
      <c r="E44" s="281">
        <f>SUM(F44:Q44)</f>
        <v>832.08382299999982</v>
      </c>
      <c r="F44" s="319">
        <v>70.689469000000003</v>
      </c>
      <c r="G44" s="588">
        <v>71.844575000000006</v>
      </c>
      <c r="H44" s="588">
        <v>70.641704000000004</v>
      </c>
      <c r="I44" s="588">
        <v>64.720895999999996</v>
      </c>
      <c r="J44" s="588">
        <v>66.428392000000002</v>
      </c>
      <c r="K44" s="588">
        <v>69.767897000000005</v>
      </c>
      <c r="L44" s="588">
        <v>74.471566999999993</v>
      </c>
      <c r="M44" s="588">
        <v>66.495339999999999</v>
      </c>
      <c r="N44" s="588">
        <v>65.554509999999993</v>
      </c>
      <c r="O44" s="588">
        <v>64.103891000000004</v>
      </c>
      <c r="P44" s="588">
        <v>67.264770999999996</v>
      </c>
      <c r="Q44" s="588">
        <v>80.100810999999993</v>
      </c>
      <c r="R44" s="281">
        <f>SUM(S44:AD44)</f>
        <v>918.38006400000006</v>
      </c>
      <c r="S44" s="551">
        <v>74.633940999999993</v>
      </c>
      <c r="T44" s="551">
        <v>71.166649000000007</v>
      </c>
      <c r="U44" s="551">
        <v>75.755239000000003</v>
      </c>
      <c r="V44" s="551">
        <v>72.459930999999997</v>
      </c>
      <c r="W44" s="551">
        <v>73.461241999999999</v>
      </c>
      <c r="X44" s="551">
        <v>78.524807999999993</v>
      </c>
      <c r="Y44" s="551">
        <v>83.997309999999999</v>
      </c>
      <c r="Z44" s="551">
        <v>76.581008999999995</v>
      </c>
      <c r="AA44" s="551">
        <v>74.944796999999994</v>
      </c>
      <c r="AB44" s="551">
        <v>75.294245000000004</v>
      </c>
      <c r="AC44" s="551">
        <v>79.698428000000007</v>
      </c>
      <c r="AD44" s="551">
        <v>81.862465</v>
      </c>
      <c r="AE44" s="281">
        <f>SUM(AF44:AQ44)</f>
        <v>1007.4548179999999</v>
      </c>
      <c r="AF44" s="551">
        <v>80.434579999999997</v>
      </c>
      <c r="AG44" s="551">
        <v>77.890084999999999</v>
      </c>
      <c r="AH44" s="551">
        <v>79.784092999999999</v>
      </c>
      <c r="AI44" s="551">
        <v>79.307367999999997</v>
      </c>
      <c r="AJ44" s="551">
        <v>82.824701000000005</v>
      </c>
      <c r="AK44" s="551">
        <v>84.973697999999999</v>
      </c>
      <c r="AL44" s="551">
        <v>91.515000000000001</v>
      </c>
      <c r="AM44" s="551">
        <v>83.909251999999995</v>
      </c>
      <c r="AN44" s="551">
        <v>89.576515999999998</v>
      </c>
      <c r="AO44" s="551">
        <v>81.517099999999999</v>
      </c>
      <c r="AP44" s="551">
        <v>87.540093999999996</v>
      </c>
      <c r="AQ44" s="551">
        <v>88.182331000000005</v>
      </c>
      <c r="AR44" s="871">
        <f>SUM(AS44:BD44)</f>
        <v>1080.4895980000001</v>
      </c>
      <c r="AS44" s="551">
        <v>90.245945000000006</v>
      </c>
      <c r="AT44" s="551">
        <v>87.151295000000005</v>
      </c>
      <c r="AU44" s="551">
        <v>96.471896999999998</v>
      </c>
      <c r="AV44" s="551">
        <v>84.275239999999997</v>
      </c>
      <c r="AW44" s="551">
        <v>84.903396000000001</v>
      </c>
      <c r="AX44" s="551">
        <v>86.525572999999994</v>
      </c>
      <c r="AY44" s="551">
        <v>91.178783999999993</v>
      </c>
      <c r="AZ44" s="551">
        <v>95.754007999999999</v>
      </c>
      <c r="BA44" s="551">
        <v>89.888686000000007</v>
      </c>
      <c r="BB44" s="551">
        <v>88.429378</v>
      </c>
      <c r="BC44" s="551">
        <v>88.864018000000002</v>
      </c>
      <c r="BD44" s="551">
        <v>96.801378</v>
      </c>
      <c r="BE44" s="871">
        <f>SUM(BF44:BQ44)</f>
        <v>1164.996895</v>
      </c>
      <c r="BF44" s="551">
        <v>100.305092</v>
      </c>
      <c r="BG44" s="551">
        <v>90.885180000000005</v>
      </c>
      <c r="BH44" s="551">
        <v>92.488979999999998</v>
      </c>
      <c r="BI44" s="551">
        <v>89.238587999999993</v>
      </c>
      <c r="BJ44" s="551">
        <v>88.310844000000003</v>
      </c>
      <c r="BK44" s="551">
        <v>96.327995999999999</v>
      </c>
      <c r="BL44" s="551">
        <f>99.145843+0.220898000000005</f>
        <v>99.366741000000005</v>
      </c>
      <c r="BM44" s="551">
        <v>101.59487300000001</v>
      </c>
      <c r="BN44" s="551">
        <v>93.022769999999994</v>
      </c>
      <c r="BO44" s="551">
        <v>95.830389999999994</v>
      </c>
      <c r="BP44" s="551">
        <v>109.13377800000001</v>
      </c>
      <c r="BQ44" s="2153">
        <v>108.491663</v>
      </c>
      <c r="BR44" s="871">
        <f>SUM(BS44:CD44)</f>
        <v>1287.7631480000002</v>
      </c>
      <c r="BS44" s="551">
        <v>105.416647</v>
      </c>
      <c r="BT44" s="551">
        <v>112.32548</v>
      </c>
      <c r="BU44" s="551">
        <v>108.05552400000001</v>
      </c>
      <c r="BV44" s="551">
        <v>101.903395</v>
      </c>
      <c r="BW44" s="551">
        <v>101.405669</v>
      </c>
      <c r="BX44" s="551">
        <v>99.325541000000001</v>
      </c>
      <c r="BY44" s="551">
        <v>111.09965699999999</v>
      </c>
      <c r="BZ44" s="551">
        <v>106.48882999999999</v>
      </c>
      <c r="CA44" s="551">
        <v>112.067145</v>
      </c>
      <c r="CB44" s="551">
        <v>99.567847</v>
      </c>
      <c r="CC44" s="551">
        <v>110.94134</v>
      </c>
      <c r="CD44" s="552">
        <v>119.166073</v>
      </c>
      <c r="CE44" s="871">
        <f>SUM(CF44:CQ44)</f>
        <v>1346.6629519444871</v>
      </c>
      <c r="CF44" s="551">
        <f>(CF45*인건비!CG5)/1000000</f>
        <v>112.02654604723412</v>
      </c>
      <c r="CG44" s="551">
        <f>(CG45*인건비!CH5)/1000000</f>
        <v>111.62354764897862</v>
      </c>
      <c r="CH44" s="551">
        <f>(CH45*인건비!CI5)/1000000</f>
        <v>111.46585262357429</v>
      </c>
      <c r="CI44" s="551">
        <f>(CI45*인건비!CJ5)/1000000</f>
        <v>111.28362726088484</v>
      </c>
      <c r="CJ44" s="551">
        <f>(CJ45*인건비!CK5)/1000000</f>
        <v>111.72517333201696</v>
      </c>
      <c r="CK44" s="551">
        <f>(CK45*인건비!CL5)/1000000</f>
        <v>111.76372100489357</v>
      </c>
      <c r="CL44" s="551">
        <f>(CL45*인건비!CM5)/1000000</f>
        <v>112.62578714377059</v>
      </c>
      <c r="CM44" s="551">
        <f>(CM45*인건비!CN5)/1000000</f>
        <v>112.66433481664718</v>
      </c>
      <c r="CN44" s="551">
        <f>(CN45*인건비!CO5)/1000000</f>
        <v>113.10588088777931</v>
      </c>
      <c r="CO44" s="551">
        <f>(CO45*인건비!CP5)/1000000</f>
        <v>112.74143016240041</v>
      </c>
      <c r="CP44" s="551">
        <f>(CP45*인건비!CQ5)/1000000</f>
        <v>112.37697943702152</v>
      </c>
      <c r="CQ44" s="552">
        <f>(CQ45*인건비!CR5)/1000000</f>
        <v>113.26007157928575</v>
      </c>
    </row>
    <row r="45" spans="1:95">
      <c r="A45" s="1305"/>
      <c r="B45" s="3334"/>
      <c r="C45" s="3335"/>
      <c r="D45" s="85" t="s">
        <v>170</v>
      </c>
      <c r="E45" s="277">
        <f>AVERAGE(F45:Q45)</f>
        <v>29545.745374717513</v>
      </c>
      <c r="F45" s="318">
        <f>F44*1000000/인건비!G5</f>
        <v>28457.918276972625</v>
      </c>
      <c r="G45" s="318">
        <f>G44*1000000/인건비!H5</f>
        <v>28934.585179218688</v>
      </c>
      <c r="H45" s="318">
        <f>H44*1000000/인건비!I5</f>
        <v>28450.142569472413</v>
      </c>
      <c r="I45" s="318">
        <f>I44*1000000/인건비!J5</f>
        <v>26799.542857142853</v>
      </c>
      <c r="J45" s="318">
        <f>J44*1000000/인건비!K5</f>
        <v>27922.821353509877</v>
      </c>
      <c r="K45" s="318">
        <f>K44*1000000/인건비!L5</f>
        <v>29726.415423945462</v>
      </c>
      <c r="L45" s="318">
        <f>L44*1000000/인건비!M5</f>
        <v>32591.495404814006</v>
      </c>
      <c r="M45" s="318">
        <f>M44*1000000/인건비!N5</f>
        <v>29126.298729741568</v>
      </c>
      <c r="N45" s="318">
        <f>N44*1000000/인건비!O5</f>
        <v>29006.420353982299</v>
      </c>
      <c r="O45" s="318">
        <f>O44*1000000/인건비!P5</f>
        <v>28541.358414959934</v>
      </c>
      <c r="P45" s="318">
        <f>P44*1000000/인건비!Q5</f>
        <v>29829.166740576497</v>
      </c>
      <c r="Q45" s="318">
        <f>Q44*1000000/인건비!R5</f>
        <v>35162.779192273927</v>
      </c>
      <c r="R45" s="277">
        <f>AVERAGE(S45:AD45)</f>
        <v>35039.85725196069</v>
      </c>
      <c r="S45" s="318">
        <f>S44*1000000/인건비!T5</f>
        <v>32849.445862676053</v>
      </c>
      <c r="T45" s="318">
        <f>T44*1000000/인건비!U5</f>
        <v>32042.615488518684</v>
      </c>
      <c r="U45" s="318">
        <f>U44*1000000/인건비!V5</f>
        <v>33269.758014931926</v>
      </c>
      <c r="V45" s="318">
        <f>V44*1000000/인건비!W5</f>
        <v>32981.306781975421</v>
      </c>
      <c r="W45" s="318">
        <f>W44*1000000/인건비!X5</f>
        <v>33361.145322434153</v>
      </c>
      <c r="X45" s="318">
        <f>X44*1000000/인건비!Y5</f>
        <v>36186.54746543779</v>
      </c>
      <c r="Y45" s="318">
        <f>Y44*1000000/인건비!Z5</f>
        <v>38302.466940264479</v>
      </c>
      <c r="Z45" s="318">
        <f>Z44*1000000/인건비!AA5</f>
        <v>35569.442173711104</v>
      </c>
      <c r="AA45" s="318">
        <f>AA44*1000000/인건비!AB5</f>
        <v>35020.933177570092</v>
      </c>
      <c r="AB45" s="318">
        <f>AB44*1000000/인건비!AC5</f>
        <v>34955.54549675023</v>
      </c>
      <c r="AC45" s="318">
        <f>AC44*1000000/인건비!AD5</f>
        <v>37469.87682181476</v>
      </c>
      <c r="AD45" s="318">
        <f>AD44*1000000/인건비!AE5</f>
        <v>38469.203477443611</v>
      </c>
      <c r="AE45" s="277">
        <f>AVERAGE(AF45:AQ45)</f>
        <v>39503.583695438429</v>
      </c>
      <c r="AF45" s="318">
        <f>AF44*1000000/인건비!AG5</f>
        <v>37815.975552421252</v>
      </c>
      <c r="AG45" s="318">
        <f>AG44*1000000/인건비!AH5</f>
        <v>36740.606132075474</v>
      </c>
      <c r="AH45" s="318">
        <f>AH44*1000000/인건비!AI5</f>
        <v>38192.481091431306</v>
      </c>
      <c r="AI45" s="318">
        <f>AI44*1000000/인건비!AJ5</f>
        <v>37675.709263657955</v>
      </c>
      <c r="AJ45" s="318">
        <f>AJ44*1000000/인건비!AK5</f>
        <v>38939.68077103902</v>
      </c>
      <c r="AK45" s="318">
        <f>AK44*1000000/인건비!AL5</f>
        <v>40044.155513666352</v>
      </c>
      <c r="AL45" s="318">
        <f>AL44*1000000/인건비!AM5</f>
        <v>42724.08963585434</v>
      </c>
      <c r="AM45" s="318">
        <f>AM44*1000000/인건비!AN5</f>
        <v>39338.608532583217</v>
      </c>
      <c r="AN45" s="318">
        <v>42253.073584905658</v>
      </c>
      <c r="AO45" s="318">
        <v>38199.203373945646</v>
      </c>
      <c r="AP45" s="318">
        <v>40621.85336426914</v>
      </c>
      <c r="AQ45" s="318">
        <v>41497.567529411768</v>
      </c>
      <c r="AR45" s="869">
        <f>AVERAGE(AS45:BD45)</f>
        <v>42736.414274918447</v>
      </c>
      <c r="AS45" s="1604">
        <f>(AS44*1000000)/인건비!AT5</f>
        <v>42171.002336448597</v>
      </c>
      <c r="AT45" s="1604">
        <f>(AT44*1000000)/인건비!AU5</f>
        <v>40858.553680262543</v>
      </c>
      <c r="AU45" s="1604">
        <f>(AU44*1000000)/인건비!AV5</f>
        <v>45505.61179245283</v>
      </c>
      <c r="AV45" s="1604">
        <f>(AV44*1000000)/인건비!AW5</f>
        <v>39959.810336652445</v>
      </c>
      <c r="AW45" s="1604">
        <f>(AW44*1000000)/인건비!AX5</f>
        <v>40105.524799244216</v>
      </c>
      <c r="AX45" s="1604">
        <f>(AX44*1000000)/인건비!AY5</f>
        <v>41281.284828244272</v>
      </c>
      <c r="AY45" s="1604">
        <f>(AY44*1000000)/인건비!AZ5</f>
        <v>43501.32824427481</v>
      </c>
      <c r="AZ45" s="1604">
        <f>(AZ44*1000000)/인건비!BA5</f>
        <v>45575.444074250358</v>
      </c>
      <c r="BA45" s="1604">
        <f>(BA44*1000000)/인건비!BB5</f>
        <v>42783.762970014279</v>
      </c>
      <c r="BB45" s="1604">
        <f>(BB44*1000000)/인건비!BC5</f>
        <v>42089.185149928606</v>
      </c>
      <c r="BC45" s="1604">
        <f>(BC44*1000000)/인건비!BD5</f>
        <v>42600.200383509109</v>
      </c>
      <c r="BD45" s="1605">
        <f>(BD44*1000000)/인건비!BE5</f>
        <v>46405.262703739216</v>
      </c>
      <c r="BE45" s="869">
        <f>AVERAGE(BF45:BQ45)</f>
        <v>46176.344577501201</v>
      </c>
      <c r="BF45" s="2155">
        <f>(BF44*1000000)/인건비!BG5</f>
        <v>49121.004897159648</v>
      </c>
      <c r="BG45" s="2155">
        <f>(BG44*1000000)/인건비!BH5</f>
        <v>44377.529296875</v>
      </c>
      <c r="BH45" s="2155">
        <f>(BH44*1000000)/인건비!BI5</f>
        <v>44963.043266893532</v>
      </c>
      <c r="BI45" s="2155">
        <f>(BI44*1000000)/인건비!BJ5</f>
        <v>42779.764141898369</v>
      </c>
      <c r="BJ45" s="2155">
        <f>(BJ44*1000000)/인건비!BK5</f>
        <v>42233.784791965569</v>
      </c>
      <c r="BK45" s="2155">
        <f>(BK44*1000000)/인건비!BL5</f>
        <v>45979.950357995229</v>
      </c>
      <c r="BL45" s="2155">
        <f>(BL44*1000000)/인건비!BM5</f>
        <v>47272.474310180784</v>
      </c>
      <c r="BM45" s="2155">
        <f>(BM44*1000000)/인건비!BN5</f>
        <v>48332.480019029499</v>
      </c>
      <c r="BN45" s="2155">
        <f>(BN44*1000000)/인건비!BO5</f>
        <v>44003.202459791864</v>
      </c>
      <c r="BO45" s="2155">
        <f>(BO44*1000000)/인건비!BP5</f>
        <v>44780.556074766355</v>
      </c>
      <c r="BP45" s="2155">
        <f>(BP44*1000000)/인건비!BQ5</f>
        <v>50642.124361948954</v>
      </c>
      <c r="BQ45" s="2156">
        <f>(BQ44*1000000)/인건비!BR5</f>
        <v>49630.220951509604</v>
      </c>
      <c r="BR45" s="869">
        <f>AVERAGE(BS45:CD45)</f>
        <v>48950.71810023579</v>
      </c>
      <c r="BS45" s="2155">
        <f>(BS44*1000000)/인건비!BT5</f>
        <v>47549.231844835362</v>
      </c>
      <c r="BT45" s="2155">
        <f>(BT44*1000000)/인건비!BU5</f>
        <v>50757.1079981925</v>
      </c>
      <c r="BU45" s="2155">
        <f>(BU44*1000000)/인건비!BV5</f>
        <v>48564.2804494382</v>
      </c>
      <c r="BV45" s="2155">
        <f>(BV44*1000000)/인건비!BW5</f>
        <v>45655.642921146951</v>
      </c>
      <c r="BW45" s="2155">
        <f>(BW44*1000000)/인건비!BX5</f>
        <v>45514.214093357274</v>
      </c>
      <c r="BX45" s="2155">
        <f>(BX44*1000000)/인건비!BY5</f>
        <v>44862.484643179763</v>
      </c>
      <c r="BY45" s="2155">
        <f>(BY44*1000000)/인건비!BZ5</f>
        <v>50730.436986301371</v>
      </c>
      <c r="BZ45" s="2155">
        <f>(BZ44*1000000)/인건비!CA5</f>
        <v>48960.3816091954</v>
      </c>
      <c r="CA45" s="2155">
        <f>(CA44*1000000)/인건비!CB5</f>
        <v>51643.845622119814</v>
      </c>
      <c r="CB45" s="2155">
        <f>(CB44*1000000)/인건비!CC5</f>
        <v>46375.336283185839</v>
      </c>
      <c r="CC45" s="2155">
        <f>(CC44*1000000)/인건비!CD5</f>
        <v>51600.623255813953</v>
      </c>
      <c r="CD45" s="3003">
        <f>(CD44*1000000)/인건비!CE5</f>
        <v>55195.031496062991</v>
      </c>
      <c r="CE45" s="869">
        <f>AVERAGE(CF45:CQ45)</f>
        <v>52565.008468109103</v>
      </c>
      <c r="CF45" s="2152">
        <v>52565.008468109103</v>
      </c>
      <c r="CG45" s="2152">
        <v>52565.008468109103</v>
      </c>
      <c r="CH45" s="2152">
        <v>52565.008468109103</v>
      </c>
      <c r="CI45" s="2152">
        <v>52565.008468109103</v>
      </c>
      <c r="CJ45" s="2152">
        <v>52565.008468109103</v>
      </c>
      <c r="CK45" s="2152">
        <v>52565.008468109103</v>
      </c>
      <c r="CL45" s="2152">
        <v>52565.008468109103</v>
      </c>
      <c r="CM45" s="2152">
        <v>52565.008468109103</v>
      </c>
      <c r="CN45" s="2152">
        <v>52565.008468109103</v>
      </c>
      <c r="CO45" s="2152">
        <v>52565.008468109103</v>
      </c>
      <c r="CP45" s="2152">
        <v>52565.008468109103</v>
      </c>
      <c r="CQ45" s="2237">
        <v>52565.008468109103</v>
      </c>
    </row>
    <row r="46" spans="1:95">
      <c r="A46" s="867"/>
      <c r="B46" s="3330" t="s">
        <v>171</v>
      </c>
      <c r="C46" s="3331"/>
      <c r="D46" s="72" t="s">
        <v>142</v>
      </c>
      <c r="E46" s="281">
        <f>SUM(F46:Q46)</f>
        <v>119.72083300000001</v>
      </c>
      <c r="F46" s="319">
        <v>14.969009</v>
      </c>
      <c r="G46" s="319">
        <v>12.045540000000001</v>
      </c>
      <c r="H46" s="319">
        <v>9.9604990000000004</v>
      </c>
      <c r="I46" s="319">
        <v>6.4630000000000001</v>
      </c>
      <c r="J46" s="319">
        <v>8.4376999999999995</v>
      </c>
      <c r="K46" s="319">
        <v>14.673814999999999</v>
      </c>
      <c r="L46" s="319">
        <v>12.2072</v>
      </c>
      <c r="M46" s="319">
        <v>7.6589999999999998</v>
      </c>
      <c r="N46" s="319">
        <v>5.9127999999999998</v>
      </c>
      <c r="O46" s="319">
        <v>10.72517</v>
      </c>
      <c r="P46" s="319">
        <v>10.8886</v>
      </c>
      <c r="Q46" s="319">
        <v>5.7785000000000002</v>
      </c>
      <c r="R46" s="281">
        <f>SUM(S46:AD46)</f>
        <v>110.0504</v>
      </c>
      <c r="S46" s="282">
        <v>8.6281400000000001</v>
      </c>
      <c r="T46" s="282">
        <v>7.639456</v>
      </c>
      <c r="U46" s="282">
        <v>14.320209999999999</v>
      </c>
      <c r="V46" s="282">
        <v>10.833500000000001</v>
      </c>
      <c r="W46" s="282">
        <v>9.2927800000000005</v>
      </c>
      <c r="X46" s="282">
        <v>12.785600000000001</v>
      </c>
      <c r="Y46" s="282">
        <v>8.5349430000000002</v>
      </c>
      <c r="Z46" s="282">
        <v>4.9768999999999997</v>
      </c>
      <c r="AA46" s="282">
        <v>5.0213999999999999</v>
      </c>
      <c r="AB46" s="282">
        <v>5.2656999999999998</v>
      </c>
      <c r="AC46" s="282">
        <v>12.644470999999999</v>
      </c>
      <c r="AD46" s="282">
        <v>10.1073</v>
      </c>
      <c r="AE46" s="281">
        <f>SUM(AF46:AQ46)</f>
        <v>203.299466</v>
      </c>
      <c r="AF46" s="282">
        <v>11.042310000000001</v>
      </c>
      <c r="AG46" s="282">
        <v>7.0422909999999996</v>
      </c>
      <c r="AH46" s="282">
        <v>10.029773</v>
      </c>
      <c r="AI46" s="282">
        <v>12.929114999999999</v>
      </c>
      <c r="AJ46" s="282">
        <v>21.566618999999999</v>
      </c>
      <c r="AK46" s="282">
        <v>18.05621</v>
      </c>
      <c r="AL46" s="282">
        <v>41.659131000000002</v>
      </c>
      <c r="AM46" s="282">
        <v>11.48014</v>
      </c>
      <c r="AN46" s="282">
        <v>17.298487000000002</v>
      </c>
      <c r="AO46" s="282">
        <v>11.2545</v>
      </c>
      <c r="AP46" s="282">
        <v>22.404699999999998</v>
      </c>
      <c r="AQ46" s="282">
        <v>18.536190000000001</v>
      </c>
      <c r="AR46" s="871">
        <f>SUM(AS46:BD46)</f>
        <v>210.56455100000002</v>
      </c>
      <c r="AS46" s="551">
        <v>17.90775</v>
      </c>
      <c r="AT46" s="551">
        <v>11.828809</v>
      </c>
      <c r="AU46" s="551">
        <v>17.011849999999999</v>
      </c>
      <c r="AV46" s="551">
        <v>15.713374999999999</v>
      </c>
      <c r="AW46" s="551">
        <v>13.756180000000001</v>
      </c>
      <c r="AX46" s="551">
        <v>14.690020000000001</v>
      </c>
      <c r="AY46" s="551">
        <v>19.940860000000001</v>
      </c>
      <c r="AZ46" s="551">
        <v>15.399900000000001</v>
      </c>
      <c r="BA46" s="551">
        <v>19.53285</v>
      </c>
      <c r="BB46" s="551">
        <v>17.57375</v>
      </c>
      <c r="BC46" s="551">
        <v>19.549009000000002</v>
      </c>
      <c r="BD46" s="551">
        <v>27.660198000000001</v>
      </c>
      <c r="BE46" s="871">
        <f>SUM(BF46:BQ46)</f>
        <v>408.28156499999994</v>
      </c>
      <c r="BF46" s="551">
        <v>14.33085</v>
      </c>
      <c r="BG46" s="551">
        <v>31.954281999999999</v>
      </c>
      <c r="BH46" s="551">
        <v>29.929148999999999</v>
      </c>
      <c r="BI46" s="551">
        <v>37.208734</v>
      </c>
      <c r="BJ46" s="551">
        <v>25.859484999999999</v>
      </c>
      <c r="BK46" s="551">
        <v>30.561703999999999</v>
      </c>
      <c r="BL46" s="551">
        <v>38.620444999999997</v>
      </c>
      <c r="BM46" s="551">
        <v>36.977829</v>
      </c>
      <c r="BN46" s="551">
        <v>29.196179999999998</v>
      </c>
      <c r="BO46" s="551">
        <v>42.125852999999999</v>
      </c>
      <c r="BP46" s="551">
        <v>50.900826000000002</v>
      </c>
      <c r="BQ46" s="2153">
        <v>40.616228</v>
      </c>
      <c r="BR46" s="871">
        <f>SUM(BS46:CD46)</f>
        <v>584.98419899999988</v>
      </c>
      <c r="BS46" s="551">
        <v>45.411704999999998</v>
      </c>
      <c r="BT46" s="551">
        <v>53.513151999999998</v>
      </c>
      <c r="BU46" s="551">
        <v>59.293056</v>
      </c>
      <c r="BV46" s="551">
        <v>53.227117999999997</v>
      </c>
      <c r="BW46" s="551">
        <v>40.721719</v>
      </c>
      <c r="BX46" s="551">
        <v>54.730980000000002</v>
      </c>
      <c r="BY46" s="551">
        <v>51.206105999999998</v>
      </c>
      <c r="BZ46" s="551">
        <v>35.999037000000001</v>
      </c>
      <c r="CA46" s="551">
        <v>53.198766999999997</v>
      </c>
      <c r="CB46" s="551">
        <v>42.503084000000001</v>
      </c>
      <c r="CC46" s="551">
        <v>44.896455000000003</v>
      </c>
      <c r="CD46" s="552">
        <v>50.28302</v>
      </c>
      <c r="CE46" s="871">
        <f>SUM(CF46:CQ46)</f>
        <v>616.6097422075851</v>
      </c>
      <c r="CF46" s="551">
        <f>(CF47*인건비!CG5)/1000000</f>
        <v>50.545996432054537</v>
      </c>
      <c r="CG46" s="551">
        <f>(CG47*인건비!CH5)/1000000+1</f>
        <v>51.364164925870654</v>
      </c>
      <c r="CH46" s="551">
        <f>(CH47*인건비!CI5)/1000000+1</f>
        <v>51.293013466929139</v>
      </c>
      <c r="CI46" s="551">
        <f>(CI47*인건비!CJ5)/1000000+1</f>
        <v>51.210794003263381</v>
      </c>
      <c r="CJ46" s="551">
        <f>(CJ47*인건비!CK5)/1000000+1</f>
        <v>51.410018088299637</v>
      </c>
      <c r="CK46" s="551">
        <f>(CK47*인건비!CL5)/1000000+1</f>
        <v>51.427410667152003</v>
      </c>
      <c r="CL46" s="551">
        <f>(CL47*인건비!CM5)/1000000+1</f>
        <v>51.816371976032315</v>
      </c>
      <c r="CM46" s="551">
        <f>(CM47*인건비!CN5)/1000000+1</f>
        <v>51.833764554884681</v>
      </c>
      <c r="CN46" s="551">
        <f>(CN47*인건비!CO5)/1000000+1</f>
        <v>52.032988639920937</v>
      </c>
      <c r="CO46" s="551">
        <f>(CO47*인건비!CP5)/1000000+1</f>
        <v>51.868549712589427</v>
      </c>
      <c r="CP46" s="551">
        <f>(CP47*인건비!CQ5)/1000000</f>
        <v>50.70411078525791</v>
      </c>
      <c r="CQ46" s="552">
        <f>(CQ47*인건비!CR5)/1000000</f>
        <v>51.102558955330423</v>
      </c>
    </row>
    <row r="47" spans="1:95">
      <c r="A47" s="1305"/>
      <c r="B47" s="3334"/>
      <c r="C47" s="3335"/>
      <c r="D47" s="81" t="s">
        <v>172</v>
      </c>
      <c r="E47" s="277">
        <f>AVERAGE(F47:Q47)</f>
        <v>4234.8230604291903</v>
      </c>
      <c r="F47" s="318">
        <f>F46*1000000/인건비!G5</f>
        <v>6026.1710950080515</v>
      </c>
      <c r="G47" s="318">
        <f>G46*1000000/인건비!H5</f>
        <v>4851.2041884816754</v>
      </c>
      <c r="H47" s="318">
        <f>H46*1000000/인건비!I5</f>
        <v>4011.4776480064438</v>
      </c>
      <c r="I47" s="318">
        <f>I46*1000000/인건비!J5</f>
        <v>2676.1904761904761</v>
      </c>
      <c r="J47" s="318">
        <f>J46*1000000/인건비!K5</f>
        <v>3546.7423287095417</v>
      </c>
      <c r="K47" s="318">
        <f>K46*1000000/인건비!L5</f>
        <v>6252.1580741371963</v>
      </c>
      <c r="L47" s="318">
        <f>L46*1000000/인건비!M5</f>
        <v>5342.3194748358865</v>
      </c>
      <c r="M47" s="318">
        <f>M46*1000000/인건비!N5</f>
        <v>3354.7963206307491</v>
      </c>
      <c r="N47" s="318">
        <f>N46*1000000/인건비!O5</f>
        <v>2616.283185840708</v>
      </c>
      <c r="O47" s="318">
        <f>O46*1000000/인건비!P5</f>
        <v>4775.2315227070349</v>
      </c>
      <c r="P47" s="318">
        <f>P46*1000000/인건비!Q5</f>
        <v>4828.6474501108651</v>
      </c>
      <c r="Q47" s="318">
        <f>Q46*1000000/인건비!R5</f>
        <v>2536.6549604916595</v>
      </c>
      <c r="R47" s="277">
        <f>AVERAGE(S47:AD47)</f>
        <v>4188.2070190668819</v>
      </c>
      <c r="S47" s="318">
        <f>S46*1000000/인건비!T5</f>
        <v>3797.5968309859154</v>
      </c>
      <c r="T47" s="318">
        <f>T46*1000000/인건비!U5</f>
        <v>3439.6470058532191</v>
      </c>
      <c r="U47" s="318">
        <f>U46*1000000/인건비!V5</f>
        <v>6289.0689503732983</v>
      </c>
      <c r="V47" s="318">
        <f>V46*1000000/인건비!W5</f>
        <v>4931.0423304506148</v>
      </c>
      <c r="W47" s="318">
        <f>W46*1000000/인건비!X5</f>
        <v>4220.1544050862849</v>
      </c>
      <c r="X47" s="318">
        <f>X46*1000000/인건비!Y5</f>
        <v>5891.9815668202764</v>
      </c>
      <c r="Y47" s="318">
        <f>Y46*1000000/인건비!Z5</f>
        <v>3891.9028727770178</v>
      </c>
      <c r="Z47" s="318">
        <f>Z46*1000000/인건비!AA5</f>
        <v>2311.6117045982351</v>
      </c>
      <c r="AA47" s="318">
        <f>AA46*1000000/인건비!AB5</f>
        <v>2346.4485981308412</v>
      </c>
      <c r="AB47" s="318">
        <f>AB46*1000000/인건비!AC5</f>
        <v>2444.6146703806871</v>
      </c>
      <c r="AC47" s="318">
        <f>AC46*1000000/인건비!AD5</f>
        <v>5944.7442407146218</v>
      </c>
      <c r="AD47" s="318">
        <f>AD46*1000000/인건비!AE5</f>
        <v>4749.6710526315792</v>
      </c>
      <c r="AE47" s="277">
        <f>AVERAGE(AF47:AQ47)</f>
        <v>7957.4265216604726</v>
      </c>
      <c r="AF47" s="318">
        <f>AF46*1000000/인건비!AG5</f>
        <v>5191.4950634696752</v>
      </c>
      <c r="AG47" s="318">
        <f>AG46*1000000/인건비!AH5</f>
        <v>3321.8353773584904</v>
      </c>
      <c r="AH47" s="318">
        <f>AH46*1000000/인건비!AI5</f>
        <v>4801.2316898037343</v>
      </c>
      <c r="AI47" s="318">
        <f>AI46*1000000/인건비!AJ5</f>
        <v>6142.0973871733968</v>
      </c>
      <c r="AJ47" s="318">
        <f>AJ46*1000000/인건비!AK5</f>
        <v>10139.454160789845</v>
      </c>
      <c r="AK47" s="318">
        <f>AK46*1000000/인건비!AL5</f>
        <v>8509.0527803958521</v>
      </c>
      <c r="AL47" s="318">
        <f>AL46*1000000/인건비!AM5</f>
        <v>19448.707282913165</v>
      </c>
      <c r="AM47" s="318">
        <f>AM46*1000000/인건비!AN5</f>
        <v>5382.1565869667138</v>
      </c>
      <c r="AN47" s="318">
        <v>8159.6636792452828</v>
      </c>
      <c r="AO47" s="318">
        <v>5273.8987816307408</v>
      </c>
      <c r="AP47" s="318">
        <v>10396.612529002321</v>
      </c>
      <c r="AQ47" s="318">
        <v>8722.9129411764698</v>
      </c>
      <c r="AR47" s="869">
        <f>AVERAGE(AS47:BD47)</f>
        <v>8335.9821305096357</v>
      </c>
      <c r="AS47" s="1604">
        <f>(AS46*1000000)/인건비!AT5</f>
        <v>8368.1074766355141</v>
      </c>
      <c r="AT47" s="1604">
        <f>(AT46*1000000)/인건비!AU5</f>
        <v>5545.6207219878106</v>
      </c>
      <c r="AU47" s="1604">
        <f>(AU46*1000000)/인건비!AV5</f>
        <v>8024.4575471698117</v>
      </c>
      <c r="AV47" s="1604">
        <f>(AV46*1000000)/인건비!AW5</f>
        <v>7450.6282598387861</v>
      </c>
      <c r="AW47" s="1604">
        <f>(AW46*1000000)/인건비!AX5</f>
        <v>6497.9593764761457</v>
      </c>
      <c r="AX47" s="1604">
        <f>(AX46*1000000)/인건비!AY5</f>
        <v>7008.5973282442746</v>
      </c>
      <c r="AY47" s="1604">
        <f>(AY46*1000000)/인건비!AZ5</f>
        <v>9513.769083969466</v>
      </c>
      <c r="AZ47" s="1604">
        <f>(AZ46*1000000)/인건비!BA5</f>
        <v>7329.7953355544978</v>
      </c>
      <c r="BA47" s="1604">
        <f>(BA46*1000000)/인건비!BB5</f>
        <v>9296.9300333174688</v>
      </c>
      <c r="BB47" s="1604">
        <f>(BB46*1000000)/인건비!BC5</f>
        <v>8364.469300333174</v>
      </c>
      <c r="BC47" s="1604">
        <f>(BC46*1000000)/인건비!BD5</f>
        <v>9371.5287631831252</v>
      </c>
      <c r="BD47" s="1605">
        <f>(BD46*1000000)/인건비!BE5</f>
        <v>13259.922339405561</v>
      </c>
      <c r="BE47" s="869">
        <f>AVERAGE(BF47:BQ47)</f>
        <v>16135.313287968367</v>
      </c>
      <c r="BF47" s="2155">
        <f>(BF46*1000000)/인건비!BG5</f>
        <v>7018.0460333006858</v>
      </c>
      <c r="BG47" s="2155">
        <f>(BG46*1000000)/인건비!BH5</f>
        <v>15602.6767578125</v>
      </c>
      <c r="BH47" s="2155">
        <f>(BH46*1000000)/인건비!BI5</f>
        <v>14549.902284880895</v>
      </c>
      <c r="BI47" s="2155">
        <f>(BI46*1000000)/인건비!BJ5</f>
        <v>17837.36049856184</v>
      </c>
      <c r="BJ47" s="2155">
        <f>(BJ46*1000000)/인건비!BK5</f>
        <v>12367.042085126734</v>
      </c>
      <c r="BK47" s="2155">
        <f>(BK46*1000000)/인건비!BL5</f>
        <v>14587.92553699284</v>
      </c>
      <c r="BL47" s="2155">
        <f>(BL46*1000000)/인건비!BM5</f>
        <v>18373.189819219791</v>
      </c>
      <c r="BM47" s="2155">
        <f>(BM46*1000000)/인건비!BN5</f>
        <v>17591.735965746906</v>
      </c>
      <c r="BN47" s="2155">
        <f>(BN46*1000000)/인건비!BO5</f>
        <v>13810.870387890256</v>
      </c>
      <c r="BO47" s="2155">
        <f>(BO46*1000000)/인건비!BP5</f>
        <v>19684.978037383178</v>
      </c>
      <c r="BP47" s="2155">
        <f>(BP46*1000000)/인건비!BQ5</f>
        <v>23619.872853828307</v>
      </c>
      <c r="BQ47" s="2156">
        <f>(BQ46*1000000)/인건비!BR5</f>
        <v>18580.159194876487</v>
      </c>
      <c r="BR47" s="869">
        <f>AVERAGE(BS47:CD47)</f>
        <v>22214.610681736056</v>
      </c>
      <c r="BS47" s="2155">
        <f>(BS46*1000000)/인건비!BT5</f>
        <v>20483.403247631933</v>
      </c>
      <c r="BT47" s="2155">
        <f>(BT46*1000000)/인건비!BU5</f>
        <v>24181.27067329417</v>
      </c>
      <c r="BU47" s="2155">
        <f>(BU46*1000000)/인건비!BV5</f>
        <v>26648.564494382023</v>
      </c>
      <c r="BV47" s="2155">
        <f>(BV46*1000000)/인건비!BW5</f>
        <v>23847.275089605733</v>
      </c>
      <c r="BW47" s="2155">
        <f>(BW46*1000000)/인건비!BX5</f>
        <v>18277.252692998205</v>
      </c>
      <c r="BX47" s="2155">
        <f>(BX46*1000000)/인건비!BY5</f>
        <v>24720.406504065042</v>
      </c>
      <c r="BY47" s="2155">
        <f>(BY46*1000000)/인건비!BZ5</f>
        <v>23381.783561643835</v>
      </c>
      <c r="BZ47" s="2155">
        <f>(BZ46*1000000)/인건비!CA5</f>
        <v>16551.281379310345</v>
      </c>
      <c r="CA47" s="2155">
        <f>(CA46*1000000)/인건비!CB5</f>
        <v>24515.560829493086</v>
      </c>
      <c r="CB47" s="2155">
        <f>(CB46*1000000)/인건비!CC5</f>
        <v>19796.499301350723</v>
      </c>
      <c r="CC47" s="2155">
        <f>(CC46*1000000)/인건비!CD5</f>
        <v>20882.072093023256</v>
      </c>
      <c r="CD47" s="3003">
        <f>(CD46*1000000)/인건비!CE5</f>
        <v>23289.958314034277</v>
      </c>
      <c r="CE47" s="869">
        <f>AVERAGE(CF47:CQ47)</f>
        <v>23717.152980506071</v>
      </c>
      <c r="CF47" s="2152">
        <v>23717.152980506071</v>
      </c>
      <c r="CG47" s="2152">
        <v>23717.152980506071</v>
      </c>
      <c r="CH47" s="2152">
        <v>23717.152980506071</v>
      </c>
      <c r="CI47" s="2152">
        <v>23717.152980506071</v>
      </c>
      <c r="CJ47" s="2152">
        <v>23717.152980506071</v>
      </c>
      <c r="CK47" s="2152">
        <v>23717.152980506071</v>
      </c>
      <c r="CL47" s="2152">
        <v>23717.152980506071</v>
      </c>
      <c r="CM47" s="2152">
        <v>23717.152980506071</v>
      </c>
      <c r="CN47" s="2152">
        <v>23717.152980506071</v>
      </c>
      <c r="CO47" s="2152">
        <v>23717.152980506071</v>
      </c>
      <c r="CP47" s="2152">
        <v>23717.152980506071</v>
      </c>
      <c r="CQ47" s="2237">
        <v>23717.152980506071</v>
      </c>
    </row>
    <row r="48" spans="1:95">
      <c r="B48" s="3330" t="s">
        <v>173</v>
      </c>
      <c r="C48" s="3331"/>
      <c r="D48" s="72" t="s">
        <v>142</v>
      </c>
      <c r="E48" s="281">
        <f>SUM(F48:Q48)</f>
        <v>3.4664160000000002</v>
      </c>
      <c r="F48" s="319">
        <v>0.174654</v>
      </c>
      <c r="G48" s="588">
        <v>0.200345</v>
      </c>
      <c r="H48" s="588">
        <v>0.27954499999999999</v>
      </c>
      <c r="I48" s="588">
        <v>5.3090999999999999E-2</v>
      </c>
      <c r="J48" s="588">
        <v>0.16181899999999999</v>
      </c>
      <c r="K48" s="588">
        <v>0.19372700000000001</v>
      </c>
      <c r="L48" s="588">
        <v>6.4727000000000007E-2</v>
      </c>
      <c r="M48" s="588">
        <v>4.7817999999999999E-2</v>
      </c>
      <c r="N48" s="665">
        <v>0.06</v>
      </c>
      <c r="O48" s="665">
        <v>0.17408199999999999</v>
      </c>
      <c r="P48" s="665">
        <v>1.650163</v>
      </c>
      <c r="Q48" s="665">
        <v>0.406445</v>
      </c>
      <c r="R48" s="281">
        <f>SUM(S48:AD48)</f>
        <v>2.9648170000000005</v>
      </c>
      <c r="S48" s="552">
        <v>6.6764000000000004E-2</v>
      </c>
      <c r="T48" s="552">
        <v>0</v>
      </c>
      <c r="U48" s="552">
        <v>7.4545E-2</v>
      </c>
      <c r="V48" s="552">
        <v>2.7817999999999999E-2</v>
      </c>
      <c r="W48" s="552">
        <v>0.863182</v>
      </c>
      <c r="X48" s="552">
        <v>0.11233700000000001</v>
      </c>
      <c r="Y48" s="282">
        <v>0.29072700000000001</v>
      </c>
      <c r="Z48" s="282">
        <v>0.74210799999999999</v>
      </c>
      <c r="AA48" s="282">
        <v>0.13509099999999999</v>
      </c>
      <c r="AB48" s="282">
        <v>0.25715500000000002</v>
      </c>
      <c r="AC48" s="282">
        <v>0</v>
      </c>
      <c r="AD48" s="282">
        <v>0.39509</v>
      </c>
      <c r="AE48" s="281">
        <f>SUM(AF48:AQ48)</f>
        <v>4.0553160000000004</v>
      </c>
      <c r="AF48" s="282">
        <v>0.13909099999999999</v>
      </c>
      <c r="AG48" s="282">
        <v>0.10909099999999999</v>
      </c>
      <c r="AH48" s="282">
        <v>0.183</v>
      </c>
      <c r="AI48" s="282">
        <v>0</v>
      </c>
      <c r="AJ48" s="282">
        <v>2.5118230000000001</v>
      </c>
      <c r="AK48" s="282">
        <v>0</v>
      </c>
      <c r="AL48" s="282">
        <v>0</v>
      </c>
      <c r="AM48" s="282">
        <v>0</v>
      </c>
      <c r="AN48" s="282">
        <v>0</v>
      </c>
      <c r="AO48" s="282">
        <v>8.2955000000000001E-2</v>
      </c>
      <c r="AP48" s="282">
        <v>2.9454999999999999E-2</v>
      </c>
      <c r="AQ48" s="282">
        <v>0.99990100000000004</v>
      </c>
      <c r="AR48" s="871">
        <f>SUM(AS48:BD48)</f>
        <v>9.3871590000000005</v>
      </c>
      <c r="AS48" s="551">
        <v>0.184255</v>
      </c>
      <c r="AT48" s="551">
        <v>6.2728000000000006E-2</v>
      </c>
      <c r="AU48" s="551">
        <v>0</v>
      </c>
      <c r="AV48" s="551">
        <v>7.2728000000000001E-2</v>
      </c>
      <c r="AW48" s="551">
        <v>0</v>
      </c>
      <c r="AX48" s="551">
        <v>0.66888199999999998</v>
      </c>
      <c r="AY48" s="551">
        <v>0</v>
      </c>
      <c r="AZ48" s="551">
        <v>1.4265000000000001</v>
      </c>
      <c r="BA48" s="551">
        <v>6.6147280000000004</v>
      </c>
      <c r="BB48" s="551">
        <v>0.18110999999999999</v>
      </c>
      <c r="BC48" s="551">
        <v>0</v>
      </c>
      <c r="BD48" s="551">
        <v>0.176228</v>
      </c>
      <c r="BE48" s="871">
        <f>SUM(BF48:BQ48)</f>
        <v>1.1858469999999999</v>
      </c>
      <c r="BF48" s="551">
        <v>0.13421</v>
      </c>
      <c r="BG48" s="551">
        <v>0</v>
      </c>
      <c r="BH48" s="551">
        <v>0</v>
      </c>
      <c r="BI48" s="551">
        <v>0</v>
      </c>
      <c r="BJ48" s="551">
        <v>0.58909100000000003</v>
      </c>
      <c r="BK48" s="551">
        <v>0</v>
      </c>
      <c r="BL48" s="551">
        <v>0</v>
      </c>
      <c r="BM48" s="551">
        <v>0.19091</v>
      </c>
      <c r="BN48" s="551">
        <v>0</v>
      </c>
      <c r="BO48" s="551">
        <v>0</v>
      </c>
      <c r="BP48" s="551">
        <v>0</v>
      </c>
      <c r="BQ48" s="2153">
        <v>0.27163599999999999</v>
      </c>
      <c r="BR48" s="871">
        <f>SUM(BS48:CD48)</f>
        <v>3.2498750000000003</v>
      </c>
      <c r="BS48" s="551">
        <v>0.23097200000000001</v>
      </c>
      <c r="BT48" s="551">
        <v>0.34778300000000001</v>
      </c>
      <c r="BU48" s="551">
        <v>0.141455</v>
      </c>
      <c r="BV48" s="551">
        <v>0.1573</v>
      </c>
      <c r="BW48" s="551">
        <v>0.105546</v>
      </c>
      <c r="BX48" s="551">
        <v>2.0455000000000001E-2</v>
      </c>
      <c r="BY48" s="551">
        <v>0</v>
      </c>
      <c r="BZ48" s="551">
        <v>0.35509099999999999</v>
      </c>
      <c r="CA48" s="551">
        <v>0</v>
      </c>
      <c r="CB48" s="551">
        <v>0.60709100000000005</v>
      </c>
      <c r="CC48" s="551">
        <v>0</v>
      </c>
      <c r="CD48" s="552">
        <v>1.2841819999999999</v>
      </c>
      <c r="CE48" s="871">
        <f>SUM(CF48:CQ48)</f>
        <v>3.9963456583660477</v>
      </c>
      <c r="CF48" s="551">
        <f>(CF49*인건비!CG5)/1000000</f>
        <v>0.26512575400010169</v>
      </c>
      <c r="CG48" s="551">
        <f>(CG49*인건비!CH5)/1000000</f>
        <v>0.26417200457223605</v>
      </c>
      <c r="CH48" s="551">
        <f>(CH49*인건비!CI5)/1000000</f>
        <v>0.26379879827437552</v>
      </c>
      <c r="CI48" s="551">
        <f>(CI49*인건비!CJ5)/1000000</f>
        <v>0.26336753766351451</v>
      </c>
      <c r="CJ48" s="551">
        <f>(CJ49*인건비!CK5)/1000000</f>
        <v>0.26441251529752385</v>
      </c>
      <c r="CK48" s="551">
        <f>(CK49*인건비!CL5)/1000000</f>
        <v>0.26450374350366751</v>
      </c>
      <c r="CL48" s="551">
        <f>(CL49*인건비!CM5)/1000000</f>
        <v>0.26654393793197168</v>
      </c>
      <c r="CM48" s="551">
        <f>(CM49*인건비!CN5)/1000000</f>
        <v>0.26663516613811533</v>
      </c>
      <c r="CN48" s="551">
        <f>(CN49*인건비!CO5)/1000000</f>
        <v>0.26768014377212479</v>
      </c>
      <c r="CO48" s="551">
        <f>(CO49*인건비!CP5)/1000000</f>
        <v>0.2668176225504027</v>
      </c>
      <c r="CP48" s="551">
        <f>(CP49*인건비!CQ5)/1000000</f>
        <v>0.26595510132868067</v>
      </c>
      <c r="CQ48" s="552">
        <f>(CQ49*인건비!CR5)/1000000</f>
        <v>1.0773333333333335</v>
      </c>
    </row>
    <row r="49" spans="2:95">
      <c r="B49" s="3334"/>
      <c r="C49" s="3335"/>
      <c r="D49" s="85" t="s">
        <v>174</v>
      </c>
      <c r="E49" s="277">
        <f>AVERAGE(F49:Q49)</f>
        <v>124.97147494879864</v>
      </c>
      <c r="F49" s="318">
        <f>F48*1000000/인건비!G5</f>
        <v>70.311594202898547</v>
      </c>
      <c r="G49" s="318">
        <f>G48*1000000/인건비!H5</f>
        <v>80.686669351590822</v>
      </c>
      <c r="H49" s="318">
        <f>H48*1000000/인건비!I5</f>
        <v>112.58356826419654</v>
      </c>
      <c r="I49" s="318">
        <f>I48*1000000/인건비!J5</f>
        <v>21.983850931677019</v>
      </c>
      <c r="J49" s="318">
        <f>J48*1000000/인건비!K5</f>
        <v>68.019756200084075</v>
      </c>
      <c r="K49" s="318">
        <f>K48*1000000/인건비!L5</f>
        <v>82.542394546229232</v>
      </c>
      <c r="L49" s="318">
        <f>L48*1000000/인건비!M5</f>
        <v>28.326914660831513</v>
      </c>
      <c r="M49" s="318">
        <f>M48*1000000/인건비!N5</f>
        <v>20.945247481384143</v>
      </c>
      <c r="N49" s="318">
        <f>N48*1000000/인건비!O5</f>
        <v>26.548672566371682</v>
      </c>
      <c r="O49" s="318">
        <f>O48*1000000/인건비!P5</f>
        <v>77.507569011576138</v>
      </c>
      <c r="P49" s="318">
        <f>P48*1000000/인건비!Q5</f>
        <v>731.77960088691793</v>
      </c>
      <c r="Q49" s="318">
        <f>Q48*1000000/인건비!R5</f>
        <v>178.42186128182615</v>
      </c>
      <c r="R49" s="277">
        <f>AVERAGE(S49:AD49)</f>
        <v>113.665251905746</v>
      </c>
      <c r="S49" s="318">
        <f>S48*1000000/인건비!T5</f>
        <v>29.385563380281692</v>
      </c>
      <c r="T49" s="318">
        <f>T48*1000000/인건비!U5</f>
        <v>0</v>
      </c>
      <c r="U49" s="318">
        <f>U48*1000000/인건비!V5</f>
        <v>32.73825208607817</v>
      </c>
      <c r="V49" s="318">
        <f>V48*1000000/인건비!W5</f>
        <v>12.661811561219846</v>
      </c>
      <c r="W49" s="318">
        <f>W48*1000000/인건비!X5</f>
        <v>391.99909173478653</v>
      </c>
      <c r="X49" s="318">
        <f>X48*1000000/인건비!Y5</f>
        <v>51.768202764976955</v>
      </c>
      <c r="Y49" s="318">
        <f>Y48*1000000/인건비!Z5</f>
        <v>132.57045143638851</v>
      </c>
      <c r="Z49" s="318">
        <f>Z48*1000000/인건비!AA5</f>
        <v>344.68555503947982</v>
      </c>
      <c r="AA49" s="318">
        <f>AA48*1000000/인건비!AB5</f>
        <v>63.126635514018695</v>
      </c>
      <c r="AB49" s="318">
        <f>AB48*1000000/인건비!AC5</f>
        <v>119.38486536675953</v>
      </c>
      <c r="AC49" s="318">
        <f>AC48*1000000/인건비!AD5</f>
        <v>0</v>
      </c>
      <c r="AD49" s="318">
        <f>AD48*1000000/인건비!AE5</f>
        <v>185.6625939849624</v>
      </c>
      <c r="AE49" s="277">
        <f>AVERAGE(AF49:AQ49)</f>
        <v>230.89594668687928</v>
      </c>
      <c r="AF49" s="318">
        <f>AF48*1000000/인건비!AG5</f>
        <v>65.393041842971314</v>
      </c>
      <c r="AG49" s="318">
        <f>AG48*1000000/인건비!AH5</f>
        <v>51.45801886792453</v>
      </c>
      <c r="AH49" s="318">
        <f>AH48*1000000/인건비!AI5</f>
        <v>87.601723312589755</v>
      </c>
      <c r="AI49" s="318">
        <f>AI48*1000000/인건비!AJ5</f>
        <v>0</v>
      </c>
      <c r="AJ49" s="318">
        <f>AJ48*1000000/인건비!AK5</f>
        <v>1180.9228960977903</v>
      </c>
      <c r="AK49" s="318">
        <f>AK48*1000000/인건비!AL5</f>
        <v>0</v>
      </c>
      <c r="AL49" s="318"/>
      <c r="AM49" s="318"/>
      <c r="AN49" s="318"/>
      <c r="AO49" s="318"/>
      <c r="AP49" s="318"/>
      <c r="AQ49" s="318"/>
      <c r="AR49" s="869">
        <f>AVERAGE(AS49:BD49)</f>
        <v>372.26110475297992</v>
      </c>
      <c r="AS49" s="1604">
        <f>(AS48*1000000)/인건비!AT5</f>
        <v>86.100467289719631</v>
      </c>
      <c r="AT49" s="1604">
        <f>(AT48*1000000)/인건비!AU5</f>
        <v>29.408345053914676</v>
      </c>
      <c r="AU49" s="1604">
        <f>(AU48*1000000)/인건비!AV5</f>
        <v>0</v>
      </c>
      <c r="AV49" s="1604">
        <f>(AV48*1000000)/인건비!AW5</f>
        <v>34.484589853010903</v>
      </c>
      <c r="AW49" s="1604">
        <f>(AW48*1000000)/인건비!AX5</f>
        <v>0</v>
      </c>
      <c r="AX49" s="1604">
        <f>(AX48*1000000)/인건비!AY5</f>
        <v>319.12309160305341</v>
      </c>
      <c r="AY49" s="1604">
        <f>(AY48*1000000)/인건비!AZ5</f>
        <v>0</v>
      </c>
      <c r="AZ49" s="1604">
        <f>(AZ48*1000000)/인건비!BA5</f>
        <v>678.96239885768682</v>
      </c>
      <c r="BA49" s="1604">
        <f>(BA48*1000000)/인건비!BB5</f>
        <v>3148.3712517848644</v>
      </c>
      <c r="BB49" s="1604">
        <f>(BB48*1000000)/인건비!BC5</f>
        <v>86.201808662541652</v>
      </c>
      <c r="BC49" s="1604">
        <f>(BC48*1000000)/인건비!BD5</f>
        <v>0</v>
      </c>
      <c r="BD49" s="1605">
        <f>(BD48*1000000)/인건비!BE5</f>
        <v>84.481303930968366</v>
      </c>
      <c r="BE49" s="869">
        <f>AVERAGE(BF49:BQ49)</f>
        <v>46.878032947979555</v>
      </c>
      <c r="BF49" s="2167">
        <f>(BF48*1000000)/인건비!BG5</f>
        <v>65.724779627815863</v>
      </c>
      <c r="BG49" s="2167">
        <f>(BG48*1000000)/인건비!BH5</f>
        <v>0</v>
      </c>
      <c r="BH49" s="2167">
        <f>(BH48*1000000)/인건비!BI5</f>
        <v>0</v>
      </c>
      <c r="BI49" s="2167">
        <f>(BI48*1000000)/인건비!BJ5</f>
        <v>0</v>
      </c>
      <c r="BJ49" s="2167">
        <f>(BJ48*1000000)/인건비!BK5</f>
        <v>281.72692491630801</v>
      </c>
      <c r="BK49" s="2167">
        <f>(BK48*1000000)/인건비!BL5</f>
        <v>0</v>
      </c>
      <c r="BL49" s="2167">
        <f>(BL48*1000000)/인건비!BM5</f>
        <v>0</v>
      </c>
      <c r="BM49" s="2167">
        <f>(BM48*1000000)/인건비!BN5</f>
        <v>90.823025689819218</v>
      </c>
      <c r="BN49" s="2167">
        <f>(BN48*1000000)/인건비!BO5</f>
        <v>0</v>
      </c>
      <c r="BO49" s="2167">
        <f>(BO48*1000000)/인건비!BP5</f>
        <v>0</v>
      </c>
      <c r="BP49" s="2167">
        <f>(BP48*1000000)/인건비!BQ5</f>
        <v>0</v>
      </c>
      <c r="BQ49" s="2168">
        <f>(BQ48*1000000)/인건비!BR5</f>
        <v>124.26166514181153</v>
      </c>
      <c r="BR49" s="869">
        <f>AVERAGE(BS49:CD49)</f>
        <v>124.40209928683453</v>
      </c>
      <c r="BS49" s="2155">
        <f>(BS48*1000000)/인건비!BT5</f>
        <v>104.18222823635544</v>
      </c>
      <c r="BT49" s="2155">
        <f>(BT48*1000000)/인건비!BU5</f>
        <v>157.15454134658833</v>
      </c>
      <c r="BU49" s="2155">
        <f>(BU48*1000000)/인건비!BV5</f>
        <v>63.575280898876407</v>
      </c>
      <c r="BV49" s="2155">
        <f>(BV48*1000000)/인건비!BW5</f>
        <v>70.474910394265237</v>
      </c>
      <c r="BW49" s="2155">
        <f>(BW48*1000000)/인건비!BX5</f>
        <v>47.372531418312391</v>
      </c>
      <c r="BX49" s="2155">
        <f>(BX48*1000000)/인건비!BY5</f>
        <v>9.2389340560072259</v>
      </c>
      <c r="BY49" s="2155">
        <f>(BY48*1000000)/인건비!BZ5</f>
        <v>0</v>
      </c>
      <c r="BZ49" s="2155">
        <f>(BZ48*1000000)/인건비!CA5</f>
        <v>163.26022988505747</v>
      </c>
      <c r="CA49" s="2155">
        <f>(CA48*1000000)/인건비!CB5</f>
        <v>0</v>
      </c>
      <c r="CB49" s="2155">
        <f>(CB48*1000000)/인건비!CC5</f>
        <v>282.76245924545879</v>
      </c>
      <c r="CC49" s="2155">
        <f>(CC48*1000000)/인건비!CD5</f>
        <v>0</v>
      </c>
      <c r="CD49" s="3003">
        <f>(CD48*1000000)/인건비!CE5</f>
        <v>594.80407596109308</v>
      </c>
      <c r="CE49" s="869">
        <f>AVERAGE(CF49:CQ49)</f>
        <v>155.70192434626497</v>
      </c>
      <c r="CF49" s="2152">
        <v>124.40209928683453</v>
      </c>
      <c r="CG49" s="2152">
        <v>124.40209928683453</v>
      </c>
      <c r="CH49" s="2152">
        <v>124.40209928683453</v>
      </c>
      <c r="CI49" s="2152">
        <v>124.40209928683453</v>
      </c>
      <c r="CJ49" s="2152">
        <v>124.40209928683453</v>
      </c>
      <c r="CK49" s="2152">
        <v>124.40209928683453</v>
      </c>
      <c r="CL49" s="2152">
        <v>124.40209928683453</v>
      </c>
      <c r="CM49" s="2152">
        <v>124.40209928683453</v>
      </c>
      <c r="CN49" s="2152">
        <v>124.40209928683453</v>
      </c>
      <c r="CO49" s="2152">
        <v>124.40209928683453</v>
      </c>
      <c r="CP49" s="2152">
        <v>124.40209928683453</v>
      </c>
      <c r="CQ49" s="2237">
        <v>500</v>
      </c>
    </row>
    <row r="50" spans="2:95">
      <c r="B50" s="3348" t="s">
        <v>175</v>
      </c>
      <c r="C50" s="3422"/>
      <c r="D50" s="83" t="s">
        <v>142</v>
      </c>
      <c r="E50" s="283">
        <f>SUM(F50:Q50)</f>
        <v>0</v>
      </c>
      <c r="F50" s="588"/>
      <c r="G50" s="588"/>
      <c r="H50" s="588"/>
      <c r="I50" s="588"/>
      <c r="J50" s="588"/>
      <c r="K50" s="588"/>
      <c r="L50" s="588"/>
      <c r="M50" s="588"/>
      <c r="N50" s="588"/>
      <c r="O50" s="588"/>
      <c r="P50" s="588"/>
      <c r="Q50" s="2184"/>
      <c r="R50" s="283">
        <f>SUM(S50:AD50)</f>
        <v>0</v>
      </c>
      <c r="S50" s="2165"/>
      <c r="T50" s="2165"/>
      <c r="U50" s="2165"/>
      <c r="V50" s="2165"/>
      <c r="W50" s="2165"/>
      <c r="X50" s="2165"/>
      <c r="Y50" s="2165"/>
      <c r="Z50" s="2165"/>
      <c r="AA50" s="2165"/>
      <c r="AB50" s="2165"/>
      <c r="AC50" s="2165"/>
      <c r="AD50" s="2184"/>
      <c r="AE50" s="283">
        <f>SUM(AF50:AQ50)</f>
        <v>0</v>
      </c>
      <c r="AF50" s="2165"/>
      <c r="AG50" s="2165"/>
      <c r="AH50" s="2165"/>
      <c r="AI50" s="2165"/>
      <c r="AJ50" s="2165"/>
      <c r="AK50" s="2165"/>
      <c r="AL50" s="2165"/>
      <c r="AM50" s="2165"/>
      <c r="AN50" s="2165"/>
      <c r="AO50" s="2165"/>
      <c r="AP50" s="2165"/>
      <c r="AQ50" s="2184"/>
      <c r="AR50" s="872">
        <f>SUM(AS50:BD50)</f>
        <v>0</v>
      </c>
      <c r="AS50" s="588">
        <v>0</v>
      </c>
      <c r="AT50" s="588">
        <v>0</v>
      </c>
      <c r="AU50" s="588">
        <v>0</v>
      </c>
      <c r="AV50" s="588">
        <v>0</v>
      </c>
      <c r="AW50" s="588">
        <v>0</v>
      </c>
      <c r="AX50" s="588">
        <v>0</v>
      </c>
      <c r="AY50" s="588">
        <v>0</v>
      </c>
      <c r="AZ50" s="588">
        <v>0</v>
      </c>
      <c r="BA50" s="588">
        <v>0</v>
      </c>
      <c r="BB50" s="588">
        <v>0</v>
      </c>
      <c r="BC50" s="588">
        <v>0</v>
      </c>
      <c r="BD50" s="588">
        <v>0</v>
      </c>
      <c r="BE50" s="872">
        <f>SUM(BF50:BQ50)</f>
        <v>0</v>
      </c>
      <c r="BF50" s="2165">
        <v>0</v>
      </c>
      <c r="BG50" s="2165">
        <v>0</v>
      </c>
      <c r="BH50" s="2165">
        <v>0</v>
      </c>
      <c r="BI50" s="2165">
        <v>0</v>
      </c>
      <c r="BJ50" s="2165">
        <v>0</v>
      </c>
      <c r="BK50" s="2165">
        <v>0</v>
      </c>
      <c r="BL50" s="2165">
        <v>0</v>
      </c>
      <c r="BM50" s="2165">
        <v>0</v>
      </c>
      <c r="BN50" s="2165">
        <v>0</v>
      </c>
      <c r="BO50" s="2165">
        <v>0</v>
      </c>
      <c r="BP50" s="2165">
        <v>0</v>
      </c>
      <c r="BQ50" s="2166">
        <v>0</v>
      </c>
      <c r="BR50" s="872">
        <f>SUM(BS50:CD50)</f>
        <v>0</v>
      </c>
      <c r="BS50" s="2165">
        <v>0</v>
      </c>
      <c r="BT50" s="2165">
        <v>0</v>
      </c>
      <c r="BU50" s="2165">
        <v>0</v>
      </c>
      <c r="BV50" s="2165">
        <v>0</v>
      </c>
      <c r="BW50" s="2165">
        <v>0</v>
      </c>
      <c r="BX50" s="2165">
        <v>0</v>
      </c>
      <c r="BY50" s="2165">
        <v>0</v>
      </c>
      <c r="BZ50" s="2165">
        <v>0</v>
      </c>
      <c r="CA50" s="2165">
        <v>0</v>
      </c>
      <c r="CB50" s="2165">
        <v>0</v>
      </c>
      <c r="CC50" s="2165"/>
      <c r="CD50" s="2184">
        <v>0</v>
      </c>
      <c r="CE50" s="872">
        <f>SUM(CF50:CQ50)</f>
        <v>0</v>
      </c>
      <c r="CF50" s="553">
        <v>0</v>
      </c>
      <c r="CG50" s="553">
        <v>0</v>
      </c>
      <c r="CH50" s="553">
        <v>0</v>
      </c>
      <c r="CI50" s="553">
        <v>0</v>
      </c>
      <c r="CJ50" s="553">
        <v>0</v>
      </c>
      <c r="CK50" s="553">
        <v>0</v>
      </c>
      <c r="CL50" s="553">
        <v>0</v>
      </c>
      <c r="CM50" s="553">
        <v>0</v>
      </c>
      <c r="CN50" s="553">
        <v>0</v>
      </c>
      <c r="CO50" s="553">
        <v>0</v>
      </c>
      <c r="CP50" s="553">
        <v>0</v>
      </c>
      <c r="CQ50" s="2240">
        <v>0</v>
      </c>
    </row>
    <row r="51" spans="2:95"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422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422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422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422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422"/>
    </row>
    <row r="52" spans="2:95">
      <c r="B52" s="1884"/>
      <c r="C52" s="1884"/>
      <c r="D52" s="3009"/>
      <c r="E52" s="1884"/>
      <c r="F52" s="1884"/>
      <c r="G52" s="1884"/>
      <c r="H52" s="1884"/>
      <c r="I52" s="1884"/>
      <c r="J52" s="1884"/>
      <c r="K52" s="1884"/>
      <c r="L52" s="1884"/>
      <c r="M52" s="1884"/>
      <c r="N52" s="1884"/>
      <c r="O52" s="1884"/>
      <c r="P52" s="1884"/>
      <c r="Q52" s="2967"/>
      <c r="R52" s="1884"/>
      <c r="S52" s="1884"/>
      <c r="T52" s="1884"/>
      <c r="U52" s="1884"/>
      <c r="V52" s="1884"/>
      <c r="W52" s="1884"/>
      <c r="X52" s="1884"/>
      <c r="Y52" s="1884"/>
      <c r="Z52" s="1884"/>
      <c r="AA52" s="1884"/>
      <c r="AB52" s="1884"/>
      <c r="AC52" s="1884"/>
      <c r="AD52" s="2967"/>
      <c r="AE52" s="1884"/>
      <c r="AF52" s="1884"/>
      <c r="AG52" s="1884"/>
      <c r="AH52" s="1884"/>
      <c r="AI52" s="1884"/>
      <c r="AJ52" s="1884"/>
      <c r="AK52" s="1884"/>
      <c r="AL52" s="1884"/>
      <c r="AM52" s="1884"/>
      <c r="AN52" s="1884"/>
      <c r="AO52" s="1884"/>
      <c r="AP52" s="1884"/>
      <c r="AQ52" s="2967"/>
      <c r="AR52" s="1884"/>
      <c r="AS52" s="1884"/>
      <c r="AT52" s="1884"/>
      <c r="AU52" s="1884"/>
      <c r="AV52" s="1884"/>
      <c r="AW52" s="1884"/>
      <c r="AX52" s="1884"/>
      <c r="AY52" s="1884"/>
      <c r="AZ52" s="1884"/>
      <c r="BA52" s="1884"/>
      <c r="BB52" s="1884"/>
      <c r="BC52" s="1884"/>
      <c r="BD52" s="2967"/>
      <c r="BE52" s="1884"/>
      <c r="BF52" s="1884"/>
      <c r="BG52" s="1884"/>
      <c r="BH52" s="1884"/>
      <c r="BI52" s="1884"/>
      <c r="BJ52" s="1884"/>
      <c r="BK52" s="1884"/>
      <c r="BL52" s="1884"/>
      <c r="BM52" s="1884"/>
      <c r="BN52" s="1884"/>
      <c r="BO52" s="1884"/>
      <c r="BP52" s="1884"/>
      <c r="BQ52" s="2967"/>
      <c r="BR52" s="1884"/>
      <c r="BS52" s="1884"/>
      <c r="BT52" s="1884"/>
      <c r="BU52" s="1884"/>
      <c r="BV52" s="1884"/>
      <c r="BW52" s="1884"/>
      <c r="BX52" s="1884"/>
      <c r="BY52" s="1884"/>
      <c r="BZ52" s="1884"/>
      <c r="CA52" s="1884"/>
      <c r="CB52" s="1884"/>
      <c r="CC52" s="1884"/>
      <c r="CD52" s="3010"/>
      <c r="CE52" s="3011">
        <v>1.03</v>
      </c>
      <c r="CF52" s="1884"/>
      <c r="CG52" s="1884"/>
      <c r="CH52" s="1884"/>
      <c r="CI52" s="1884"/>
      <c r="CJ52" s="1884"/>
      <c r="CK52" s="1884"/>
      <c r="CL52" s="1884"/>
      <c r="CM52" s="1884"/>
      <c r="CN52" s="1884"/>
      <c r="CO52" s="1884"/>
      <c r="CP52" s="1884"/>
      <c r="CQ52" s="3010"/>
    </row>
  </sheetData>
  <mergeCells count="21">
    <mergeCell ref="CE4:CQ4"/>
    <mergeCell ref="E4:Q4"/>
    <mergeCell ref="B6:C17"/>
    <mergeCell ref="AE4:AQ4"/>
    <mergeCell ref="BR4:CD4"/>
    <mergeCell ref="AR4:BD4"/>
    <mergeCell ref="B4:D5"/>
    <mergeCell ref="R4:AD4"/>
    <mergeCell ref="BE4:BQ4"/>
    <mergeCell ref="B50:C50"/>
    <mergeCell ref="B44:C45"/>
    <mergeCell ref="B46:C47"/>
    <mergeCell ref="B20:C27"/>
    <mergeCell ref="B43:C43"/>
    <mergeCell ref="B34:C37"/>
    <mergeCell ref="B38:C38"/>
    <mergeCell ref="B39:C42"/>
    <mergeCell ref="B28:C29"/>
    <mergeCell ref="B30:C31"/>
    <mergeCell ref="B32:C33"/>
    <mergeCell ref="B48:C49"/>
  </mergeCells>
  <phoneticPr fontId="4" type="noConversion"/>
  <pageMargins left="0.7" right="0.7" top="0.75" bottom="0.75" header="0.3" footer="0.3"/>
  <pageSetup paperSize="9" orientation="portrait" r:id="rId1"/>
  <ignoredErrors>
    <ignoredError sqref="BE19:BE37 BE39:BE50 BR6:CD8 BS20:CD20 BR20:BR50 E27:E50 AE20:AQ50 BR19:CD19 BE17:BE18 CF30:CI30 CF34:CQ34 CE6 BR11:BR15 BR17:BR18 CK30:CQ30 CF36:CQ36" formula="1"/>
    <ignoredError sqref="BT23:CD23" formula="1" formulaRange="1"/>
    <ignoredError sqref="BS23" formulaRange="1"/>
    <ignoredError sqref="CE27:CE42" evalError="1" formula="1"/>
    <ignoredError sqref="CD45:CE45 CD27 CD29 CD31 CD33 CD37 CD40 CD42 CE43:CE44 CD47:CE47 CE46 CD49:CE49 CE48" evalError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0">
    <tabColor theme="8" tint="0.39997558519241921"/>
  </sheetPr>
  <dimension ref="B1:CS75"/>
  <sheetViews>
    <sheetView showGridLines="0" zoomScale="80" zoomScaleNormal="80" workbookViewId="0">
      <pane xSplit="4" ySplit="4" topLeftCell="R5" activePane="bottomRight" state="frozen"/>
      <selection activeCell="DA43" sqref="DA43"/>
      <selection pane="topRight" activeCell="DA43" sqref="DA43"/>
      <selection pane="bottomLeft" activeCell="DA43" sqref="DA43"/>
      <selection pane="bottomRight" activeCell="B3" sqref="B3:D4"/>
    </sheetView>
  </sheetViews>
  <sheetFormatPr defaultRowHeight="17" outlineLevelRow="1" outlineLevelCol="1"/>
  <cols>
    <col min="1" max="1" width="3.25" customWidth="1"/>
    <col min="2" max="3" width="12.33203125" customWidth="1"/>
    <col min="4" max="4" width="13" customWidth="1"/>
    <col min="5" max="5" width="13.58203125" customWidth="1"/>
    <col min="6" max="17" width="15.83203125" hidden="1" customWidth="1" outlineLevel="1"/>
    <col min="18" max="18" width="13.58203125" customWidth="1" collapsed="1"/>
    <col min="19" max="19" width="15.25" hidden="1" customWidth="1" outlineLevel="1"/>
    <col min="20" max="27" width="13.58203125" hidden="1" customWidth="1" outlineLevel="1"/>
    <col min="28" max="28" width="14.75" hidden="1" customWidth="1" outlineLevel="1"/>
    <col min="29" max="30" width="13.58203125" hidden="1" customWidth="1" outlineLevel="1"/>
    <col min="31" max="31" width="13.58203125" customWidth="1" collapsed="1"/>
    <col min="32" max="33" width="13.58203125" hidden="1" customWidth="1" outlineLevel="1"/>
    <col min="34" max="34" width="14.75" hidden="1" customWidth="1" outlineLevel="1"/>
    <col min="35" max="36" width="13.58203125" hidden="1" customWidth="1" outlineLevel="1"/>
    <col min="37" max="37" width="14.58203125" hidden="1" customWidth="1" outlineLevel="1"/>
    <col min="38" max="39" width="13.58203125" hidden="1" customWidth="1" outlineLevel="1"/>
    <col min="40" max="40" width="15.58203125" hidden="1" customWidth="1" outlineLevel="1"/>
    <col min="41" max="42" width="13.58203125" hidden="1" customWidth="1" outlineLevel="1"/>
    <col min="43" max="43" width="15.58203125" hidden="1" customWidth="1" outlineLevel="1"/>
    <col min="44" max="44" width="13.58203125" customWidth="1" collapsed="1"/>
    <col min="45" max="46" width="13.58203125" hidden="1" customWidth="1" outlineLevel="1"/>
    <col min="47" max="47" width="14.75" hidden="1" customWidth="1" outlineLevel="1"/>
    <col min="48" max="49" width="13.58203125" hidden="1" customWidth="1" outlineLevel="1"/>
    <col min="50" max="50" width="14.58203125" hidden="1" customWidth="1" outlineLevel="1"/>
    <col min="51" max="56" width="13.58203125" hidden="1" customWidth="1" outlineLevel="1"/>
    <col min="57" max="57" width="13.58203125" customWidth="1" collapsed="1"/>
    <col min="58" max="59" width="13.58203125" hidden="1" customWidth="1" outlineLevel="1"/>
    <col min="60" max="60" width="14.75" hidden="1" customWidth="1" outlineLevel="1"/>
    <col min="61" max="62" width="13.58203125" hidden="1" customWidth="1" outlineLevel="1"/>
    <col min="63" max="63" width="14.58203125" hidden="1" customWidth="1" outlineLevel="1"/>
    <col min="64" max="69" width="13.58203125" hidden="1" customWidth="1" outlineLevel="1"/>
    <col min="70" max="70" width="13.58203125" customWidth="1" collapsed="1"/>
    <col min="71" max="72" width="13.58203125" customWidth="1" outlineLevel="1"/>
    <col min="73" max="73" width="14.6640625" customWidth="1" outlineLevel="1"/>
    <col min="74" max="75" width="13.58203125" customWidth="1" outlineLevel="1"/>
    <col min="76" max="76" width="14.58203125" customWidth="1" outlineLevel="1"/>
    <col min="77" max="82" width="13.58203125" customWidth="1" outlineLevel="1"/>
    <col min="83" max="83" width="13.58203125" customWidth="1"/>
    <col min="84" max="85" width="13.58203125" customWidth="1" outlineLevel="1"/>
    <col min="86" max="86" width="14.6640625" customWidth="1" outlineLevel="1"/>
    <col min="87" max="88" width="13.58203125" customWidth="1" outlineLevel="1"/>
    <col min="89" max="89" width="14.58203125" customWidth="1" outlineLevel="1"/>
    <col min="90" max="95" width="13.58203125" customWidth="1" outlineLevel="1"/>
    <col min="97" max="97" width="9.5" bestFit="1" customWidth="1"/>
  </cols>
  <sheetData>
    <row r="1" spans="2:95">
      <c r="F1">
        <v>5165518380</v>
      </c>
      <c r="G1">
        <v>1629730860</v>
      </c>
      <c r="Q1" s="371"/>
      <c r="AU1" s="88"/>
      <c r="AV1" s="313"/>
      <c r="BR1" s="313"/>
      <c r="CE1" s="313"/>
    </row>
    <row r="2" spans="2:95" ht="21">
      <c r="B2" s="29" t="s">
        <v>321</v>
      </c>
      <c r="F2" s="554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697"/>
      <c r="S2" s="698"/>
      <c r="T2" s="313"/>
      <c r="U2" s="313"/>
      <c r="V2" s="313"/>
      <c r="AF2" s="698"/>
      <c r="AG2" s="313"/>
      <c r="AH2" s="313"/>
      <c r="AI2" s="313"/>
      <c r="AM2" s="489"/>
      <c r="AN2" s="489"/>
      <c r="AO2" s="489"/>
      <c r="AP2" s="489"/>
      <c r="AQ2" s="489"/>
      <c r="AS2" s="990"/>
      <c r="AT2" s="990"/>
      <c r="AU2" s="990"/>
      <c r="AV2" s="990"/>
      <c r="AW2" s="990"/>
      <c r="AX2" s="990"/>
      <c r="AY2" s="990"/>
      <c r="AZ2" s="990"/>
      <c r="BA2" s="990"/>
      <c r="BB2" s="990"/>
      <c r="BC2" s="990"/>
      <c r="BD2" s="990"/>
      <c r="BE2" s="697"/>
      <c r="BF2" s="698"/>
      <c r="BG2" s="313"/>
      <c r="BH2" s="313"/>
      <c r="BI2" s="313"/>
      <c r="BR2" s="2135"/>
      <c r="BS2" s="2136"/>
      <c r="BT2" s="313"/>
      <c r="BU2" s="313"/>
      <c r="BV2" s="313"/>
      <c r="CE2" s="2135"/>
      <c r="CF2" s="2136"/>
      <c r="CG2" s="313"/>
      <c r="CH2" s="313"/>
      <c r="CI2" s="313"/>
    </row>
    <row r="3" spans="2:95" s="120" customFormat="1">
      <c r="B3" s="3441" t="s">
        <v>275</v>
      </c>
      <c r="C3" s="3441"/>
      <c r="D3" s="3442"/>
      <c r="E3" s="3435" t="s">
        <v>364</v>
      </c>
      <c r="F3" s="3436"/>
      <c r="G3" s="3436"/>
      <c r="H3" s="3436"/>
      <c r="I3" s="3436"/>
      <c r="J3" s="3436"/>
      <c r="K3" s="3436"/>
      <c r="L3" s="3436"/>
      <c r="M3" s="3436"/>
      <c r="N3" s="3436"/>
      <c r="O3" s="3436"/>
      <c r="P3" s="3436"/>
      <c r="Q3" s="3436"/>
      <c r="R3" s="3310" t="s">
        <v>377</v>
      </c>
      <c r="S3" s="3310"/>
      <c r="T3" s="3310"/>
      <c r="U3" s="3310"/>
      <c r="V3" s="3310"/>
      <c r="W3" s="3310"/>
      <c r="X3" s="3310"/>
      <c r="Y3" s="3310"/>
      <c r="Z3" s="3310"/>
      <c r="AA3" s="3310"/>
      <c r="AB3" s="3310"/>
      <c r="AC3" s="3310"/>
      <c r="AD3" s="3310"/>
      <c r="AE3" s="3310" t="s">
        <v>399</v>
      </c>
      <c r="AF3" s="3310"/>
      <c r="AG3" s="3310"/>
      <c r="AH3" s="3310"/>
      <c r="AI3" s="3310"/>
      <c r="AJ3" s="3310"/>
      <c r="AK3" s="3310"/>
      <c r="AL3" s="3310"/>
      <c r="AM3" s="3310"/>
      <c r="AN3" s="3310"/>
      <c r="AO3" s="3310"/>
      <c r="AP3" s="3310"/>
      <c r="AQ3" s="3310"/>
      <c r="AR3" s="3310" t="s">
        <v>428</v>
      </c>
      <c r="AS3" s="3310"/>
      <c r="AT3" s="3310"/>
      <c r="AU3" s="3310"/>
      <c r="AV3" s="3310"/>
      <c r="AW3" s="3310"/>
      <c r="AX3" s="3310"/>
      <c r="AY3" s="3310"/>
      <c r="AZ3" s="3310"/>
      <c r="BA3" s="3310"/>
      <c r="BB3" s="3310"/>
      <c r="BC3" s="3310"/>
      <c r="BD3" s="3310"/>
      <c r="BE3" s="3310" t="s">
        <v>468</v>
      </c>
      <c r="BF3" s="3310"/>
      <c r="BG3" s="3310"/>
      <c r="BH3" s="3310"/>
      <c r="BI3" s="3310"/>
      <c r="BJ3" s="3310"/>
      <c r="BK3" s="3310"/>
      <c r="BL3" s="3310"/>
      <c r="BM3" s="3310"/>
      <c r="BN3" s="3310"/>
      <c r="BO3" s="3310"/>
      <c r="BP3" s="3310"/>
      <c r="BQ3" s="3310"/>
      <c r="BR3" s="3310" t="s">
        <v>849</v>
      </c>
      <c r="BS3" s="3310"/>
      <c r="BT3" s="3310"/>
      <c r="BU3" s="3310"/>
      <c r="BV3" s="3310"/>
      <c r="BW3" s="3310"/>
      <c r="BX3" s="3310"/>
      <c r="BY3" s="3310"/>
      <c r="BZ3" s="3310"/>
      <c r="CA3" s="3310"/>
      <c r="CB3" s="3310"/>
      <c r="CC3" s="3310"/>
      <c r="CD3" s="3385"/>
      <c r="CE3" s="3259" t="s">
        <v>699</v>
      </c>
      <c r="CF3" s="3259"/>
      <c r="CG3" s="3259"/>
      <c r="CH3" s="3259"/>
      <c r="CI3" s="3259"/>
      <c r="CJ3" s="3259"/>
      <c r="CK3" s="3259"/>
      <c r="CL3" s="3259"/>
      <c r="CM3" s="3259"/>
      <c r="CN3" s="3259"/>
      <c r="CO3" s="3259"/>
      <c r="CP3" s="3259"/>
      <c r="CQ3" s="3259"/>
    </row>
    <row r="4" spans="2:95" s="120" customFormat="1">
      <c r="B4" s="3443"/>
      <c r="C4" s="3443"/>
      <c r="D4" s="3444"/>
      <c r="E4" s="260" t="s">
        <v>365</v>
      </c>
      <c r="F4" s="261" t="s">
        <v>366</v>
      </c>
      <c r="G4" s="247" t="s">
        <v>367</v>
      </c>
      <c r="H4" s="247" t="s">
        <v>4</v>
      </c>
      <c r="I4" s="247" t="s">
        <v>5</v>
      </c>
      <c r="J4" s="247" t="s">
        <v>6</v>
      </c>
      <c r="K4" s="247" t="s">
        <v>7</v>
      </c>
      <c r="L4" s="247" t="s">
        <v>8</v>
      </c>
      <c r="M4" s="247" t="s">
        <v>9</v>
      </c>
      <c r="N4" s="247" t="s">
        <v>10</v>
      </c>
      <c r="O4" s="247" t="s">
        <v>11</v>
      </c>
      <c r="P4" s="247" t="s">
        <v>12</v>
      </c>
      <c r="Q4" s="248" t="s">
        <v>13</v>
      </c>
      <c r="R4" s="260" t="s">
        <v>117</v>
      </c>
      <c r="S4" s="261" t="s">
        <v>118</v>
      </c>
      <c r="T4" s="247" t="s">
        <v>119</v>
      </c>
      <c r="U4" s="247" t="s">
        <v>4</v>
      </c>
      <c r="V4" s="247" t="s">
        <v>5</v>
      </c>
      <c r="W4" s="247" t="s">
        <v>6</v>
      </c>
      <c r="X4" s="247" t="s">
        <v>7</v>
      </c>
      <c r="Y4" s="247" t="s">
        <v>8</v>
      </c>
      <c r="Z4" s="247" t="s">
        <v>9</v>
      </c>
      <c r="AA4" s="247" t="s">
        <v>10</v>
      </c>
      <c r="AB4" s="247" t="s">
        <v>11</v>
      </c>
      <c r="AC4" s="247" t="s">
        <v>12</v>
      </c>
      <c r="AD4" s="248" t="s">
        <v>13</v>
      </c>
      <c r="AE4" s="260" t="s">
        <v>117</v>
      </c>
      <c r="AF4" s="261" t="s">
        <v>118</v>
      </c>
      <c r="AG4" s="247" t="s">
        <v>119</v>
      </c>
      <c r="AH4" s="247" t="s">
        <v>4</v>
      </c>
      <c r="AI4" s="247" t="s">
        <v>5</v>
      </c>
      <c r="AJ4" s="247" t="s">
        <v>6</v>
      </c>
      <c r="AK4" s="247" t="s">
        <v>7</v>
      </c>
      <c r="AL4" s="247" t="s">
        <v>8</v>
      </c>
      <c r="AM4" s="247" t="s">
        <v>9</v>
      </c>
      <c r="AN4" s="247" t="s">
        <v>10</v>
      </c>
      <c r="AO4" s="247" t="s">
        <v>11</v>
      </c>
      <c r="AP4" s="247" t="s">
        <v>12</v>
      </c>
      <c r="AQ4" s="248" t="s">
        <v>13</v>
      </c>
      <c r="AR4" s="260" t="s">
        <v>1</v>
      </c>
      <c r="AS4" s="261" t="s">
        <v>2</v>
      </c>
      <c r="AT4" s="247" t="s">
        <v>119</v>
      </c>
      <c r="AU4" s="247" t="s">
        <v>4</v>
      </c>
      <c r="AV4" s="247" t="s">
        <v>5</v>
      </c>
      <c r="AW4" s="247" t="s">
        <v>6</v>
      </c>
      <c r="AX4" s="247" t="s">
        <v>7</v>
      </c>
      <c r="AY4" s="247" t="s">
        <v>8</v>
      </c>
      <c r="AZ4" s="247" t="s">
        <v>9</v>
      </c>
      <c r="BA4" s="247" t="s">
        <v>10</v>
      </c>
      <c r="BB4" s="247" t="s">
        <v>11</v>
      </c>
      <c r="BC4" s="247" t="s">
        <v>12</v>
      </c>
      <c r="BD4" s="248" t="s">
        <v>13</v>
      </c>
      <c r="BE4" s="260" t="s">
        <v>1</v>
      </c>
      <c r="BF4" s="261" t="s">
        <v>2</v>
      </c>
      <c r="BG4" s="247" t="s">
        <v>3</v>
      </c>
      <c r="BH4" s="247" t="s">
        <v>4</v>
      </c>
      <c r="BI4" s="247" t="s">
        <v>5</v>
      </c>
      <c r="BJ4" s="247" t="s">
        <v>6</v>
      </c>
      <c r="BK4" s="247" t="s">
        <v>7</v>
      </c>
      <c r="BL4" s="247" t="s">
        <v>8</v>
      </c>
      <c r="BM4" s="247" t="s">
        <v>9</v>
      </c>
      <c r="BN4" s="247" t="s">
        <v>10</v>
      </c>
      <c r="BO4" s="247" t="s">
        <v>11</v>
      </c>
      <c r="BP4" s="247" t="s">
        <v>12</v>
      </c>
      <c r="BQ4" s="248" t="s">
        <v>13</v>
      </c>
      <c r="BR4" s="260" t="s">
        <v>1</v>
      </c>
      <c r="BS4" s="261" t="s">
        <v>2</v>
      </c>
      <c r="BT4" s="247" t="s">
        <v>3</v>
      </c>
      <c r="BU4" s="247" t="s">
        <v>4</v>
      </c>
      <c r="BV4" s="247" t="s">
        <v>5</v>
      </c>
      <c r="BW4" s="247" t="s">
        <v>6</v>
      </c>
      <c r="BX4" s="247" t="s">
        <v>7</v>
      </c>
      <c r="BY4" s="247" t="s">
        <v>847</v>
      </c>
      <c r="BZ4" s="247" t="s">
        <v>848</v>
      </c>
      <c r="CA4" s="247" t="s">
        <v>506</v>
      </c>
      <c r="CB4" s="247" t="s">
        <v>505</v>
      </c>
      <c r="CC4" s="247" t="s">
        <v>441</v>
      </c>
      <c r="CD4" s="248" t="s">
        <v>442</v>
      </c>
      <c r="CE4" s="2560" t="s">
        <v>1</v>
      </c>
      <c r="CF4" s="2561" t="s">
        <v>711</v>
      </c>
      <c r="CG4" s="2531" t="s">
        <v>709</v>
      </c>
      <c r="CH4" s="2531" t="s">
        <v>707</v>
      </c>
      <c r="CI4" s="2531" t="s">
        <v>705</v>
      </c>
      <c r="CJ4" s="2531" t="s">
        <v>703</v>
      </c>
      <c r="CK4" s="2531" t="s">
        <v>701</v>
      </c>
      <c r="CL4" s="2531" t="s">
        <v>688</v>
      </c>
      <c r="CM4" s="2531" t="s">
        <v>690</v>
      </c>
      <c r="CN4" s="2531" t="s">
        <v>692</v>
      </c>
      <c r="CO4" s="2531" t="s">
        <v>694</v>
      </c>
      <c r="CP4" s="2531" t="s">
        <v>696</v>
      </c>
      <c r="CQ4" s="2532" t="s">
        <v>698</v>
      </c>
    </row>
    <row r="5" spans="2:95">
      <c r="B5" s="3438" t="s">
        <v>322</v>
      </c>
      <c r="C5" s="3437" t="s">
        <v>269</v>
      </c>
      <c r="D5" s="148" t="s">
        <v>272</v>
      </c>
      <c r="E5" s="266"/>
      <c r="F5" s="267">
        <v>2695406781</v>
      </c>
      <c r="G5" s="267">
        <v>2695406781</v>
      </c>
      <c r="H5" s="267">
        <v>2695406781</v>
      </c>
      <c r="I5" s="267">
        <v>2695406781</v>
      </c>
      <c r="J5" s="267">
        <v>1191529145</v>
      </c>
      <c r="K5" s="267">
        <v>1191529145</v>
      </c>
      <c r="L5" s="267">
        <v>1191529145</v>
      </c>
      <c r="M5" s="267">
        <v>1158532145</v>
      </c>
      <c r="N5" s="267">
        <v>1158532145</v>
      </c>
      <c r="O5" s="267">
        <v>118349545</v>
      </c>
      <c r="P5" s="267">
        <v>118349545</v>
      </c>
      <c r="Q5" s="267">
        <v>0</v>
      </c>
      <c r="R5" s="266"/>
      <c r="S5" s="267">
        <f>Q8</f>
        <v>0</v>
      </c>
      <c r="T5" s="267">
        <f>S8</f>
        <v>0</v>
      </c>
      <c r="U5" s="267">
        <f t="shared" ref="U5:Z5" si="0">T8</f>
        <v>0</v>
      </c>
      <c r="V5" s="267">
        <f t="shared" si="0"/>
        <v>0</v>
      </c>
      <c r="W5" s="267">
        <f t="shared" si="0"/>
        <v>0</v>
      </c>
      <c r="X5" s="267">
        <f t="shared" si="0"/>
        <v>0</v>
      </c>
      <c r="Y5" s="267">
        <f t="shared" si="0"/>
        <v>0</v>
      </c>
      <c r="Z5" s="267">
        <f t="shared" si="0"/>
        <v>0</v>
      </c>
      <c r="AA5" s="267"/>
      <c r="AB5" s="267"/>
      <c r="AC5" s="267"/>
      <c r="AD5" s="267"/>
      <c r="AE5" s="266"/>
      <c r="AF5" s="267">
        <v>0</v>
      </c>
      <c r="AG5" s="267">
        <v>0</v>
      </c>
      <c r="AH5" s="267">
        <v>0</v>
      </c>
      <c r="AI5" s="267">
        <v>0</v>
      </c>
      <c r="AJ5" s="267">
        <v>0</v>
      </c>
      <c r="AK5" s="267">
        <v>0</v>
      </c>
      <c r="AL5" s="267">
        <v>0</v>
      </c>
      <c r="AM5" s="267">
        <v>0</v>
      </c>
      <c r="AN5" s="267">
        <v>0</v>
      </c>
      <c r="AO5" s="267">
        <v>0</v>
      </c>
      <c r="AP5" s="267">
        <v>0</v>
      </c>
      <c r="AQ5" s="267">
        <v>0</v>
      </c>
      <c r="AR5" s="266"/>
      <c r="AS5" s="267"/>
      <c r="AT5" s="267"/>
      <c r="AU5" s="267"/>
      <c r="AV5" s="267"/>
      <c r="AW5" s="267"/>
      <c r="AX5" s="267"/>
      <c r="AY5" s="267"/>
      <c r="AZ5" s="267"/>
      <c r="BA5" s="267"/>
      <c r="BB5" s="267"/>
      <c r="BC5" s="267"/>
      <c r="BD5" s="267"/>
      <c r="BE5" s="266"/>
      <c r="BF5" s="267">
        <v>0</v>
      </c>
      <c r="BG5" s="267">
        <v>0</v>
      </c>
      <c r="BH5" s="267">
        <v>0</v>
      </c>
      <c r="BI5" s="267">
        <v>0</v>
      </c>
      <c r="BJ5" s="267">
        <v>0</v>
      </c>
      <c r="BK5" s="267">
        <v>0</v>
      </c>
      <c r="BL5" s="267">
        <v>0</v>
      </c>
      <c r="BM5" s="267">
        <v>0</v>
      </c>
      <c r="BN5" s="267">
        <v>0</v>
      </c>
      <c r="BO5" s="267">
        <v>0</v>
      </c>
      <c r="BP5" s="267">
        <v>0</v>
      </c>
      <c r="BQ5" s="267">
        <v>0</v>
      </c>
      <c r="BR5" s="266"/>
      <c r="BS5" s="2137"/>
      <c r="BT5" s="2137"/>
      <c r="BU5" s="2137"/>
      <c r="BV5" s="2137"/>
      <c r="BW5" s="2137"/>
      <c r="BX5" s="2137"/>
      <c r="BY5" s="2137"/>
      <c r="BZ5" s="2137"/>
      <c r="CA5" s="2137"/>
      <c r="CB5" s="2137"/>
      <c r="CC5" s="2137"/>
      <c r="CD5" s="2137"/>
      <c r="CE5" s="266"/>
      <c r="CF5" s="2137"/>
      <c r="CG5" s="2137"/>
      <c r="CH5" s="2137"/>
      <c r="CI5" s="2137"/>
      <c r="CJ5" s="2137"/>
      <c r="CK5" s="2137"/>
      <c r="CL5" s="2137"/>
      <c r="CM5" s="2137"/>
      <c r="CN5" s="2137"/>
      <c r="CO5" s="2137"/>
      <c r="CP5" s="2137"/>
      <c r="CQ5" s="2137"/>
    </row>
    <row r="6" spans="2:95">
      <c r="B6" s="3445"/>
      <c r="C6" s="3439"/>
      <c r="D6" s="285" t="s">
        <v>265</v>
      </c>
      <c r="E6" s="262">
        <f>SUM(F6:Q6)</f>
        <v>8350000</v>
      </c>
      <c r="F6" s="329"/>
      <c r="G6" s="329"/>
      <c r="H6" s="329"/>
      <c r="I6" s="329">
        <v>8350000</v>
      </c>
      <c r="J6" s="329"/>
      <c r="K6" s="329"/>
      <c r="L6" s="329"/>
      <c r="M6" s="329"/>
      <c r="N6" s="329"/>
      <c r="O6" s="329"/>
      <c r="P6" s="555"/>
      <c r="Q6" s="555"/>
      <c r="R6" s="262">
        <f>SUM(S6:AD6)</f>
        <v>0</v>
      </c>
      <c r="S6" s="555"/>
      <c r="T6" s="555"/>
      <c r="U6" s="555"/>
      <c r="V6" s="555"/>
      <c r="W6" s="555"/>
      <c r="X6" s="555"/>
      <c r="Y6" s="555"/>
      <c r="Z6" s="555"/>
      <c r="AA6" s="555"/>
      <c r="AB6" s="555"/>
      <c r="AC6" s="555"/>
      <c r="AD6" s="555"/>
      <c r="AE6" s="262">
        <f>SUM(AF6:AQ6)</f>
        <v>11550000</v>
      </c>
      <c r="AF6" s="555"/>
      <c r="AG6" s="555"/>
      <c r="AH6" s="555"/>
      <c r="AI6" s="555"/>
      <c r="AJ6" s="555">
        <v>3550000</v>
      </c>
      <c r="AK6" s="555"/>
      <c r="AL6" s="555"/>
      <c r="AM6" s="555"/>
      <c r="AN6" s="555"/>
      <c r="AO6" s="555"/>
      <c r="AP6" s="555">
        <v>8000000</v>
      </c>
      <c r="AQ6" s="555"/>
      <c r="AR6" s="262">
        <f>SUM(AS6:BD6)</f>
        <v>0</v>
      </c>
      <c r="AS6" s="555"/>
      <c r="AT6" s="555"/>
      <c r="AU6" s="555"/>
      <c r="AV6" s="555"/>
      <c r="AW6" s="555"/>
      <c r="AX6" s="555"/>
      <c r="AY6" s="555"/>
      <c r="AZ6" s="555"/>
      <c r="BA6" s="555"/>
      <c r="BB6" s="555"/>
      <c r="BC6" s="555"/>
      <c r="BD6" s="555"/>
      <c r="BE6" s="262">
        <f>SUM(BF6:BQ6)</f>
        <v>0</v>
      </c>
      <c r="BF6" s="555"/>
      <c r="BG6" s="555"/>
      <c r="BH6" s="555"/>
      <c r="BI6" s="555"/>
      <c r="BJ6" s="555"/>
      <c r="BK6" s="555"/>
      <c r="BL6" s="555"/>
      <c r="BM6" s="555"/>
      <c r="BN6" s="555"/>
      <c r="BO6" s="555"/>
      <c r="BP6" s="555"/>
      <c r="BQ6" s="555"/>
      <c r="BR6" s="262">
        <f>SUM(BS6:CD6)</f>
        <v>0</v>
      </c>
      <c r="BS6" s="2998"/>
      <c r="BT6" s="2998"/>
      <c r="BU6" s="2998"/>
      <c r="BV6" s="2998"/>
      <c r="BW6" s="2998"/>
      <c r="BX6" s="2998"/>
      <c r="BY6" s="2998"/>
      <c r="BZ6" s="2998"/>
      <c r="CA6" s="2998"/>
      <c r="CB6" s="2998"/>
      <c r="CC6" s="2998"/>
      <c r="CD6" s="2998"/>
      <c r="CE6" s="262">
        <f>SUM(CF6:CQ6)</f>
        <v>0</v>
      </c>
      <c r="CF6" s="2138"/>
      <c r="CG6" s="2138"/>
      <c r="CH6" s="2138"/>
      <c r="CI6" s="2138"/>
      <c r="CJ6" s="2138"/>
      <c r="CK6" s="2138"/>
      <c r="CL6" s="2138"/>
      <c r="CM6" s="2138"/>
      <c r="CN6" s="2138"/>
      <c r="CO6" s="2138"/>
      <c r="CP6" s="2138"/>
      <c r="CQ6" s="2138"/>
    </row>
    <row r="7" spans="2:95">
      <c r="B7" s="3445"/>
      <c r="C7" s="3439"/>
      <c r="D7" s="286" t="s">
        <v>266</v>
      </c>
      <c r="E7" s="263">
        <f>SUM(F7:Q7)</f>
        <v>2585407236</v>
      </c>
      <c r="F7" s="330"/>
      <c r="G7" s="330"/>
      <c r="H7" s="330"/>
      <c r="I7" s="330">
        <v>1512227636</v>
      </c>
      <c r="J7" s="330"/>
      <c r="K7" s="330"/>
      <c r="L7" s="330">
        <v>32997000</v>
      </c>
      <c r="M7" s="330"/>
      <c r="N7" s="330">
        <v>1040182600</v>
      </c>
      <c r="O7" s="330"/>
      <c r="P7" s="373"/>
      <c r="Q7" s="373"/>
      <c r="R7" s="263">
        <f>SUM(S7:AD7)</f>
        <v>0</v>
      </c>
      <c r="S7" s="373"/>
      <c r="T7" s="373"/>
      <c r="U7" s="373"/>
      <c r="V7" s="373"/>
      <c r="W7" s="373"/>
      <c r="X7" s="373"/>
      <c r="Y7" s="373"/>
      <c r="Z7" s="373"/>
      <c r="AA7" s="373"/>
      <c r="AB7" s="373"/>
      <c r="AC7" s="373"/>
      <c r="AD7" s="373"/>
      <c r="AE7" s="263">
        <f>SUM(AF7:AQ7)</f>
        <v>0</v>
      </c>
      <c r="AF7" s="373"/>
      <c r="AG7" s="373"/>
      <c r="AH7" s="373"/>
      <c r="AI7" s="373"/>
      <c r="AJ7" s="373"/>
      <c r="AK7" s="373"/>
      <c r="AL7" s="373"/>
      <c r="AM7" s="373"/>
      <c r="AN7" s="373"/>
      <c r="AO7" s="373"/>
      <c r="AP7" s="373"/>
      <c r="AQ7" s="373"/>
      <c r="AR7" s="263">
        <f>SUM(AS7:BD7)</f>
        <v>0</v>
      </c>
      <c r="AS7" s="373"/>
      <c r="AT7" s="373"/>
      <c r="AU7" s="373"/>
      <c r="AV7" s="373"/>
      <c r="AW7" s="373"/>
      <c r="AX7" s="373"/>
      <c r="AY7" s="373"/>
      <c r="AZ7" s="373"/>
      <c r="BA7" s="373"/>
      <c r="BB7" s="373"/>
      <c r="BC7" s="373"/>
      <c r="BD7" s="373"/>
      <c r="BE7" s="263">
        <f>SUM(BF7:BQ7)</f>
        <v>0</v>
      </c>
      <c r="BF7" s="373"/>
      <c r="BG7" s="373"/>
      <c r="BH7" s="373"/>
      <c r="BI7" s="373"/>
      <c r="BJ7" s="373"/>
      <c r="BK7" s="373"/>
      <c r="BL7" s="373"/>
      <c r="BM7" s="373"/>
      <c r="BN7" s="373"/>
      <c r="BO7" s="373"/>
      <c r="BP7" s="373"/>
      <c r="BQ7" s="373"/>
      <c r="BR7" s="263">
        <f>SUM(BS7:CD7)</f>
        <v>0</v>
      </c>
      <c r="BS7" s="2999"/>
      <c r="BT7" s="2999"/>
      <c r="BU7" s="2999"/>
      <c r="BV7" s="2999"/>
      <c r="BW7" s="2999"/>
      <c r="BX7" s="2999"/>
      <c r="BY7" s="2999"/>
      <c r="BZ7" s="2999"/>
      <c r="CA7" s="2999"/>
      <c r="CB7" s="2999"/>
      <c r="CC7" s="2999"/>
      <c r="CD7" s="2999"/>
      <c r="CE7" s="263">
        <f>SUM(CF7:CQ7)</f>
        <v>0</v>
      </c>
      <c r="CF7" s="2139"/>
      <c r="CG7" s="2139"/>
      <c r="CH7" s="2139"/>
      <c r="CI7" s="2139"/>
      <c r="CJ7" s="2139"/>
      <c r="CK7" s="2139"/>
      <c r="CL7" s="2139"/>
      <c r="CM7" s="2139"/>
      <c r="CN7" s="2139"/>
      <c r="CO7" s="2139"/>
      <c r="CP7" s="2139"/>
      <c r="CQ7" s="2139"/>
    </row>
    <row r="8" spans="2:95">
      <c r="B8" s="3445"/>
      <c r="C8" s="3439"/>
      <c r="D8" s="146" t="s">
        <v>267</v>
      </c>
      <c r="E8" s="263"/>
      <c r="F8" s="373">
        <v>2695406781</v>
      </c>
      <c r="G8" s="373">
        <v>2695406781</v>
      </c>
      <c r="H8" s="373">
        <v>2695406781</v>
      </c>
      <c r="I8" s="373">
        <v>1191529145</v>
      </c>
      <c r="J8" s="373">
        <v>1191529145</v>
      </c>
      <c r="K8" s="373">
        <v>1191529145</v>
      </c>
      <c r="L8" s="373">
        <v>1158532145</v>
      </c>
      <c r="M8" s="373">
        <v>1158532145</v>
      </c>
      <c r="N8" s="650">
        <v>118349545</v>
      </c>
      <c r="O8" s="650">
        <v>118349545</v>
      </c>
      <c r="P8" s="373"/>
      <c r="Q8" s="650">
        <v>0</v>
      </c>
      <c r="R8" s="263"/>
      <c r="S8" s="650"/>
      <c r="T8" s="650"/>
      <c r="U8" s="650"/>
      <c r="V8" s="650"/>
      <c r="W8" s="650"/>
      <c r="X8" s="650"/>
      <c r="Y8" s="650"/>
      <c r="Z8" s="650"/>
      <c r="AA8" s="650"/>
      <c r="AB8" s="650"/>
      <c r="AC8" s="650"/>
      <c r="AD8" s="650"/>
      <c r="AE8" s="263"/>
      <c r="AF8" s="650"/>
      <c r="AG8" s="650"/>
      <c r="AH8" s="650"/>
      <c r="AI8" s="650"/>
      <c r="AJ8" s="650"/>
      <c r="AK8" s="650"/>
      <c r="AL8" s="650"/>
      <c r="AM8" s="650"/>
      <c r="AN8" s="650"/>
      <c r="AO8" s="650"/>
      <c r="AP8" s="650"/>
      <c r="AQ8" s="650"/>
      <c r="AR8" s="263"/>
      <c r="AS8" s="650"/>
      <c r="AT8" s="650"/>
      <c r="AU8" s="650"/>
      <c r="AV8" s="650"/>
      <c r="AW8" s="650"/>
      <c r="AX8" s="650"/>
      <c r="AY8" s="650"/>
      <c r="AZ8" s="650"/>
      <c r="BA8" s="650"/>
      <c r="BB8" s="650"/>
      <c r="BC8" s="650"/>
      <c r="BD8" s="650"/>
      <c r="BE8" s="263"/>
      <c r="BF8" s="650"/>
      <c r="BG8" s="650"/>
      <c r="BH8" s="650"/>
      <c r="BI8" s="650"/>
      <c r="BJ8" s="650"/>
      <c r="BK8" s="650"/>
      <c r="BL8" s="650"/>
      <c r="BM8" s="650"/>
      <c r="BN8" s="650"/>
      <c r="BO8" s="650"/>
      <c r="BP8" s="650"/>
      <c r="BQ8" s="650"/>
      <c r="BR8" s="263"/>
      <c r="BS8" s="3000"/>
      <c r="BT8" s="3000"/>
      <c r="BU8" s="3000"/>
      <c r="BV8" s="3000"/>
      <c r="BW8" s="3000"/>
      <c r="BX8" s="3000"/>
      <c r="BY8" s="3000"/>
      <c r="BZ8" s="3000"/>
      <c r="CA8" s="3000"/>
      <c r="CB8" s="3000"/>
      <c r="CC8" s="3000"/>
      <c r="CD8" s="3000"/>
      <c r="CE8" s="263"/>
      <c r="CF8" s="2300"/>
      <c r="CG8" s="2300"/>
      <c r="CH8" s="2300"/>
      <c r="CI8" s="2300"/>
      <c r="CJ8" s="2300"/>
      <c r="CK8" s="2300"/>
      <c r="CL8" s="2300"/>
      <c r="CM8" s="2300"/>
      <c r="CN8" s="2300"/>
      <c r="CO8" s="2300"/>
      <c r="CP8" s="2300"/>
      <c r="CQ8" s="2300"/>
    </row>
    <row r="9" spans="2:95">
      <c r="B9" s="3445"/>
      <c r="C9" s="3439"/>
      <c r="D9" s="284" t="s">
        <v>288</v>
      </c>
      <c r="E9" s="263"/>
      <c r="F9" s="373">
        <v>1350867441</v>
      </c>
      <c r="G9" s="373">
        <v>1407429801</v>
      </c>
      <c r="H9" s="373">
        <v>1532736621</v>
      </c>
      <c r="I9" s="373">
        <v>93680885</v>
      </c>
      <c r="J9" s="373">
        <v>158004545</v>
      </c>
      <c r="K9" s="373">
        <v>195506525</v>
      </c>
      <c r="L9" s="373">
        <v>219393545</v>
      </c>
      <c r="M9" s="373">
        <v>244061105</v>
      </c>
      <c r="N9" s="650">
        <v>31915105</v>
      </c>
      <c r="O9" s="650">
        <v>31915105</v>
      </c>
      <c r="P9" s="373"/>
      <c r="Q9" s="650">
        <v>0</v>
      </c>
      <c r="R9" s="263"/>
      <c r="S9" s="650"/>
      <c r="T9" s="650"/>
      <c r="U9" s="650"/>
      <c r="V9" s="650"/>
      <c r="W9" s="650"/>
      <c r="X9" s="650"/>
      <c r="Y9" s="650"/>
      <c r="Z9" s="650"/>
      <c r="AA9" s="650"/>
      <c r="AB9" s="650"/>
      <c r="AC9" s="650"/>
      <c r="AD9" s="650"/>
      <c r="AE9" s="263"/>
      <c r="AF9" s="650"/>
      <c r="AG9" s="650"/>
      <c r="AH9" s="650"/>
      <c r="AI9" s="650"/>
      <c r="AJ9" s="650"/>
      <c r="AK9" s="650"/>
      <c r="AL9" s="650"/>
      <c r="AM9" s="650"/>
      <c r="AN9" s="650"/>
      <c r="AO9" s="650"/>
      <c r="AP9" s="650"/>
      <c r="AQ9" s="650"/>
      <c r="AR9" s="263"/>
      <c r="AS9" s="650"/>
      <c r="AT9" s="650"/>
      <c r="AU9" s="650"/>
      <c r="AV9" s="650"/>
      <c r="AW9" s="650"/>
      <c r="AX9" s="650"/>
      <c r="AY9" s="650"/>
      <c r="AZ9" s="650"/>
      <c r="BA9" s="650"/>
      <c r="BB9" s="650"/>
      <c r="BC9" s="650"/>
      <c r="BD9" s="650"/>
      <c r="BE9" s="263"/>
      <c r="BF9" s="650"/>
      <c r="BG9" s="650"/>
      <c r="BH9" s="650"/>
      <c r="BI9" s="650"/>
      <c r="BJ9" s="650"/>
      <c r="BK9" s="650"/>
      <c r="BL9" s="650"/>
      <c r="BM9" s="650"/>
      <c r="BN9" s="650"/>
      <c r="BO9" s="650"/>
      <c r="BP9" s="650"/>
      <c r="BQ9" s="650"/>
      <c r="BR9" s="263"/>
      <c r="BS9" s="3000"/>
      <c r="BT9" s="3000"/>
      <c r="BU9" s="3000"/>
      <c r="BV9" s="3000"/>
      <c r="BW9" s="3000"/>
      <c r="BX9" s="3000"/>
      <c r="BY9" s="3000"/>
      <c r="BZ9" s="3000"/>
      <c r="CA9" s="3000"/>
      <c r="CB9" s="3000"/>
      <c r="CC9" s="3000"/>
      <c r="CD9" s="3000"/>
      <c r="CE9" s="263"/>
      <c r="CF9" s="2300"/>
      <c r="CG9" s="2300"/>
      <c r="CH9" s="2300"/>
      <c r="CI9" s="2300"/>
      <c r="CJ9" s="2300"/>
      <c r="CK9" s="2300"/>
      <c r="CL9" s="2300"/>
      <c r="CM9" s="2300"/>
      <c r="CN9" s="2300"/>
      <c r="CO9" s="2300"/>
      <c r="CP9" s="2300"/>
      <c r="CQ9" s="2300"/>
    </row>
    <row r="10" spans="2:95">
      <c r="B10" s="3445"/>
      <c r="C10" s="3439"/>
      <c r="D10" s="284" t="s">
        <v>289</v>
      </c>
      <c r="E10" s="263"/>
      <c r="F10" s="330">
        <v>1344539340</v>
      </c>
      <c r="G10" s="330">
        <v>1287976980</v>
      </c>
      <c r="H10" s="330">
        <v>1162670160</v>
      </c>
      <c r="I10" s="330">
        <v>1097848260</v>
      </c>
      <c r="J10" s="330">
        <v>1033524600</v>
      </c>
      <c r="K10" s="330">
        <v>996022620</v>
      </c>
      <c r="L10" s="330">
        <v>939138600</v>
      </c>
      <c r="M10" s="330">
        <v>914471040</v>
      </c>
      <c r="N10" s="433">
        <v>86434440</v>
      </c>
      <c r="O10" s="433">
        <v>86434440</v>
      </c>
      <c r="P10" s="373"/>
      <c r="Q10" s="650">
        <v>0</v>
      </c>
      <c r="R10" s="263"/>
      <c r="S10" s="650"/>
      <c r="T10" s="650"/>
      <c r="U10" s="650"/>
      <c r="V10" s="650"/>
      <c r="W10" s="650"/>
      <c r="X10" s="650"/>
      <c r="Y10" s="650"/>
      <c r="Z10" s="650"/>
      <c r="AA10" s="650"/>
      <c r="AB10" s="650"/>
      <c r="AC10" s="650"/>
      <c r="AD10" s="650"/>
      <c r="AE10" s="263"/>
      <c r="AF10" s="650"/>
      <c r="AG10" s="650"/>
      <c r="AH10" s="650"/>
      <c r="AI10" s="650"/>
      <c r="AJ10" s="650"/>
      <c r="AK10" s="650"/>
      <c r="AL10" s="650"/>
      <c r="AM10" s="650"/>
      <c r="AN10" s="650"/>
      <c r="AO10" s="650"/>
      <c r="AP10" s="650"/>
      <c r="AQ10" s="650"/>
      <c r="AR10" s="263"/>
      <c r="AS10" s="650"/>
      <c r="AT10" s="650"/>
      <c r="AU10" s="650"/>
      <c r="AV10" s="650"/>
      <c r="AW10" s="650"/>
      <c r="AX10" s="650"/>
      <c r="AY10" s="650"/>
      <c r="AZ10" s="650"/>
      <c r="BA10" s="650"/>
      <c r="BB10" s="650"/>
      <c r="BC10" s="650"/>
      <c r="BD10" s="650"/>
      <c r="BE10" s="263"/>
      <c r="BF10" s="650"/>
      <c r="BG10" s="650"/>
      <c r="BH10" s="650"/>
      <c r="BI10" s="650"/>
      <c r="BJ10" s="650"/>
      <c r="BK10" s="650"/>
      <c r="BL10" s="650"/>
      <c r="BM10" s="650"/>
      <c r="BN10" s="650"/>
      <c r="BO10" s="650"/>
      <c r="BP10" s="650"/>
      <c r="BQ10" s="650"/>
      <c r="BR10" s="263"/>
      <c r="BS10" s="3000"/>
      <c r="BT10" s="3000"/>
      <c r="BU10" s="3000"/>
      <c r="BV10" s="3000"/>
      <c r="BW10" s="3000"/>
      <c r="BX10" s="3000"/>
      <c r="BY10" s="3000"/>
      <c r="BZ10" s="3000"/>
      <c r="CA10" s="3000"/>
      <c r="CB10" s="3000"/>
      <c r="CC10" s="3000"/>
      <c r="CD10" s="3000"/>
      <c r="CE10" s="263"/>
      <c r="CF10" s="2300"/>
      <c r="CG10" s="2300"/>
      <c r="CH10" s="2300"/>
      <c r="CI10" s="2300"/>
      <c r="CJ10" s="2300"/>
      <c r="CK10" s="2300"/>
      <c r="CL10" s="2300"/>
      <c r="CM10" s="2300"/>
      <c r="CN10" s="2300"/>
      <c r="CO10" s="2300"/>
      <c r="CP10" s="2300"/>
      <c r="CQ10" s="2300"/>
    </row>
    <row r="11" spans="2:95">
      <c r="B11" s="3445"/>
      <c r="C11" s="3440"/>
      <c r="D11" s="147" t="s">
        <v>268</v>
      </c>
      <c r="E11" s="265">
        <f>SUM(F11:Q11)</f>
        <v>150863933</v>
      </c>
      <c r="F11" s="331">
        <v>22408989</v>
      </c>
      <c r="G11" s="331">
        <v>21466283</v>
      </c>
      <c r="H11" s="331">
        <v>19377836</v>
      </c>
      <c r="I11" s="613">
        <v>18297471</v>
      </c>
      <c r="J11" s="331">
        <v>17225410</v>
      </c>
      <c r="K11" s="331">
        <v>16600377</v>
      </c>
      <c r="L11" s="331">
        <v>15652310</v>
      </c>
      <c r="M11" s="331">
        <v>15241184</v>
      </c>
      <c r="N11" s="666">
        <v>1440574</v>
      </c>
      <c r="O11" s="666">
        <v>1440574</v>
      </c>
      <c r="P11" s="331">
        <v>1440579</v>
      </c>
      <c r="Q11" s="666">
        <v>272346</v>
      </c>
      <c r="R11" s="265">
        <f>SUM(S11:AD11)</f>
        <v>2068500</v>
      </c>
      <c r="S11" s="666">
        <v>271999</v>
      </c>
      <c r="T11" s="666">
        <f>S11</f>
        <v>271999</v>
      </c>
      <c r="U11" s="666">
        <v>272000</v>
      </c>
      <c r="V11" s="666">
        <v>139166</v>
      </c>
      <c r="W11" s="666">
        <v>139166</v>
      </c>
      <c r="X11" s="666">
        <v>139166</v>
      </c>
      <c r="Y11" s="666">
        <v>139166</v>
      </c>
      <c r="Z11" s="666">
        <v>139166</v>
      </c>
      <c r="AA11" s="666">
        <v>139166</v>
      </c>
      <c r="AB11" s="666">
        <v>139166</v>
      </c>
      <c r="AC11" s="666">
        <v>139166</v>
      </c>
      <c r="AD11" s="666">
        <v>139174</v>
      </c>
      <c r="AE11" s="265">
        <f>SUM(AF11:AQ11)</f>
        <v>2409999</v>
      </c>
      <c r="AF11" s="666">
        <v>139166</v>
      </c>
      <c r="AG11" s="666">
        <v>139166</v>
      </c>
      <c r="AH11" s="666">
        <v>139166</v>
      </c>
      <c r="AI11" s="666">
        <v>139166</v>
      </c>
      <c r="AJ11" s="666">
        <v>198332</v>
      </c>
      <c r="AK11" s="666">
        <v>198332</v>
      </c>
      <c r="AL11" s="666">
        <v>198332</v>
      </c>
      <c r="AM11" s="666">
        <v>198332</v>
      </c>
      <c r="AN11" s="666">
        <v>198332</v>
      </c>
      <c r="AO11" s="666">
        <v>198332</v>
      </c>
      <c r="AP11" s="666">
        <v>331665</v>
      </c>
      <c r="AQ11" s="666">
        <v>331678</v>
      </c>
      <c r="AR11" s="265">
        <f>SUM(AS11:BD11)</f>
        <v>3787489</v>
      </c>
      <c r="AS11" s="2133">
        <v>331665</v>
      </c>
      <c r="AT11" s="666">
        <v>331665</v>
      </c>
      <c r="AU11" s="666">
        <v>331665</v>
      </c>
      <c r="AV11" s="666">
        <v>331665</v>
      </c>
      <c r="AW11" s="666">
        <v>331665</v>
      </c>
      <c r="AX11" s="666">
        <v>331665</v>
      </c>
      <c r="AY11" s="666">
        <v>331665</v>
      </c>
      <c r="AZ11" s="666">
        <v>331665</v>
      </c>
      <c r="BA11" s="666">
        <v>331665</v>
      </c>
      <c r="BB11" s="666">
        <v>331665</v>
      </c>
      <c r="BC11" s="666">
        <v>331665</v>
      </c>
      <c r="BD11" s="666">
        <v>139174</v>
      </c>
      <c r="BE11" s="265">
        <f>SUM(BF11:BQ11)</f>
        <v>1670000</v>
      </c>
      <c r="BF11" s="2133">
        <v>139166</v>
      </c>
      <c r="BG11" s="2133">
        <v>139166</v>
      </c>
      <c r="BH11" s="2133">
        <v>139166</v>
      </c>
      <c r="BI11" s="2133">
        <v>139166</v>
      </c>
      <c r="BJ11" s="2133">
        <v>139166</v>
      </c>
      <c r="BK11" s="2133">
        <v>139166</v>
      </c>
      <c r="BL11" s="2133">
        <v>139166</v>
      </c>
      <c r="BM11" s="2133">
        <v>139166</v>
      </c>
      <c r="BN11" s="2133">
        <v>139166</v>
      </c>
      <c r="BO11" s="2133">
        <v>139166</v>
      </c>
      <c r="BP11" s="2133">
        <v>139166</v>
      </c>
      <c r="BQ11" s="2133">
        <v>139174</v>
      </c>
      <c r="BR11" s="265">
        <f>SUM(BS11:CD11)</f>
        <v>416500</v>
      </c>
      <c r="BS11" s="2997">
        <v>138833</v>
      </c>
      <c r="BT11" s="2997">
        <v>138833</v>
      </c>
      <c r="BU11" s="2997">
        <v>138834</v>
      </c>
      <c r="BV11" s="2997">
        <v>0</v>
      </c>
      <c r="BW11" s="2997">
        <v>0</v>
      </c>
      <c r="BX11" s="2997">
        <v>0</v>
      </c>
      <c r="BY11" s="2997">
        <v>0</v>
      </c>
      <c r="BZ11" s="2997">
        <v>0</v>
      </c>
      <c r="CA11" s="2997">
        <v>0</v>
      </c>
      <c r="CB11" s="2997">
        <v>0</v>
      </c>
      <c r="CC11" s="2997">
        <v>0</v>
      </c>
      <c r="CD11" s="2997">
        <v>0</v>
      </c>
      <c r="CE11" s="265">
        <f>SUM(CF11:CQ11)</f>
        <v>0</v>
      </c>
      <c r="CF11" s="2824">
        <f>CD11</f>
        <v>0</v>
      </c>
      <c r="CG11" s="2824">
        <f>CF11</f>
        <v>0</v>
      </c>
      <c r="CH11" s="2824">
        <f t="shared" ref="CH11:CQ11" si="1">CG11</f>
        <v>0</v>
      </c>
      <c r="CI11" s="2824">
        <f t="shared" si="1"/>
        <v>0</v>
      </c>
      <c r="CJ11" s="2824">
        <f t="shared" si="1"/>
        <v>0</v>
      </c>
      <c r="CK11" s="2824">
        <f t="shared" si="1"/>
        <v>0</v>
      </c>
      <c r="CL11" s="2824">
        <f t="shared" si="1"/>
        <v>0</v>
      </c>
      <c r="CM11" s="2824">
        <f t="shared" si="1"/>
        <v>0</v>
      </c>
      <c r="CN11" s="2824">
        <f t="shared" si="1"/>
        <v>0</v>
      </c>
      <c r="CO11" s="2824">
        <f t="shared" si="1"/>
        <v>0</v>
      </c>
      <c r="CP11" s="2824">
        <f t="shared" si="1"/>
        <v>0</v>
      </c>
      <c r="CQ11" s="2824">
        <f t="shared" si="1"/>
        <v>0</v>
      </c>
    </row>
    <row r="12" spans="2:95">
      <c r="B12" s="3445"/>
      <c r="C12" s="3437" t="s">
        <v>270</v>
      </c>
      <c r="D12" s="148" t="s">
        <v>273</v>
      </c>
      <c r="E12" s="266"/>
      <c r="F12" s="267">
        <v>12216036700</v>
      </c>
      <c r="G12" s="267">
        <v>12195271080</v>
      </c>
      <c r="H12" s="267">
        <v>12188151080</v>
      </c>
      <c r="I12" s="267">
        <v>12204037154</v>
      </c>
      <c r="J12" s="267">
        <v>12196327154</v>
      </c>
      <c r="K12" s="267">
        <v>12136247154</v>
      </c>
      <c r="L12" s="267">
        <v>12074984741</v>
      </c>
      <c r="M12" s="267">
        <v>10646415743</v>
      </c>
      <c r="N12" s="267">
        <v>10640996533</v>
      </c>
      <c r="O12" s="267">
        <v>10596479749</v>
      </c>
      <c r="P12" s="267">
        <v>10588691749</v>
      </c>
      <c r="Q12" s="267">
        <v>10566637943</v>
      </c>
      <c r="R12" s="266"/>
      <c r="S12" s="267"/>
      <c r="T12" s="267"/>
      <c r="U12" s="267"/>
      <c r="V12" s="267"/>
      <c r="W12" s="267"/>
      <c r="X12" s="267"/>
      <c r="Y12" s="267"/>
      <c r="Z12" s="267"/>
      <c r="AA12" s="267"/>
      <c r="AB12" s="267">
        <f>AA15</f>
        <v>9606271042.2000008</v>
      </c>
      <c r="AC12" s="267">
        <f t="shared" ref="AC12:AD12" si="2">AB15</f>
        <v>9624058042.2000008</v>
      </c>
      <c r="AD12" s="267">
        <f t="shared" si="2"/>
        <v>9624058042.2000008</v>
      </c>
      <c r="AE12" s="266"/>
      <c r="AF12" s="267">
        <f>AD15</f>
        <v>9624058042.2000008</v>
      </c>
      <c r="AG12" s="267">
        <f>AF15</f>
        <v>0</v>
      </c>
      <c r="AH12" s="267">
        <f t="shared" ref="AH12:AQ12" si="3">AG15</f>
        <v>0</v>
      </c>
      <c r="AI12" s="267">
        <f t="shared" si="3"/>
        <v>0</v>
      </c>
      <c r="AJ12" s="267">
        <f t="shared" si="3"/>
        <v>0</v>
      </c>
      <c r="AK12" s="267">
        <f t="shared" si="3"/>
        <v>0</v>
      </c>
      <c r="AL12" s="267">
        <f t="shared" si="3"/>
        <v>0</v>
      </c>
      <c r="AM12" s="267">
        <f t="shared" si="3"/>
        <v>0</v>
      </c>
      <c r="AN12" s="267">
        <f t="shared" si="3"/>
        <v>0</v>
      </c>
      <c r="AO12" s="267">
        <f t="shared" si="3"/>
        <v>0</v>
      </c>
      <c r="AP12" s="267">
        <f t="shared" si="3"/>
        <v>0</v>
      </c>
      <c r="AQ12" s="267">
        <f t="shared" si="3"/>
        <v>0</v>
      </c>
      <c r="AR12" s="266"/>
      <c r="AS12" s="267"/>
      <c r="AT12" s="267"/>
      <c r="AU12" s="267"/>
      <c r="AV12" s="267"/>
      <c r="AW12" s="267"/>
      <c r="AX12" s="267"/>
      <c r="AY12" s="267"/>
      <c r="AZ12" s="267"/>
      <c r="BA12" s="267"/>
      <c r="BB12" s="267"/>
      <c r="BC12" s="267"/>
      <c r="BD12" s="267">
        <v>4370831420</v>
      </c>
      <c r="BE12" s="266"/>
      <c r="BF12" s="267"/>
      <c r="BG12" s="267"/>
      <c r="BH12" s="267"/>
      <c r="BI12" s="267"/>
      <c r="BJ12" s="267"/>
      <c r="BK12" s="267"/>
      <c r="BL12" s="267"/>
      <c r="BM12" s="267"/>
      <c r="BN12" s="267"/>
      <c r="BO12" s="267"/>
      <c r="BP12" s="267"/>
      <c r="BQ12" s="267"/>
      <c r="BR12" s="266"/>
      <c r="BS12" s="2137"/>
      <c r="BT12" s="2137"/>
      <c r="BU12" s="2137"/>
      <c r="BV12" s="2137"/>
      <c r="BW12" s="2137"/>
      <c r="BX12" s="2137"/>
      <c r="BY12" s="2137"/>
      <c r="BZ12" s="2137"/>
      <c r="CA12" s="2137"/>
      <c r="CB12" s="2137"/>
      <c r="CC12" s="2137"/>
      <c r="CD12" s="2137"/>
      <c r="CE12" s="266"/>
      <c r="CF12" s="2137">
        <v>5600262</v>
      </c>
      <c r="CG12" s="2137">
        <f t="shared" ref="CG12" si="4">CF15</f>
        <v>0</v>
      </c>
      <c r="CH12" s="2137">
        <f t="shared" ref="CH12" si="5">CG15</f>
        <v>0</v>
      </c>
      <c r="CI12" s="2137">
        <f t="shared" ref="CI12" si="6">CH15</f>
        <v>0</v>
      </c>
      <c r="CJ12" s="2137">
        <f t="shared" ref="CJ12" si="7">CI15</f>
        <v>0</v>
      </c>
      <c r="CK12" s="2137">
        <f t="shared" ref="CK12" si="8">CJ15</f>
        <v>0</v>
      </c>
      <c r="CL12" s="2137">
        <f t="shared" ref="CL12" si="9">CK15</f>
        <v>0</v>
      </c>
      <c r="CM12" s="2137">
        <f t="shared" ref="CM12" si="10">CL15</f>
        <v>0</v>
      </c>
      <c r="CN12" s="2137">
        <f t="shared" ref="CN12" si="11">CM15</f>
        <v>0</v>
      </c>
      <c r="CO12" s="2137">
        <f>CN15</f>
        <v>0</v>
      </c>
      <c r="CP12" s="2137">
        <f>CO15</f>
        <v>0</v>
      </c>
      <c r="CQ12" s="2137">
        <f>CP15</f>
        <v>0</v>
      </c>
    </row>
    <row r="13" spans="2:95">
      <c r="B13" s="3445"/>
      <c r="C13" s="3439"/>
      <c r="D13" s="285" t="s">
        <v>265</v>
      </c>
      <c r="E13" s="262">
        <f>SUM(F13:Q13)</f>
        <v>122272049</v>
      </c>
      <c r="F13" s="329"/>
      <c r="G13" s="329"/>
      <c r="H13" s="329">
        <v>37690487</v>
      </c>
      <c r="I13" s="329">
        <v>12300000</v>
      </c>
      <c r="J13" s="329">
        <v>17453000</v>
      </c>
      <c r="K13" s="329">
        <v>17104485</v>
      </c>
      <c r="L13" s="329">
        <v>19757000</v>
      </c>
      <c r="M13" s="329"/>
      <c r="N13" s="329">
        <v>7485077</v>
      </c>
      <c r="O13" s="329">
        <v>10482000</v>
      </c>
      <c r="P13" s="555"/>
      <c r="Q13" s="555"/>
      <c r="R13" s="262">
        <f>SUM(S13:AD13)</f>
        <v>103806489</v>
      </c>
      <c r="S13" s="555">
        <v>36526489</v>
      </c>
      <c r="T13" s="555"/>
      <c r="U13" s="555"/>
      <c r="V13" s="555"/>
      <c r="W13" s="555">
        <v>8000000</v>
      </c>
      <c r="X13" s="555">
        <v>19079000</v>
      </c>
      <c r="Y13" s="555"/>
      <c r="Z13" s="555">
        <v>22414000</v>
      </c>
      <c r="AA13" s="555"/>
      <c r="AB13" s="555">
        <v>17787000</v>
      </c>
      <c r="AC13" s="555"/>
      <c r="AD13" s="555"/>
      <c r="AE13" s="262">
        <f>SUM(AF13:AQ13)</f>
        <v>578317396</v>
      </c>
      <c r="AF13" s="555"/>
      <c r="AG13" s="555"/>
      <c r="AH13" s="555"/>
      <c r="AI13" s="555">
        <v>224000000</v>
      </c>
      <c r="AJ13" s="555">
        <v>40700000</v>
      </c>
      <c r="AK13" s="555">
        <v>66960000</v>
      </c>
      <c r="AL13" s="555"/>
      <c r="AM13" s="555"/>
      <c r="AN13" s="555"/>
      <c r="AO13" s="555"/>
      <c r="AP13" s="555">
        <v>13357396</v>
      </c>
      <c r="AQ13" s="555">
        <v>233300000</v>
      </c>
      <c r="AR13" s="262">
        <f>SUM(AS13:BD13)</f>
        <v>1474045313</v>
      </c>
      <c r="AS13" s="2134">
        <v>12548000</v>
      </c>
      <c r="AT13" s="2134">
        <v>41000000</v>
      </c>
      <c r="AU13" s="2134">
        <v>14254263</v>
      </c>
      <c r="AV13" s="555"/>
      <c r="AW13" s="2134">
        <v>7943050</v>
      </c>
      <c r="AX13" s="2134">
        <v>1222000000</v>
      </c>
      <c r="AY13" s="555"/>
      <c r="AZ13" s="555"/>
      <c r="BA13" s="555"/>
      <c r="BB13" s="2134">
        <v>176300000</v>
      </c>
      <c r="BC13" s="555"/>
      <c r="BD13" s="555"/>
      <c r="BE13" s="262">
        <f>SUM(BF13:BQ13)</f>
        <v>707300000</v>
      </c>
      <c r="BF13" s="2134">
        <v>470000000</v>
      </c>
      <c r="BG13" s="555"/>
      <c r="BH13" s="2134">
        <v>48000000</v>
      </c>
      <c r="BI13" s="555"/>
      <c r="BJ13" s="2134">
        <v>189300000</v>
      </c>
      <c r="BK13" s="555"/>
      <c r="BL13" s="373"/>
      <c r="BM13" s="555"/>
      <c r="BN13" s="555"/>
      <c r="BO13" s="555"/>
      <c r="BP13" s="555"/>
      <c r="BQ13" s="555"/>
      <c r="BR13" s="262">
        <f>SUM(BS13:CD13)</f>
        <v>0</v>
      </c>
      <c r="BS13" s="2998"/>
      <c r="BT13" s="2998"/>
      <c r="BU13" s="2998"/>
      <c r="BV13" s="2998"/>
      <c r="BW13" s="2998"/>
      <c r="BX13" s="2998"/>
      <c r="BY13" s="2998"/>
      <c r="BZ13" s="2998"/>
      <c r="CA13" s="2998"/>
      <c r="CB13" s="2998"/>
      <c r="CC13" s="2998"/>
      <c r="CD13" s="2998"/>
      <c r="CE13" s="262">
        <f>SUM(CF13:CQ13)</f>
        <v>200000000</v>
      </c>
      <c r="CF13" s="2138"/>
      <c r="CG13" s="2138"/>
      <c r="CH13" s="2138"/>
      <c r="CI13" s="2138"/>
      <c r="CJ13" s="2138"/>
      <c r="CK13" s="2138"/>
      <c r="CL13" s="2138"/>
      <c r="CM13" s="2138"/>
      <c r="CN13" s="2138">
        <v>200000000</v>
      </c>
      <c r="CO13" s="2138"/>
      <c r="CP13" s="2138"/>
      <c r="CQ13" s="2138"/>
    </row>
    <row r="14" spans="2:95">
      <c r="B14" s="3445"/>
      <c r="C14" s="3439"/>
      <c r="D14" s="286" t="s">
        <v>266</v>
      </c>
      <c r="E14" s="263">
        <f>SUM(F14:Q14)</f>
        <v>1785449059</v>
      </c>
      <c r="F14" s="330">
        <v>20765620</v>
      </c>
      <c r="G14" s="330">
        <v>7120000</v>
      </c>
      <c r="H14" s="330">
        <v>21804413</v>
      </c>
      <c r="I14" s="330">
        <v>20010000</v>
      </c>
      <c r="J14" s="330">
        <v>77533000</v>
      </c>
      <c r="K14" s="330">
        <v>78366898</v>
      </c>
      <c r="L14" s="330">
        <v>1448325998</v>
      </c>
      <c r="M14" s="330">
        <v>5419210</v>
      </c>
      <c r="N14" s="330">
        <v>52001861</v>
      </c>
      <c r="O14" s="330">
        <v>18270000</v>
      </c>
      <c r="P14" s="330">
        <v>22053806</v>
      </c>
      <c r="Q14" s="330">
        <v>13778253</v>
      </c>
      <c r="R14" s="263">
        <f>SUM(S14:AD14)</f>
        <v>202174729</v>
      </c>
      <c r="S14" s="373">
        <v>34637729</v>
      </c>
      <c r="T14" s="373"/>
      <c r="U14" s="373"/>
      <c r="V14" s="373">
        <v>56800000</v>
      </c>
      <c r="W14" s="373">
        <v>87317000</v>
      </c>
      <c r="X14" s="373">
        <v>6550000</v>
      </c>
      <c r="Y14" s="373">
        <v>16870000</v>
      </c>
      <c r="Z14" s="373"/>
      <c r="AA14" s="373"/>
      <c r="AB14" s="373"/>
      <c r="AC14" s="373"/>
      <c r="AD14" s="373"/>
      <c r="AE14" s="263">
        <f>SUM(AF14:AQ14)</f>
        <v>6680000</v>
      </c>
      <c r="AF14" s="373"/>
      <c r="AG14" s="373"/>
      <c r="AH14" s="373"/>
      <c r="AI14" s="373"/>
      <c r="AJ14" s="373"/>
      <c r="AK14" s="373">
        <v>6680000</v>
      </c>
      <c r="AL14" s="373"/>
      <c r="AM14" s="373"/>
      <c r="AN14" s="373"/>
      <c r="AO14" s="373"/>
      <c r="AP14" s="373"/>
      <c r="AQ14" s="373"/>
      <c r="AR14" s="263">
        <f>SUM(AS14:BD14)</f>
        <v>0</v>
      </c>
      <c r="AS14" s="373"/>
      <c r="AT14" s="373"/>
      <c r="AU14" s="373"/>
      <c r="AV14" s="373"/>
      <c r="AW14" s="373"/>
      <c r="AX14" s="373"/>
      <c r="AY14" s="373"/>
      <c r="AZ14" s="373"/>
      <c r="BA14" s="373"/>
      <c r="BB14" s="373"/>
      <c r="BC14" s="373"/>
      <c r="BD14" s="373"/>
      <c r="BE14" s="263">
        <f>SUM(BF14:BQ14)</f>
        <v>0</v>
      </c>
      <c r="BF14" s="373"/>
      <c r="BG14" s="373"/>
      <c r="BH14" s="373"/>
      <c r="BI14" s="373"/>
      <c r="BJ14" s="373"/>
      <c r="BK14" s="373"/>
      <c r="BL14" s="373"/>
      <c r="BM14" s="373"/>
      <c r="BN14" s="373"/>
      <c r="BO14" s="373"/>
      <c r="BP14" s="373"/>
      <c r="BQ14" s="373"/>
      <c r="BR14" s="263">
        <f>SUM(BS14:CD14)</f>
        <v>0</v>
      </c>
      <c r="BS14" s="2999"/>
      <c r="BT14" s="2999"/>
      <c r="BU14" s="2999"/>
      <c r="BV14" s="2999"/>
      <c r="BW14" s="2999"/>
      <c r="BX14" s="2999"/>
      <c r="BY14" s="2999"/>
      <c r="BZ14" s="2999"/>
      <c r="CA14" s="2999"/>
      <c r="CB14" s="2999"/>
      <c r="CC14" s="2999"/>
      <c r="CD14" s="2999"/>
      <c r="CE14" s="263">
        <f>SUM(CF14:CQ14)</f>
        <v>0</v>
      </c>
      <c r="CF14" s="2139"/>
      <c r="CG14" s="2139"/>
      <c r="CH14" s="2139"/>
      <c r="CI14" s="2139"/>
      <c r="CJ14" s="2139"/>
      <c r="CK14" s="2139"/>
      <c r="CL14" s="2139"/>
      <c r="CM14" s="2139"/>
      <c r="CN14" s="2139"/>
      <c r="CO14" s="2139"/>
      <c r="CP14" s="2139"/>
      <c r="CQ14" s="2139"/>
    </row>
    <row r="15" spans="2:95">
      <c r="B15" s="3445"/>
      <c r="C15" s="3439"/>
      <c r="D15" s="146" t="s">
        <v>267</v>
      </c>
      <c r="E15" s="263"/>
      <c r="F15" s="373">
        <v>12195271080</v>
      </c>
      <c r="G15" s="373">
        <v>12188151080</v>
      </c>
      <c r="H15" s="373">
        <v>12204037154</v>
      </c>
      <c r="I15" s="373">
        <v>12196327154</v>
      </c>
      <c r="J15" s="373">
        <v>12136247154</v>
      </c>
      <c r="K15" s="373">
        <v>12074984741</v>
      </c>
      <c r="L15" s="373">
        <v>10646415743</v>
      </c>
      <c r="M15" s="373">
        <v>10640996533</v>
      </c>
      <c r="N15" s="373">
        <v>10596479749</v>
      </c>
      <c r="O15" s="373">
        <v>10588691749</v>
      </c>
      <c r="P15" s="373">
        <v>10566637943</v>
      </c>
      <c r="Q15" s="373">
        <v>10552859690</v>
      </c>
      <c r="R15" s="263"/>
      <c r="S15" s="650"/>
      <c r="T15" s="650"/>
      <c r="U15" s="650"/>
      <c r="V15" s="650"/>
      <c r="W15" s="650"/>
      <c r="X15" s="650"/>
      <c r="Y15" s="650"/>
      <c r="Z15" s="650"/>
      <c r="AA15" s="650">
        <v>9606271042.2000008</v>
      </c>
      <c r="AB15" s="650">
        <f>AB12+AB13-AB14</f>
        <v>9624058042.2000008</v>
      </c>
      <c r="AC15" s="650">
        <f>AC12+AC13-AC14</f>
        <v>9624058042.2000008</v>
      </c>
      <c r="AD15" s="650">
        <f>AD12+AD13-AD14</f>
        <v>9624058042.2000008</v>
      </c>
      <c r="AE15" s="263"/>
      <c r="AF15" s="650"/>
      <c r="AG15" s="650"/>
      <c r="AH15" s="650"/>
      <c r="AI15" s="650"/>
      <c r="AJ15" s="650"/>
      <c r="AK15" s="650"/>
      <c r="AL15" s="650"/>
      <c r="AM15" s="650"/>
      <c r="AN15" s="650"/>
      <c r="AO15" s="650"/>
      <c r="AP15" s="650"/>
      <c r="AR15" s="263"/>
      <c r="AS15" s="650"/>
      <c r="AT15" s="650"/>
      <c r="AU15" s="650"/>
      <c r="AV15" s="650"/>
      <c r="AW15" s="650"/>
      <c r="AX15" s="650"/>
      <c r="AY15" s="650"/>
      <c r="AZ15" s="650"/>
      <c r="BA15" s="373"/>
      <c r="BB15" s="373"/>
      <c r="BC15" s="373"/>
      <c r="BD15" s="650">
        <f>BD12+BD13-BD14</f>
        <v>4370831420</v>
      </c>
      <c r="BE15" s="263"/>
      <c r="BF15" s="650"/>
      <c r="BG15" s="650"/>
      <c r="BH15" s="650"/>
      <c r="BI15" s="650"/>
      <c r="BJ15" s="650"/>
      <c r="BK15" s="650"/>
      <c r="BL15" s="650"/>
      <c r="BM15" s="650"/>
      <c r="BN15" s="650"/>
      <c r="BO15" s="650"/>
      <c r="BP15" s="650"/>
      <c r="BQ15" s="650"/>
      <c r="BR15" s="263"/>
      <c r="BS15" s="3000"/>
      <c r="BT15" s="3000"/>
      <c r="BU15" s="3000"/>
      <c r="BV15" s="3000"/>
      <c r="BW15" s="3000"/>
      <c r="BX15" s="3001"/>
      <c r="BY15" s="3001"/>
      <c r="BZ15" s="3001"/>
      <c r="CA15" s="3001"/>
      <c r="CB15" s="3001"/>
      <c r="CC15" s="3001"/>
      <c r="CD15" s="3001"/>
      <c r="CE15" s="263"/>
      <c r="CF15" s="650"/>
      <c r="CG15" s="650"/>
      <c r="CH15" s="650"/>
      <c r="CI15" s="650"/>
      <c r="CJ15" s="650"/>
      <c r="CK15" s="650"/>
      <c r="CL15" s="650"/>
      <c r="CM15" s="650"/>
      <c r="CN15" s="650"/>
      <c r="CO15" s="650"/>
      <c r="CP15" s="650"/>
      <c r="CQ15" s="650"/>
    </row>
    <row r="16" spans="2:95">
      <c r="B16" s="3445"/>
      <c r="C16" s="3439"/>
      <c r="D16" s="284" t="s">
        <v>288</v>
      </c>
      <c r="E16" s="263"/>
      <c r="F16" s="264">
        <v>9269889540</v>
      </c>
      <c r="G16" s="264">
        <v>9431133080</v>
      </c>
      <c r="H16" s="264">
        <v>9506071874</v>
      </c>
      <c r="I16" s="264">
        <v>9809715434</v>
      </c>
      <c r="J16" s="264">
        <v>9815390214</v>
      </c>
      <c r="K16" s="264">
        <v>9979051361</v>
      </c>
      <c r="L16" s="264">
        <v>8605170983</v>
      </c>
      <c r="M16" s="264">
        <v>8639116153</v>
      </c>
      <c r="N16" s="264">
        <v>8636354089</v>
      </c>
      <c r="O16" s="264">
        <v>8635996069</v>
      </c>
      <c r="P16" s="373"/>
      <c r="Q16" s="650"/>
      <c r="R16" s="263"/>
      <c r="S16" s="650"/>
      <c r="T16" s="650"/>
      <c r="U16" s="650"/>
      <c r="V16" s="650"/>
      <c r="W16" s="650"/>
      <c r="X16" s="650"/>
      <c r="Y16" s="650"/>
      <c r="Z16" s="650"/>
      <c r="AA16" s="650">
        <v>7977369909</v>
      </c>
      <c r="AB16" s="650">
        <f>AA16*$AF$2</f>
        <v>0</v>
      </c>
      <c r="AC16" s="650">
        <f>AB16*$AF$2</f>
        <v>0</v>
      </c>
      <c r="AD16" s="650">
        <f>AC16*$AF$2</f>
        <v>0</v>
      </c>
      <c r="AE16" s="263"/>
      <c r="AF16" s="650"/>
      <c r="AG16" s="650"/>
      <c r="AH16" s="650"/>
      <c r="AI16" s="650"/>
      <c r="AJ16" s="650"/>
      <c r="AK16" s="650"/>
      <c r="AL16" s="650"/>
      <c r="AM16" s="650"/>
      <c r="AN16" s="650"/>
      <c r="AO16" s="650"/>
      <c r="AP16" s="650"/>
      <c r="AR16" s="263"/>
      <c r="AS16" s="650"/>
      <c r="AT16" s="650"/>
      <c r="AU16" s="650"/>
      <c r="AV16" s="650"/>
      <c r="AW16" s="650"/>
      <c r="AX16" s="650"/>
      <c r="AY16" s="650"/>
      <c r="AZ16" s="650"/>
      <c r="BA16" s="373"/>
      <c r="BB16" s="373"/>
      <c r="BC16" s="373"/>
      <c r="BD16" s="650">
        <f>BD12-BD17</f>
        <v>1643995700</v>
      </c>
      <c r="BE16" s="263"/>
      <c r="BF16" s="650"/>
      <c r="BG16" s="650"/>
      <c r="BH16" s="650"/>
      <c r="BI16" s="650"/>
      <c r="BJ16" s="650"/>
      <c r="BK16" s="650"/>
      <c r="BL16" s="650"/>
      <c r="BM16" s="650"/>
      <c r="BN16" s="650"/>
      <c r="BO16" s="650"/>
      <c r="BP16" s="650"/>
      <c r="BQ16" s="2183">
        <v>2290005815.7340302</v>
      </c>
      <c r="BR16" s="263"/>
      <c r="BS16" s="3000"/>
      <c r="BT16" s="3000"/>
      <c r="BU16" s="3000"/>
      <c r="BV16" s="3000"/>
      <c r="BW16" s="3000"/>
      <c r="BX16" s="3001"/>
      <c r="BY16" s="3001"/>
      <c r="BZ16" s="3001"/>
      <c r="CA16" s="3001"/>
      <c r="CB16" s="3001"/>
      <c r="CC16" s="3001"/>
      <c r="CD16" s="3002"/>
      <c r="CE16" s="263"/>
      <c r="CF16" s="650"/>
      <c r="CG16" s="650"/>
      <c r="CH16" s="650"/>
      <c r="CI16" s="650"/>
      <c r="CJ16" s="650"/>
      <c r="CK16" s="650"/>
      <c r="CL16" s="650"/>
      <c r="CM16" s="650"/>
      <c r="CN16" s="650"/>
      <c r="CO16" s="650"/>
      <c r="CP16" s="650"/>
      <c r="CQ16" s="650"/>
    </row>
    <row r="17" spans="2:97">
      <c r="B17" s="3445"/>
      <c r="C17" s="3439"/>
      <c r="D17" s="284" t="s">
        <v>289</v>
      </c>
      <c r="E17" s="263"/>
      <c r="F17" s="330">
        <v>2925381540</v>
      </c>
      <c r="G17" s="330">
        <v>2757018000</v>
      </c>
      <c r="H17" s="330">
        <v>2697965280</v>
      </c>
      <c r="I17" s="330">
        <v>2386611720</v>
      </c>
      <c r="J17" s="330">
        <v>2320856940</v>
      </c>
      <c r="K17" s="330">
        <v>2095933380</v>
      </c>
      <c r="L17" s="330">
        <v>2041244760</v>
      </c>
      <c r="M17" s="330">
        <v>2001880380</v>
      </c>
      <c r="N17" s="330">
        <v>1960125660</v>
      </c>
      <c r="O17" s="330">
        <v>1952695680</v>
      </c>
      <c r="P17" s="330">
        <v>1937077140</v>
      </c>
      <c r="Q17" s="330">
        <v>1928794860</v>
      </c>
      <c r="R17" s="263"/>
      <c r="S17" s="650"/>
      <c r="T17" s="652"/>
      <c r="U17" s="652"/>
      <c r="V17" s="652"/>
      <c r="W17" s="652"/>
      <c r="X17" s="650"/>
      <c r="Y17" s="650"/>
      <c r="Z17" s="650">
        <f>Z18*60</f>
        <v>1645354680</v>
      </c>
      <c r="AA17" s="650">
        <f>AA15-AA16</f>
        <v>1628901133.2000008</v>
      </c>
      <c r="AB17" s="650">
        <f>AB15-AB16</f>
        <v>9624058042.2000008</v>
      </c>
      <c r="AC17" s="650">
        <f>AC15-AC16</f>
        <v>9624058042.2000008</v>
      </c>
      <c r="AD17" s="650">
        <f>AD15-AD16</f>
        <v>9624058042.2000008</v>
      </c>
      <c r="AE17" s="263"/>
      <c r="AF17" s="650"/>
      <c r="AG17" s="650"/>
      <c r="AH17" s="650"/>
      <c r="AI17" s="650"/>
      <c r="AJ17" s="650"/>
      <c r="AK17" s="650"/>
      <c r="AL17" s="650"/>
      <c r="AM17" s="650"/>
      <c r="AN17" s="650"/>
      <c r="AO17" s="650"/>
      <c r="AP17" s="650"/>
      <c r="AQ17" s="650">
        <f>AQ18*60</f>
        <v>1357338060</v>
      </c>
      <c r="AR17" s="263"/>
      <c r="AS17" s="650"/>
      <c r="AT17" s="650"/>
      <c r="AU17" s="650"/>
      <c r="AV17" s="650"/>
      <c r="AW17" s="650"/>
      <c r="AX17" s="650"/>
      <c r="AY17" s="650"/>
      <c r="AZ17" s="650"/>
      <c r="BA17" s="373"/>
      <c r="BB17" s="373"/>
      <c r="BC17" s="373"/>
      <c r="BD17" s="650">
        <f>BD18*60</f>
        <v>2726835720</v>
      </c>
      <c r="BE17" s="263"/>
      <c r="BF17" s="650"/>
      <c r="BG17" s="650"/>
      <c r="BH17" s="650"/>
      <c r="BI17" s="650"/>
      <c r="BJ17" s="650"/>
      <c r="BK17" s="650"/>
      <c r="BL17" s="650"/>
      <c r="BM17" s="650"/>
      <c r="BN17" s="650"/>
      <c r="BO17" s="650"/>
      <c r="BP17" s="650"/>
      <c r="BQ17" s="650"/>
      <c r="BR17" s="263"/>
      <c r="BS17" s="3000"/>
      <c r="BT17" s="3000"/>
      <c r="BU17" s="3000"/>
      <c r="BV17" s="3000"/>
      <c r="BW17" s="3000"/>
      <c r="BX17" s="3001"/>
      <c r="BY17" s="3001"/>
      <c r="BZ17" s="3001"/>
      <c r="CA17" s="3001"/>
      <c r="CB17" s="3001"/>
      <c r="CC17" s="3001"/>
      <c r="CD17" s="3001"/>
      <c r="CE17" s="263"/>
      <c r="CF17" s="650"/>
      <c r="CG17" s="650"/>
      <c r="CH17" s="650"/>
      <c r="CI17" s="650"/>
      <c r="CJ17" s="650"/>
      <c r="CK17" s="650"/>
      <c r="CL17" s="650"/>
      <c r="CM17" s="650"/>
      <c r="CN17" s="650"/>
      <c r="CO17" s="650"/>
      <c r="CP17" s="650"/>
      <c r="CQ17" s="650"/>
    </row>
    <row r="18" spans="2:97">
      <c r="B18" s="3446"/>
      <c r="C18" s="3440"/>
      <c r="D18" s="147" t="s">
        <v>268</v>
      </c>
      <c r="E18" s="265">
        <f>SUM(F18:Q18)</f>
        <v>450093089</v>
      </c>
      <c r="F18" s="331">
        <v>48756359</v>
      </c>
      <c r="G18" s="331">
        <v>45950300</v>
      </c>
      <c r="H18" s="331">
        <v>44966088</v>
      </c>
      <c r="I18" s="331">
        <v>39776862</v>
      </c>
      <c r="J18" s="331">
        <v>38680949</v>
      </c>
      <c r="K18" s="331">
        <v>34932223</v>
      </c>
      <c r="L18" s="331">
        <v>34020746</v>
      </c>
      <c r="M18" s="331">
        <v>33364673</v>
      </c>
      <c r="N18" s="666">
        <v>32668761</v>
      </c>
      <c r="O18" s="666">
        <v>32544928</v>
      </c>
      <c r="P18" s="331">
        <v>32284619</v>
      </c>
      <c r="Q18" s="666">
        <v>32146581</v>
      </c>
      <c r="R18" s="265">
        <f>SUM(S18:AD18)</f>
        <v>342451440</v>
      </c>
      <c r="S18" s="666">
        <v>32746980</v>
      </c>
      <c r="T18" s="666">
        <v>32013979</v>
      </c>
      <c r="U18" s="666">
        <v>30609314</v>
      </c>
      <c r="V18" s="666">
        <v>29798654</v>
      </c>
      <c r="W18" s="666">
        <v>27672849</v>
      </c>
      <c r="X18" s="666">
        <v>27644737</v>
      </c>
      <c r="Y18" s="666">
        <v>27283752</v>
      </c>
      <c r="Z18" s="666">
        <v>27422578</v>
      </c>
      <c r="AA18" s="666">
        <v>27050373</v>
      </c>
      <c r="AB18" s="666">
        <v>27050380</v>
      </c>
      <c r="AC18" s="666">
        <v>26578807</v>
      </c>
      <c r="AD18" s="666">
        <v>26579037</v>
      </c>
      <c r="AE18" s="265">
        <f>SUM(AF18:AQ18)</f>
        <v>305985027</v>
      </c>
      <c r="AF18" s="666">
        <v>26282876</v>
      </c>
      <c r="AG18" s="666">
        <v>26282876</v>
      </c>
      <c r="AH18" s="666">
        <v>26282876</v>
      </c>
      <c r="AI18" s="666">
        <v>30016218</v>
      </c>
      <c r="AJ18" s="666">
        <v>28972794</v>
      </c>
      <c r="AK18" s="666">
        <v>29977792</v>
      </c>
      <c r="AL18" s="666">
        <v>29977793</v>
      </c>
      <c r="AM18" s="666">
        <v>29813435</v>
      </c>
      <c r="AN18" s="666">
        <v>18511148</v>
      </c>
      <c r="AO18" s="666">
        <v>18511148</v>
      </c>
      <c r="AP18" s="666">
        <v>18733770</v>
      </c>
      <c r="AQ18" s="666">
        <v>22622301</v>
      </c>
      <c r="AR18" s="265">
        <f>SUM(AS18:BD18)</f>
        <v>424458462</v>
      </c>
      <c r="AS18" s="666">
        <v>22828562</v>
      </c>
      <c r="AT18" s="666">
        <v>23511895</v>
      </c>
      <c r="AU18" s="666">
        <v>23457299</v>
      </c>
      <c r="AV18" s="666">
        <v>23219254</v>
      </c>
      <c r="AW18" s="666">
        <v>23351642</v>
      </c>
      <c r="AX18" s="666">
        <v>43218565</v>
      </c>
      <c r="AY18" s="666">
        <v>43218571</v>
      </c>
      <c r="AZ18" s="666">
        <v>43062042</v>
      </c>
      <c r="BA18" s="666">
        <v>43062054</v>
      </c>
      <c r="BB18" s="666">
        <v>45163054</v>
      </c>
      <c r="BC18" s="666">
        <v>44918262</v>
      </c>
      <c r="BD18" s="666">
        <v>45447262</v>
      </c>
      <c r="BE18" s="265">
        <f>SUM(BF18:BQ18)</f>
        <v>542683684</v>
      </c>
      <c r="BF18" s="2133">
        <v>45947424</v>
      </c>
      <c r="BG18" s="2133">
        <v>45151984</v>
      </c>
      <c r="BH18" s="2133">
        <v>45840448</v>
      </c>
      <c r="BI18" s="2133">
        <v>45840450</v>
      </c>
      <c r="BJ18" s="2133">
        <v>45783932</v>
      </c>
      <c r="BK18" s="2133">
        <v>45783934</v>
      </c>
      <c r="BL18" s="2133">
        <v>44773099</v>
      </c>
      <c r="BM18" s="2133">
        <v>44773099</v>
      </c>
      <c r="BN18" s="2133">
        <v>44773099</v>
      </c>
      <c r="BO18" s="2133">
        <v>44773099</v>
      </c>
      <c r="BP18" s="2133">
        <v>44773104</v>
      </c>
      <c r="BQ18" s="2133">
        <v>44470012</v>
      </c>
      <c r="BR18" s="265">
        <f>SUM(BS18:CD18)</f>
        <v>496783495</v>
      </c>
      <c r="BS18" s="2997">
        <v>44468440</v>
      </c>
      <c r="BT18" s="2997">
        <v>44468440</v>
      </c>
      <c r="BU18" s="2997">
        <v>44218826</v>
      </c>
      <c r="BV18" s="2997">
        <v>44014160</v>
      </c>
      <c r="BW18" s="2997">
        <v>43723525</v>
      </c>
      <c r="BX18" s="2997">
        <v>43723529</v>
      </c>
      <c r="BY18" s="2997">
        <v>43394409</v>
      </c>
      <c r="BZ18" s="2997">
        <v>43394409</v>
      </c>
      <c r="CA18" s="2997">
        <v>43394409</v>
      </c>
      <c r="CB18" s="2997">
        <v>43394409</v>
      </c>
      <c r="CC18" s="2997">
        <v>43394409</v>
      </c>
      <c r="CD18" s="2997">
        <v>15194530</v>
      </c>
      <c r="CE18" s="265">
        <f>SUM(CF18:CQ18)</f>
        <v>195667693.33333337</v>
      </c>
      <c r="CF18" s="2824">
        <v>15194530</v>
      </c>
      <c r="CG18" s="2825">
        <v>15194530</v>
      </c>
      <c r="CH18" s="2824">
        <v>15194530</v>
      </c>
      <c r="CI18" s="2824">
        <v>15194530</v>
      </c>
      <c r="CJ18" s="2824">
        <v>15194530</v>
      </c>
      <c r="CK18" s="2824">
        <v>15194530</v>
      </c>
      <c r="CL18" s="2824">
        <v>15194530</v>
      </c>
      <c r="CM18" s="2824">
        <v>15194530</v>
      </c>
      <c r="CN18" s="2824">
        <f>($CN$13/60)+CM18</f>
        <v>18527863.333333332</v>
      </c>
      <c r="CO18" s="2824">
        <f>CN18</f>
        <v>18527863.333333332</v>
      </c>
      <c r="CP18" s="2824">
        <f>CO18</f>
        <v>18527863.333333332</v>
      </c>
      <c r="CQ18" s="2824">
        <f>CP18</f>
        <v>18527863.333333332</v>
      </c>
    </row>
    <row r="19" spans="2:97">
      <c r="B19" s="3438" t="s">
        <v>323</v>
      </c>
      <c r="C19" s="3447" t="s">
        <v>381</v>
      </c>
      <c r="D19" s="148" t="s">
        <v>274</v>
      </c>
      <c r="E19" s="266"/>
      <c r="F19" s="267">
        <v>736567656</v>
      </c>
      <c r="G19" s="267">
        <v>0</v>
      </c>
      <c r="H19" s="267">
        <v>0</v>
      </c>
      <c r="I19" s="267">
        <v>0</v>
      </c>
      <c r="J19" s="267">
        <v>0</v>
      </c>
      <c r="K19" s="267">
        <v>0</v>
      </c>
      <c r="L19" s="267">
        <v>0</v>
      </c>
      <c r="M19" s="267">
        <v>0</v>
      </c>
      <c r="N19" s="267">
        <v>0</v>
      </c>
      <c r="O19" s="267">
        <v>0</v>
      </c>
      <c r="P19" s="267">
        <v>0</v>
      </c>
      <c r="Q19" s="267">
        <v>0</v>
      </c>
      <c r="R19" s="266"/>
      <c r="S19" s="267"/>
      <c r="T19" s="267"/>
      <c r="U19" s="267"/>
      <c r="V19" s="267"/>
      <c r="W19" s="267"/>
      <c r="X19" s="267"/>
      <c r="Y19" s="267"/>
      <c r="Z19" s="267"/>
      <c r="AA19" s="267"/>
      <c r="AB19" s="267"/>
      <c r="AC19" s="267"/>
      <c r="AD19" s="267"/>
      <c r="AE19" s="266"/>
      <c r="AF19" s="267">
        <f>AD24*99%</f>
        <v>0</v>
      </c>
      <c r="AG19" s="267">
        <f>AF22*99%</f>
        <v>0</v>
      </c>
      <c r="AH19" s="267">
        <f t="shared" ref="AH19:AQ19" si="12">AG22*99%</f>
        <v>0</v>
      </c>
      <c r="AI19" s="267">
        <f t="shared" si="12"/>
        <v>0</v>
      </c>
      <c r="AJ19" s="267">
        <f t="shared" si="12"/>
        <v>0</v>
      </c>
      <c r="AK19" s="267">
        <f t="shared" si="12"/>
        <v>0</v>
      </c>
      <c r="AL19" s="267">
        <f t="shared" si="12"/>
        <v>0</v>
      </c>
      <c r="AM19" s="267">
        <f t="shared" si="12"/>
        <v>0</v>
      </c>
      <c r="AN19" s="267">
        <f t="shared" si="12"/>
        <v>0</v>
      </c>
      <c r="AO19" s="267">
        <f t="shared" si="12"/>
        <v>0</v>
      </c>
      <c r="AP19" s="267">
        <f t="shared" si="12"/>
        <v>0</v>
      </c>
      <c r="AQ19" s="267">
        <f t="shared" si="12"/>
        <v>0</v>
      </c>
      <c r="AR19" s="266"/>
      <c r="AS19" s="267"/>
      <c r="AT19" s="267"/>
      <c r="AU19" s="267"/>
      <c r="AV19" s="267"/>
      <c r="AW19" s="267"/>
      <c r="AX19" s="267"/>
      <c r="AY19" s="267"/>
      <c r="AZ19" s="267"/>
      <c r="BA19" s="267"/>
      <c r="BB19" s="267"/>
      <c r="BC19" s="267"/>
      <c r="BD19" s="267"/>
      <c r="BE19" s="266"/>
      <c r="BF19" s="267">
        <f>BD24*99%</f>
        <v>0</v>
      </c>
      <c r="BG19" s="267">
        <f>BF22*99%</f>
        <v>0</v>
      </c>
      <c r="BH19" s="267">
        <f t="shared" ref="BH19" si="13">BG22*99%</f>
        <v>0</v>
      </c>
      <c r="BI19" s="267">
        <f t="shared" ref="BI19" si="14">BH22*99%</f>
        <v>0</v>
      </c>
      <c r="BJ19" s="267">
        <f t="shared" ref="BJ19" si="15">BI22*99%</f>
        <v>0</v>
      </c>
      <c r="BK19" s="267">
        <f t="shared" ref="BK19" si="16">BJ22*99%</f>
        <v>0</v>
      </c>
      <c r="BL19" s="267">
        <f t="shared" ref="BL19" si="17">BK22*99%</f>
        <v>0</v>
      </c>
      <c r="BM19" s="267">
        <f t="shared" ref="BM19" si="18">BL22*99%</f>
        <v>0</v>
      </c>
      <c r="BN19" s="267">
        <f t="shared" ref="BN19" si="19">BM22*99%</f>
        <v>0</v>
      </c>
      <c r="BO19" s="267">
        <f t="shared" ref="BO19:BP19" si="20">BN22*99%</f>
        <v>0</v>
      </c>
      <c r="BP19" s="311">
        <f t="shared" si="20"/>
        <v>0</v>
      </c>
      <c r="BQ19" s="267">
        <f t="shared" ref="BQ19" si="21">BP22*99%</f>
        <v>0</v>
      </c>
      <c r="BR19" s="266"/>
      <c r="BS19" s="2137"/>
      <c r="BT19" s="2137"/>
      <c r="BU19" s="2137"/>
      <c r="BV19" s="2137"/>
      <c r="BW19" s="2137"/>
      <c r="BX19" s="2137"/>
      <c r="BY19" s="2137"/>
      <c r="BZ19" s="2137"/>
      <c r="CA19" s="2137"/>
      <c r="CB19" s="2137"/>
      <c r="CC19" s="2137"/>
      <c r="CD19" s="2137"/>
      <c r="CE19" s="266"/>
      <c r="CF19" s="2137"/>
      <c r="CG19" s="2137"/>
      <c r="CH19" s="2137"/>
      <c r="CI19" s="2137"/>
      <c r="CJ19" s="2137"/>
      <c r="CK19" s="2137"/>
      <c r="CL19" s="2137"/>
      <c r="CM19" s="2137"/>
      <c r="CN19" s="2137"/>
      <c r="CO19" s="2137"/>
      <c r="CP19" s="2137"/>
      <c r="CQ19" s="2137"/>
    </row>
    <row r="20" spans="2:97">
      <c r="B20" s="3445"/>
      <c r="C20" s="3439"/>
      <c r="D20" s="285" t="s">
        <v>265</v>
      </c>
      <c r="E20" s="262">
        <f>SUM(F20:Q20)</f>
        <v>134500000</v>
      </c>
      <c r="F20" s="329"/>
      <c r="G20" s="329"/>
      <c r="H20" s="329"/>
      <c r="I20" s="329">
        <v>14500000</v>
      </c>
      <c r="J20" s="329"/>
      <c r="K20" s="329"/>
      <c r="L20" s="329">
        <v>120000000</v>
      </c>
      <c r="M20" s="329"/>
      <c r="N20" s="329"/>
      <c r="O20" s="329"/>
      <c r="P20" s="555"/>
      <c r="Q20" s="555"/>
      <c r="R20" s="262">
        <f>SUM(S20:AD20)</f>
        <v>0</v>
      </c>
      <c r="S20" s="555"/>
      <c r="T20" s="555"/>
      <c r="U20" s="555"/>
      <c r="V20" s="555"/>
      <c r="W20" s="555"/>
      <c r="X20" s="555"/>
      <c r="Y20" s="555"/>
      <c r="Z20" s="555"/>
      <c r="AA20" s="555"/>
      <c r="AB20" s="555"/>
      <c r="AC20" s="555"/>
      <c r="AD20" s="555"/>
      <c r="AE20" s="262">
        <f>SUM(AF20:AQ20)</f>
        <v>0</v>
      </c>
      <c r="AF20" s="555"/>
      <c r="AG20" s="555"/>
      <c r="AH20" s="555"/>
      <c r="AI20" s="555"/>
      <c r="AJ20" s="555"/>
      <c r="AK20" s="555"/>
      <c r="AL20" s="555"/>
      <c r="AM20" s="555"/>
      <c r="AN20" s="555"/>
      <c r="AO20" s="555"/>
      <c r="AP20" s="555"/>
      <c r="AQ20" s="555"/>
      <c r="AR20" s="262">
        <f>SUM(AS20:BD20)</f>
        <v>0</v>
      </c>
      <c r="AS20" s="555"/>
      <c r="AT20" s="555"/>
      <c r="AU20" s="555"/>
      <c r="AV20" s="555"/>
      <c r="AW20" s="555"/>
      <c r="AX20" s="555"/>
      <c r="AY20" s="555"/>
      <c r="AZ20" s="555"/>
      <c r="BA20" s="555"/>
      <c r="BB20" s="555"/>
      <c r="BC20" s="555"/>
      <c r="BD20" s="555"/>
      <c r="BE20" s="262">
        <f>SUM(BF20:BQ20)</f>
        <v>0</v>
      </c>
      <c r="BF20" s="555"/>
      <c r="BG20" s="555"/>
      <c r="BH20" s="555"/>
      <c r="BI20" s="555"/>
      <c r="BJ20" s="555"/>
      <c r="BK20" s="555"/>
      <c r="BL20" s="555"/>
      <c r="BM20" s="555"/>
      <c r="BN20" s="555"/>
      <c r="BO20" s="555"/>
      <c r="BP20" s="650"/>
      <c r="BQ20" s="555"/>
      <c r="BR20" s="262">
        <f>SUM(BS20:CD20)</f>
        <v>0</v>
      </c>
      <c r="BS20" s="2998"/>
      <c r="BT20" s="2998"/>
      <c r="BU20" s="2998"/>
      <c r="BV20" s="2998"/>
      <c r="BW20" s="2998"/>
      <c r="BX20" s="2998"/>
      <c r="BY20" s="2998"/>
      <c r="BZ20" s="2998"/>
      <c r="CA20" s="2998"/>
      <c r="CB20" s="2998"/>
      <c r="CC20" s="2998"/>
      <c r="CD20" s="2998"/>
      <c r="CE20" s="262">
        <f>SUM(CF20:CQ20)</f>
        <v>0</v>
      </c>
      <c r="CF20" s="2138"/>
      <c r="CG20" s="2138"/>
      <c r="CH20" s="2138"/>
      <c r="CI20" s="2138"/>
      <c r="CJ20" s="2138"/>
      <c r="CK20" s="2138"/>
      <c r="CL20" s="2138"/>
      <c r="CM20" s="2138"/>
      <c r="CN20" s="2138"/>
      <c r="CO20" s="2138"/>
      <c r="CP20" s="2138"/>
      <c r="CQ20" s="2138"/>
    </row>
    <row r="21" spans="2:97">
      <c r="B21" s="3445"/>
      <c r="C21" s="3439"/>
      <c r="D21" s="286" t="s">
        <v>266</v>
      </c>
      <c r="E21" s="263">
        <f>SUM(F21:Q21)</f>
        <v>97337860</v>
      </c>
      <c r="F21" s="330">
        <v>2381667</v>
      </c>
      <c r="G21" s="330">
        <v>1583834</v>
      </c>
      <c r="H21" s="480"/>
      <c r="I21" s="480"/>
      <c r="J21" s="480">
        <v>3335135</v>
      </c>
      <c r="K21" s="480">
        <v>2000</v>
      </c>
      <c r="L21" s="480"/>
      <c r="M21" s="480">
        <v>4334211</v>
      </c>
      <c r="N21" s="480">
        <v>52500003</v>
      </c>
      <c r="O21" s="480">
        <v>16134340</v>
      </c>
      <c r="P21" s="480">
        <v>17066670</v>
      </c>
      <c r="Q21" s="557"/>
      <c r="R21" s="263">
        <f>SUM(S21:AD21)</f>
        <v>39005000</v>
      </c>
      <c r="S21" s="373">
        <v>39001000</v>
      </c>
      <c r="T21" s="373"/>
      <c r="U21" s="557"/>
      <c r="V21" s="557"/>
      <c r="W21" s="557">
        <v>2000</v>
      </c>
      <c r="X21" s="557">
        <v>1000</v>
      </c>
      <c r="Y21" s="557">
        <v>1000</v>
      </c>
      <c r="Z21" s="557"/>
      <c r="AA21" s="557"/>
      <c r="AB21" s="557"/>
      <c r="AC21" s="557"/>
      <c r="AD21" s="557"/>
      <c r="AE21" s="263">
        <f>SUM(AF21:AQ21)</f>
        <v>29333337</v>
      </c>
      <c r="AF21" s="373"/>
      <c r="AG21" s="373"/>
      <c r="AH21" s="373"/>
      <c r="AI21" s="373"/>
      <c r="AJ21" s="373"/>
      <c r="AK21" s="373">
        <v>29333337</v>
      </c>
      <c r="AL21" s="373"/>
      <c r="AM21" s="373"/>
      <c r="AN21" s="373"/>
      <c r="AO21" s="373"/>
      <c r="AP21" s="373"/>
      <c r="AQ21" s="373"/>
      <c r="AR21" s="263">
        <f>SUM(AS21:BD21)</f>
        <v>0</v>
      </c>
      <c r="AS21" s="373"/>
      <c r="AT21" s="373"/>
      <c r="AU21" s="373"/>
      <c r="AV21" s="373"/>
      <c r="AW21" s="373"/>
      <c r="AX21" s="373"/>
      <c r="AY21" s="373"/>
      <c r="AZ21" s="373"/>
      <c r="BA21" s="373"/>
      <c r="BB21" s="373"/>
      <c r="BC21" s="373"/>
      <c r="BD21" s="373"/>
      <c r="BE21" s="263">
        <f>SUM(BF21:BQ21)</f>
        <v>0</v>
      </c>
      <c r="BF21" s="373"/>
      <c r="BG21" s="373"/>
      <c r="BH21" s="373"/>
      <c r="BI21" s="373"/>
      <c r="BJ21" s="373"/>
      <c r="BK21" s="373"/>
      <c r="BL21" s="373"/>
      <c r="BM21" s="373"/>
      <c r="BN21" s="373"/>
      <c r="BO21" s="373"/>
      <c r="BP21" s="373"/>
      <c r="BQ21" s="373"/>
      <c r="BR21" s="263">
        <f>SUM(BS21:CD21)</f>
        <v>0</v>
      </c>
      <c r="BS21" s="2999"/>
      <c r="BT21" s="2999"/>
      <c r="BU21" s="2999"/>
      <c r="BV21" s="2999"/>
      <c r="BW21" s="2999"/>
      <c r="BX21" s="2999"/>
      <c r="BY21" s="2999"/>
      <c r="BZ21" s="2999"/>
      <c r="CA21" s="2999"/>
      <c r="CB21" s="2999"/>
      <c r="CC21" s="2999"/>
      <c r="CD21" s="2999"/>
      <c r="CE21" s="263">
        <f>SUM(CF21:CQ21)</f>
        <v>0</v>
      </c>
      <c r="CF21" s="2139"/>
      <c r="CG21" s="2139"/>
      <c r="CH21" s="2139"/>
      <c r="CI21" s="2139"/>
      <c r="CJ21" s="2139"/>
      <c r="CK21" s="2139"/>
      <c r="CL21" s="2139"/>
      <c r="CM21" s="2139"/>
      <c r="CN21" s="2139"/>
      <c r="CO21" s="2139"/>
      <c r="CP21" s="2139"/>
      <c r="CQ21" s="2139"/>
    </row>
    <row r="22" spans="2:97">
      <c r="B22" s="3445"/>
      <c r="C22" s="3439"/>
      <c r="D22" s="146" t="s">
        <v>267</v>
      </c>
      <c r="E22" s="263"/>
      <c r="F22" s="330"/>
      <c r="G22" s="330"/>
      <c r="H22" s="330"/>
      <c r="I22" s="330"/>
      <c r="J22" s="330"/>
      <c r="K22" s="330"/>
      <c r="L22" s="330"/>
      <c r="M22" s="330"/>
      <c r="N22" s="330"/>
      <c r="O22" s="330"/>
      <c r="P22" s="373"/>
      <c r="Q22" s="650"/>
      <c r="R22" s="263"/>
      <c r="S22" s="650"/>
      <c r="T22" s="650"/>
      <c r="U22" s="650"/>
      <c r="V22" s="650"/>
      <c r="W22" s="650"/>
      <c r="X22" s="650"/>
      <c r="Y22" s="650"/>
      <c r="Z22" s="650"/>
      <c r="AA22" s="650"/>
      <c r="AB22" s="650"/>
      <c r="AC22" s="650"/>
      <c r="AD22" s="650"/>
      <c r="AE22" s="263"/>
      <c r="AF22" s="650"/>
      <c r="AG22" s="650"/>
      <c r="AH22" s="650"/>
      <c r="AI22" s="650"/>
      <c r="AJ22" s="650"/>
      <c r="AK22" s="650"/>
      <c r="AL22" s="650"/>
      <c r="AM22" s="650"/>
      <c r="AN22" s="650"/>
      <c r="AO22" s="650"/>
      <c r="AP22" s="650"/>
      <c r="AQ22" s="650"/>
      <c r="AR22" s="263"/>
      <c r="AS22" s="650"/>
      <c r="AT22" s="650"/>
      <c r="AU22" s="650"/>
      <c r="AV22" s="650"/>
      <c r="AW22" s="650"/>
      <c r="AX22" s="650"/>
      <c r="AY22" s="650"/>
      <c r="BA22" s="650"/>
      <c r="BB22" s="650"/>
      <c r="BC22" s="650"/>
      <c r="BD22" s="650"/>
      <c r="BE22" s="263"/>
      <c r="BF22" s="650"/>
      <c r="BG22" s="650"/>
      <c r="BH22" s="650"/>
      <c r="BI22" s="650"/>
      <c r="BJ22" s="650"/>
      <c r="BK22" s="650"/>
      <c r="BL22" s="650"/>
      <c r="BM22" s="650"/>
      <c r="BN22" s="650"/>
      <c r="BO22" s="650"/>
      <c r="BP22" s="650"/>
      <c r="BQ22" s="650"/>
      <c r="BR22" s="263"/>
      <c r="BS22" s="3000"/>
      <c r="BT22" s="3000"/>
      <c r="BU22" s="3000"/>
      <c r="BV22" s="3000"/>
      <c r="BW22" s="3000"/>
      <c r="BX22" s="3000"/>
      <c r="BY22" s="3000"/>
      <c r="BZ22" s="3000"/>
      <c r="CA22" s="3000"/>
      <c r="CB22" s="3000"/>
      <c r="CC22" s="3000"/>
      <c r="CD22" s="3000"/>
      <c r="CE22" s="263"/>
      <c r="CF22" s="2300"/>
      <c r="CG22" s="2300"/>
      <c r="CH22" s="2300"/>
      <c r="CI22" s="2300"/>
      <c r="CJ22" s="2300"/>
      <c r="CK22" s="2300"/>
      <c r="CL22" s="2300"/>
      <c r="CM22" s="2300"/>
      <c r="CN22" s="2300"/>
      <c r="CO22" s="2300"/>
      <c r="CP22" s="2300"/>
      <c r="CQ22" s="2300"/>
    </row>
    <row r="23" spans="2:97">
      <c r="B23" s="3445"/>
      <c r="C23" s="3439"/>
      <c r="D23" s="284" t="s">
        <v>288</v>
      </c>
      <c r="E23" s="263"/>
      <c r="F23" s="652"/>
      <c r="G23" s="652"/>
      <c r="H23" s="652"/>
      <c r="I23" s="652"/>
      <c r="J23" s="652"/>
      <c r="K23" s="652"/>
      <c r="L23" s="652"/>
      <c r="M23" s="652"/>
      <c r="N23" s="652"/>
      <c r="O23" s="652"/>
      <c r="P23" s="373"/>
      <c r="Q23" s="650">
        <v>0</v>
      </c>
      <c r="R23" s="263"/>
      <c r="S23" s="650"/>
      <c r="T23" s="650"/>
      <c r="U23" s="650"/>
      <c r="V23" s="650"/>
      <c r="W23" s="650"/>
      <c r="X23" s="650"/>
      <c r="Y23" s="650"/>
      <c r="Z23" s="650"/>
      <c r="AA23" s="650"/>
      <c r="AB23" s="650"/>
      <c r="AC23" s="650"/>
      <c r="AD23" s="650"/>
      <c r="AE23" s="263"/>
      <c r="AF23" s="650"/>
      <c r="AG23" s="650"/>
      <c r="AH23" s="650"/>
      <c r="AI23" s="650"/>
      <c r="AJ23" s="650"/>
      <c r="AK23" s="650"/>
      <c r="AL23" s="650"/>
      <c r="AM23" s="650"/>
      <c r="AN23" s="650"/>
      <c r="AO23" s="650"/>
      <c r="AP23" s="650"/>
      <c r="AQ23" s="650"/>
      <c r="AR23" s="263"/>
      <c r="AS23" s="650"/>
      <c r="AT23" s="650"/>
      <c r="AU23" s="650"/>
      <c r="AV23" s="650"/>
      <c r="AW23" s="650"/>
      <c r="AX23" s="650"/>
      <c r="AY23" s="650"/>
      <c r="AZ23" s="650"/>
      <c r="BA23" s="650"/>
      <c r="BB23" s="650"/>
      <c r="BC23" s="650"/>
      <c r="BD23" s="650"/>
      <c r="BE23" s="263"/>
      <c r="BF23" s="650"/>
      <c r="BG23" s="650"/>
      <c r="BH23" s="650"/>
      <c r="BI23" s="650"/>
      <c r="BJ23" s="650"/>
      <c r="BK23" s="650"/>
      <c r="BL23" s="650"/>
      <c r="BM23" s="650"/>
      <c r="BN23" s="650"/>
      <c r="BO23" s="650"/>
      <c r="BP23" s="650"/>
      <c r="BQ23" s="650"/>
      <c r="BR23" s="263"/>
      <c r="BS23" s="3000"/>
      <c r="BT23" s="3000"/>
      <c r="BU23" s="3000"/>
      <c r="BV23" s="3000"/>
      <c r="BW23" s="3000"/>
      <c r="BX23" s="3000"/>
      <c r="BY23" s="3000"/>
      <c r="BZ23" s="3000"/>
      <c r="CA23" s="3000"/>
      <c r="CB23" s="3000"/>
      <c r="CC23" s="3000"/>
      <c r="CD23" s="3000"/>
      <c r="CE23" s="263"/>
      <c r="CF23" s="2300"/>
      <c r="CG23" s="2300"/>
      <c r="CH23" s="2300"/>
      <c r="CI23" s="2300"/>
      <c r="CJ23" s="2300"/>
      <c r="CK23" s="2300"/>
      <c r="CL23" s="2300"/>
      <c r="CM23" s="2300"/>
      <c r="CN23" s="2300"/>
      <c r="CO23" s="2300"/>
      <c r="CP23" s="2300"/>
      <c r="CQ23" s="2300"/>
    </row>
    <row r="24" spans="2:97">
      <c r="B24" s="3445"/>
      <c r="C24" s="3439"/>
      <c r="D24" s="284" t="s">
        <v>289</v>
      </c>
      <c r="E24" s="263"/>
      <c r="F24" s="330">
        <v>1829718840</v>
      </c>
      <c r="G24" s="330">
        <v>1734748860</v>
      </c>
      <c r="H24" s="330">
        <v>1644778860</v>
      </c>
      <c r="I24" s="330">
        <v>1659278820</v>
      </c>
      <c r="J24" s="330">
        <v>1459290840</v>
      </c>
      <c r="K24" s="330">
        <v>1459291080</v>
      </c>
      <c r="L24" s="330">
        <v>1394301120</v>
      </c>
      <c r="M24" s="330">
        <v>1084317000</v>
      </c>
      <c r="N24" s="330">
        <v>749317020</v>
      </c>
      <c r="O24" s="330">
        <v>661317060</v>
      </c>
      <c r="P24" s="330">
        <v>533317080</v>
      </c>
      <c r="Q24" s="330">
        <v>533318700</v>
      </c>
      <c r="R24" s="263"/>
      <c r="S24" s="650"/>
      <c r="T24" s="650"/>
      <c r="U24" s="650"/>
      <c r="V24" s="650"/>
      <c r="W24" s="650"/>
      <c r="X24" s="650"/>
      <c r="Y24" s="650"/>
      <c r="Z24" s="650">
        <f>Z25*60</f>
        <v>303317100</v>
      </c>
      <c r="AA24" s="650">
        <f>Z24*$AF$2</f>
        <v>0</v>
      </c>
      <c r="AB24" s="650">
        <f t="shared" ref="AB24:AD24" si="22">AA24*$AF$2</f>
        <v>0</v>
      </c>
      <c r="AC24" s="650">
        <f t="shared" si="22"/>
        <v>0</v>
      </c>
      <c r="AD24" s="650">
        <f t="shared" si="22"/>
        <v>0</v>
      </c>
      <c r="AE24" s="263"/>
      <c r="AF24" s="650"/>
      <c r="AG24" s="650"/>
      <c r="AH24" s="650"/>
      <c r="AI24" s="650"/>
      <c r="AJ24" s="650"/>
      <c r="AK24" s="650"/>
      <c r="AL24" s="650"/>
      <c r="AM24" s="650"/>
      <c r="AN24" s="650"/>
      <c r="AO24" s="650"/>
      <c r="AP24" s="650"/>
      <c r="AQ24" s="650"/>
      <c r="AR24" s="263"/>
      <c r="AS24" s="650"/>
      <c r="AT24" s="650"/>
      <c r="AU24" s="650"/>
      <c r="AV24" s="650"/>
      <c r="AW24" s="650"/>
      <c r="AX24" s="650"/>
      <c r="AY24" s="650"/>
      <c r="AZ24" s="650"/>
      <c r="BA24" s="650"/>
      <c r="BB24" s="650"/>
      <c r="BC24" s="650"/>
      <c r="BD24" s="650"/>
      <c r="BE24" s="263"/>
      <c r="BF24" s="650"/>
      <c r="BG24" s="650"/>
      <c r="BH24" s="650"/>
      <c r="BI24" s="650"/>
      <c r="BJ24" s="650"/>
      <c r="BK24" s="650"/>
      <c r="BL24" s="650"/>
      <c r="BM24" s="650"/>
      <c r="BN24" s="650"/>
      <c r="BO24" s="650"/>
      <c r="BP24" s="650"/>
      <c r="BQ24" s="650"/>
      <c r="BR24" s="263"/>
      <c r="BS24" s="3000"/>
      <c r="BT24" s="3000"/>
      <c r="BU24" s="3000"/>
      <c r="BV24" s="3000"/>
      <c r="BW24" s="3000"/>
      <c r="BX24" s="3000"/>
      <c r="BY24" s="3000"/>
      <c r="BZ24" s="3000"/>
      <c r="CA24" s="3000"/>
      <c r="CB24" s="3000"/>
      <c r="CC24" s="3000"/>
      <c r="CD24" s="3000"/>
      <c r="CE24" s="263"/>
      <c r="CF24" s="2300"/>
      <c r="CG24" s="2300"/>
      <c r="CH24" s="2300"/>
      <c r="CI24" s="2300"/>
      <c r="CJ24" s="2300"/>
      <c r="CK24" s="2300"/>
      <c r="CL24" s="2300"/>
      <c r="CM24" s="2300"/>
      <c r="CN24" s="2300"/>
      <c r="CO24" s="2300"/>
      <c r="CP24" s="2300"/>
      <c r="CQ24" s="2300"/>
    </row>
    <row r="25" spans="2:97">
      <c r="B25" s="3445"/>
      <c r="C25" s="3440"/>
      <c r="D25" s="147" t="s">
        <v>268</v>
      </c>
      <c r="E25" s="265">
        <f>SUM(F25:Q25)</f>
        <v>245716588</v>
      </c>
      <c r="F25" s="331">
        <v>30495314</v>
      </c>
      <c r="G25" s="331">
        <v>28912481</v>
      </c>
      <c r="H25" s="331">
        <v>27412981</v>
      </c>
      <c r="I25" s="613">
        <v>27654647</v>
      </c>
      <c r="J25" s="331">
        <v>24321514</v>
      </c>
      <c r="K25" s="331">
        <v>24321518</v>
      </c>
      <c r="L25" s="331">
        <v>23238352</v>
      </c>
      <c r="M25" s="331">
        <v>18071950</v>
      </c>
      <c r="N25" s="331">
        <v>12488617</v>
      </c>
      <c r="O25" s="666">
        <v>11021951</v>
      </c>
      <c r="P25" s="331">
        <v>8888618</v>
      </c>
      <c r="Q25" s="666">
        <v>8888645</v>
      </c>
      <c r="R25" s="265">
        <f>SUM(S25:AD25)</f>
        <v>69995775</v>
      </c>
      <c r="S25" s="666">
        <v>7888451</v>
      </c>
      <c r="T25" s="666">
        <f>S25</f>
        <v>7888451</v>
      </c>
      <c r="U25" s="666">
        <v>7888451</v>
      </c>
      <c r="V25" s="666">
        <v>7888451</v>
      </c>
      <c r="W25" s="666">
        <v>7888451</v>
      </c>
      <c r="X25" s="666">
        <v>7888455</v>
      </c>
      <c r="Y25" s="666">
        <v>5055285</v>
      </c>
      <c r="Z25" s="666">
        <v>5055285</v>
      </c>
      <c r="AA25" s="666">
        <v>5055285</v>
      </c>
      <c r="AB25" s="666">
        <v>3055285</v>
      </c>
      <c r="AC25" s="666">
        <v>2221952</v>
      </c>
      <c r="AD25" s="666">
        <v>2221973</v>
      </c>
      <c r="AE25" s="265">
        <f>SUM(AF25:AQ25)</f>
        <v>12800433</v>
      </c>
      <c r="AF25" s="666">
        <v>2221752</v>
      </c>
      <c r="AG25" s="666">
        <v>2221752</v>
      </c>
      <c r="AH25" s="666">
        <v>2221752</v>
      </c>
      <c r="AI25" s="666">
        <v>2221752</v>
      </c>
      <c r="AJ25" s="666">
        <v>2221755</v>
      </c>
      <c r="AK25" s="666">
        <v>241666</v>
      </c>
      <c r="AL25" s="666">
        <v>241666</v>
      </c>
      <c r="AM25" s="666">
        <v>241666</v>
      </c>
      <c r="AN25" s="666">
        <v>241666</v>
      </c>
      <c r="AO25" s="666">
        <v>241666</v>
      </c>
      <c r="AP25" s="666">
        <v>241666</v>
      </c>
      <c r="AQ25" s="666">
        <v>241674</v>
      </c>
      <c r="AR25" s="265">
        <f>SUM(AS25:BD25)</f>
        <v>2899000</v>
      </c>
      <c r="AS25" s="666">
        <v>241666</v>
      </c>
      <c r="AT25" s="666">
        <v>241666</v>
      </c>
      <c r="AU25" s="666">
        <v>241666</v>
      </c>
      <c r="AV25" s="666">
        <v>241666</v>
      </c>
      <c r="AW25" s="666">
        <v>241666</v>
      </c>
      <c r="AX25" s="666">
        <v>241666</v>
      </c>
      <c r="AY25" s="666">
        <v>241666</v>
      </c>
      <c r="AZ25" s="666">
        <v>241666</v>
      </c>
      <c r="BA25" s="666">
        <v>241666</v>
      </c>
      <c r="BB25" s="666">
        <v>241666</v>
      </c>
      <c r="BC25" s="666">
        <v>241666</v>
      </c>
      <c r="BD25" s="666">
        <v>240674</v>
      </c>
      <c r="BE25" s="265">
        <f>SUM(BF25:BQ25)</f>
        <v>2900000</v>
      </c>
      <c r="BF25" s="2133">
        <v>241666</v>
      </c>
      <c r="BG25" s="2133">
        <v>241666</v>
      </c>
      <c r="BH25" s="2133">
        <v>241666</v>
      </c>
      <c r="BI25" s="2133">
        <v>241666</v>
      </c>
      <c r="BJ25" s="2133">
        <v>241666</v>
      </c>
      <c r="BK25" s="2133">
        <v>241666</v>
      </c>
      <c r="BL25" s="2133">
        <v>241666</v>
      </c>
      <c r="BM25" s="2133">
        <v>241666</v>
      </c>
      <c r="BN25" s="2133">
        <v>241666</v>
      </c>
      <c r="BO25" s="2133">
        <v>241666</v>
      </c>
      <c r="BP25" s="2133">
        <v>241666</v>
      </c>
      <c r="BQ25" s="2133">
        <v>241674</v>
      </c>
      <c r="BR25" s="265">
        <f>SUM(BS25:CD25)</f>
        <v>724000</v>
      </c>
      <c r="BS25" s="2997">
        <v>241333</v>
      </c>
      <c r="BT25" s="2997">
        <v>241333</v>
      </c>
      <c r="BU25" s="2997">
        <v>241334</v>
      </c>
      <c r="BV25" s="2997">
        <v>0</v>
      </c>
      <c r="BW25" s="2997">
        <v>0</v>
      </c>
      <c r="BX25" s="2997">
        <v>0</v>
      </c>
      <c r="BY25" s="2997">
        <v>0</v>
      </c>
      <c r="BZ25" s="2997">
        <v>0</v>
      </c>
      <c r="CA25" s="2997">
        <v>0</v>
      </c>
      <c r="CB25" s="2997">
        <v>0</v>
      </c>
      <c r="CC25" s="2997">
        <v>0</v>
      </c>
      <c r="CD25" s="2997">
        <v>0</v>
      </c>
      <c r="CE25" s="265">
        <f>SUM(CF25:CQ25)</f>
        <v>0</v>
      </c>
      <c r="CF25" s="2824">
        <f>CD25</f>
        <v>0</v>
      </c>
      <c r="CG25" s="2824">
        <f>CF25</f>
        <v>0</v>
      </c>
      <c r="CH25" s="2824">
        <f t="shared" ref="CH25:CQ25" si="23">CG25</f>
        <v>0</v>
      </c>
      <c r="CI25" s="2824">
        <f t="shared" si="23"/>
        <v>0</v>
      </c>
      <c r="CJ25" s="2824">
        <f t="shared" si="23"/>
        <v>0</v>
      </c>
      <c r="CK25" s="2824">
        <f t="shared" si="23"/>
        <v>0</v>
      </c>
      <c r="CL25" s="2824">
        <f t="shared" si="23"/>
        <v>0</v>
      </c>
      <c r="CM25" s="2824">
        <f t="shared" si="23"/>
        <v>0</v>
      </c>
      <c r="CN25" s="2824">
        <f t="shared" si="23"/>
        <v>0</v>
      </c>
      <c r="CO25" s="2824">
        <f t="shared" si="23"/>
        <v>0</v>
      </c>
      <c r="CP25" s="2824">
        <f t="shared" si="23"/>
        <v>0</v>
      </c>
      <c r="CQ25" s="2824">
        <f t="shared" si="23"/>
        <v>0</v>
      </c>
    </row>
    <row r="26" spans="2:97">
      <c r="B26" s="3445"/>
      <c r="C26" s="3437" t="s">
        <v>271</v>
      </c>
      <c r="D26" s="148" t="s">
        <v>273</v>
      </c>
      <c r="E26" s="266"/>
      <c r="F26" s="267">
        <v>3036267838</v>
      </c>
      <c r="G26" s="267">
        <v>0</v>
      </c>
      <c r="H26" s="267">
        <v>0</v>
      </c>
      <c r="I26" s="267">
        <v>0</v>
      </c>
      <c r="J26" s="267">
        <v>0</v>
      </c>
      <c r="K26" s="267">
        <v>0</v>
      </c>
      <c r="L26" s="267">
        <v>0</v>
      </c>
      <c r="M26" s="267">
        <v>0</v>
      </c>
      <c r="N26" s="267">
        <v>0</v>
      </c>
      <c r="O26" s="267">
        <v>0</v>
      </c>
      <c r="P26" s="267">
        <v>0</v>
      </c>
      <c r="Q26" s="267">
        <v>0</v>
      </c>
      <c r="R26" s="266"/>
      <c r="S26" s="267"/>
      <c r="T26" s="267"/>
      <c r="U26" s="267"/>
      <c r="V26" s="267"/>
      <c r="W26" s="267"/>
      <c r="X26" s="267"/>
      <c r="Y26" s="267"/>
      <c r="Z26" s="267"/>
      <c r="AA26" s="267">
        <f>Z29*99%</f>
        <v>4800673904.3999996</v>
      </c>
      <c r="AB26" s="267">
        <f t="shared" ref="AB26:AD26" si="24">AA29*99%</f>
        <v>4752667165.3559999</v>
      </c>
      <c r="AC26" s="267">
        <f t="shared" si="24"/>
        <v>4705140493.7024403</v>
      </c>
      <c r="AD26" s="267">
        <f t="shared" si="24"/>
        <v>4658089088.7654161</v>
      </c>
      <c r="AE26" s="266"/>
      <c r="AF26" s="267">
        <f>AD29*99%</f>
        <v>4611508197.8777618</v>
      </c>
      <c r="AG26" s="267">
        <f>AF29*99%</f>
        <v>0</v>
      </c>
      <c r="AH26" s="267">
        <f t="shared" ref="AH26:AQ26" si="25">AG29*99%</f>
        <v>0</v>
      </c>
      <c r="AI26" s="267">
        <f t="shared" si="25"/>
        <v>0</v>
      </c>
      <c r="AJ26" s="267">
        <f t="shared" si="25"/>
        <v>0</v>
      </c>
      <c r="AK26" s="267">
        <f t="shared" si="25"/>
        <v>0</v>
      </c>
      <c r="AL26" s="267">
        <f t="shared" si="25"/>
        <v>0</v>
      </c>
      <c r="AM26" s="267">
        <f t="shared" si="25"/>
        <v>0</v>
      </c>
      <c r="AN26" s="267">
        <f t="shared" si="25"/>
        <v>0</v>
      </c>
      <c r="AO26" s="267">
        <f t="shared" si="25"/>
        <v>0</v>
      </c>
      <c r="AP26" s="267">
        <f t="shared" si="25"/>
        <v>0</v>
      </c>
      <c r="AQ26" s="267">
        <f t="shared" si="25"/>
        <v>0</v>
      </c>
      <c r="AR26" s="266"/>
      <c r="AS26" s="267"/>
      <c r="AT26" s="267"/>
      <c r="AU26" s="267"/>
      <c r="AV26" s="267"/>
      <c r="AW26" s="267"/>
      <c r="AX26" s="267"/>
      <c r="AY26" s="267"/>
      <c r="AZ26" s="267"/>
      <c r="BA26" s="267">
        <f>AZ31</f>
        <v>0</v>
      </c>
      <c r="BB26" s="267">
        <f>BA29*99%</f>
        <v>0</v>
      </c>
      <c r="BC26" s="267">
        <f>BB29*99%</f>
        <v>0</v>
      </c>
      <c r="BD26" s="267">
        <f>BC29*99%</f>
        <v>0</v>
      </c>
      <c r="BE26" s="266"/>
      <c r="BF26" s="267"/>
      <c r="BG26" s="267"/>
      <c r="BH26" s="267"/>
      <c r="BI26" s="267"/>
      <c r="BJ26" s="267"/>
      <c r="BK26" s="267"/>
      <c r="BL26" s="267"/>
      <c r="BM26" s="267"/>
      <c r="BN26" s="267"/>
      <c r="BO26" s="267"/>
      <c r="BP26" s="267"/>
      <c r="BQ26" s="267"/>
      <c r="BR26" s="266"/>
      <c r="BS26" s="2137"/>
      <c r="BT26" s="2137"/>
      <c r="BU26" s="2137"/>
      <c r="BV26" s="2137"/>
      <c r="BW26" s="2137"/>
      <c r="BX26" s="267">
        <f>BW31</f>
        <v>0</v>
      </c>
      <c r="BY26" s="2137"/>
      <c r="BZ26" s="2137"/>
      <c r="CA26" s="2137"/>
      <c r="CB26" s="2137"/>
      <c r="CC26" s="2137"/>
      <c r="CD26" s="2137"/>
      <c r="CE26" s="266"/>
      <c r="CF26" s="2137">
        <f>CD31</f>
        <v>1213702200</v>
      </c>
      <c r="CG26" s="2137"/>
      <c r="CH26" s="2137"/>
      <c r="CI26" s="2137"/>
      <c r="CJ26" s="2137"/>
      <c r="CK26" s="267"/>
      <c r="CL26" s="2137"/>
      <c r="CM26" s="2137"/>
      <c r="CN26" s="2137"/>
      <c r="CO26" s="2137"/>
      <c r="CP26" s="2137"/>
      <c r="CQ26" s="2137"/>
    </row>
    <row r="27" spans="2:97">
      <c r="B27" s="3445"/>
      <c r="C27" s="3439"/>
      <c r="D27" s="285" t="s">
        <v>265</v>
      </c>
      <c r="E27" s="262">
        <f>SUM(F27:Q27)</f>
        <v>220005600</v>
      </c>
      <c r="F27" s="329"/>
      <c r="G27" s="329"/>
      <c r="H27" s="329"/>
      <c r="I27" s="329">
        <v>185085600</v>
      </c>
      <c r="J27" s="329"/>
      <c r="K27" s="329"/>
      <c r="L27" s="329"/>
      <c r="M27" s="329"/>
      <c r="N27" s="329"/>
      <c r="O27" s="329">
        <v>34920000</v>
      </c>
      <c r="P27" s="329"/>
      <c r="Q27" s="329"/>
      <c r="R27" s="262">
        <f>SUM(S27:AD27)</f>
        <v>185085600</v>
      </c>
      <c r="S27" s="555"/>
      <c r="T27" s="555"/>
      <c r="U27" s="555">
        <v>185085600</v>
      </c>
      <c r="V27" s="555"/>
      <c r="W27" s="555"/>
      <c r="X27" s="555"/>
      <c r="Y27" s="555"/>
      <c r="Z27" s="555"/>
      <c r="AA27" s="555"/>
      <c r="AB27" s="555"/>
      <c r="AC27" s="555"/>
      <c r="AD27" s="555"/>
      <c r="AE27" s="262">
        <f>SUM(AF27:AQ27)</f>
        <v>185085600</v>
      </c>
      <c r="AF27" s="555"/>
      <c r="AG27" s="555"/>
      <c r="AH27" s="555"/>
      <c r="AI27" s="555">
        <v>185085600</v>
      </c>
      <c r="AJ27" s="555"/>
      <c r="AK27" s="555"/>
      <c r="AL27" s="555"/>
      <c r="AM27" s="555"/>
      <c r="AN27" s="555"/>
      <c r="AO27" s="555"/>
      <c r="AP27" s="555"/>
      <c r="AQ27" s="555"/>
      <c r="AR27" s="262">
        <f>SUM(AS27:BD27)</f>
        <v>445527000</v>
      </c>
      <c r="AS27" s="555"/>
      <c r="AT27" s="2134">
        <v>150000000</v>
      </c>
      <c r="AU27" s="2134">
        <v>96525000</v>
      </c>
      <c r="AV27" s="2134">
        <v>199002000</v>
      </c>
      <c r="AW27" s="555"/>
      <c r="AX27" s="555"/>
      <c r="AY27" s="555"/>
      <c r="AZ27" s="555"/>
      <c r="BA27" s="555"/>
      <c r="BB27" s="555"/>
      <c r="BC27" s="555"/>
      <c r="BD27" s="555"/>
      <c r="BE27" s="262">
        <f>SUM(BF27:BQ27)</f>
        <v>199002000</v>
      </c>
      <c r="BF27" s="555"/>
      <c r="BG27" s="555"/>
      <c r="BH27" s="555"/>
      <c r="BI27" s="2134">
        <v>199002000</v>
      </c>
      <c r="BJ27" s="555"/>
      <c r="BK27" s="555"/>
      <c r="BL27" s="555"/>
      <c r="BM27" s="555"/>
      <c r="BN27" s="555"/>
      <c r="BO27" s="555"/>
      <c r="BP27" s="555"/>
      <c r="BQ27" s="555"/>
      <c r="BR27" s="262">
        <f>SUM(BS27:CD27)</f>
        <v>199002000</v>
      </c>
      <c r="BS27" s="2998"/>
      <c r="BT27" s="2998"/>
      <c r="BU27" s="2998"/>
      <c r="BV27" s="2998">
        <v>199002000</v>
      </c>
      <c r="BW27" s="2998"/>
      <c r="BX27" s="2998"/>
      <c r="BY27" s="2998"/>
      <c r="BZ27" s="2998"/>
      <c r="CA27" s="2998"/>
      <c r="CB27" s="2998"/>
      <c r="CC27" s="2998"/>
      <c r="CD27" s="2998"/>
      <c r="CE27" s="262">
        <f>SUM(CF27:CQ27)</f>
        <v>2750000000</v>
      </c>
      <c r="CF27" s="2138"/>
      <c r="CG27" s="2138"/>
      <c r="CH27" s="2138"/>
      <c r="CI27" s="2138">
        <v>300000000</v>
      </c>
      <c r="CJ27" s="2138"/>
      <c r="CK27" s="2138"/>
      <c r="CL27" s="2138"/>
      <c r="CM27" s="2138"/>
      <c r="CN27" s="2138">
        <v>1000000000</v>
      </c>
      <c r="CO27" s="2138">
        <v>1450000000</v>
      </c>
      <c r="CP27" s="2138"/>
      <c r="CQ27" s="2138"/>
    </row>
    <row r="28" spans="2:97">
      <c r="B28" s="3445"/>
      <c r="C28" s="3439"/>
      <c r="D28" s="286" t="s">
        <v>266</v>
      </c>
      <c r="E28" s="263">
        <f>SUM(F28:Q28)</f>
        <v>0</v>
      </c>
      <c r="F28" s="330"/>
      <c r="G28" s="330"/>
      <c r="H28" s="330"/>
      <c r="I28" s="330"/>
      <c r="J28" s="330"/>
      <c r="K28" s="330"/>
      <c r="L28" s="330"/>
      <c r="M28" s="330"/>
      <c r="N28" s="330"/>
      <c r="O28" s="330"/>
      <c r="P28" s="330"/>
      <c r="Q28" s="330"/>
      <c r="R28" s="263">
        <f>SUM(S28:AD28)</f>
        <v>0</v>
      </c>
      <c r="S28" s="373"/>
      <c r="T28" s="373"/>
      <c r="U28" s="373"/>
      <c r="V28" s="373"/>
      <c r="W28" s="373"/>
      <c r="X28" s="373"/>
      <c r="Y28" s="373"/>
      <c r="Z28" s="373"/>
      <c r="AA28" s="373"/>
      <c r="AB28" s="373"/>
      <c r="AC28" s="373"/>
      <c r="AD28" s="373"/>
      <c r="AE28" s="263">
        <f>SUM(AF28:AQ28)</f>
        <v>0</v>
      </c>
      <c r="AF28" s="373"/>
      <c r="AG28" s="373"/>
      <c r="AH28" s="373"/>
      <c r="AI28" s="373"/>
      <c r="AJ28" s="373"/>
      <c r="AK28" s="373"/>
      <c r="AL28" s="373"/>
      <c r="AM28" s="373"/>
      <c r="AN28" s="373"/>
      <c r="AO28" s="373"/>
      <c r="AP28" s="373"/>
      <c r="AQ28" s="373"/>
      <c r="AR28" s="263">
        <f>SUM(AS28:BD28)</f>
        <v>0</v>
      </c>
      <c r="AS28" s="373"/>
      <c r="AT28" s="373"/>
      <c r="AU28" s="373"/>
      <c r="AV28" s="373"/>
      <c r="AW28" s="373"/>
      <c r="AX28" s="373"/>
      <c r="AY28" s="373"/>
      <c r="AZ28" s="373"/>
      <c r="BA28" s="373"/>
      <c r="BB28" s="373"/>
      <c r="BC28" s="373"/>
      <c r="BD28" s="373"/>
      <c r="BE28" s="263">
        <f>SUM(BF28:BQ28)</f>
        <v>0</v>
      </c>
      <c r="BF28" s="373"/>
      <c r="BG28" s="373"/>
      <c r="BH28" s="373"/>
      <c r="BI28" s="373"/>
      <c r="BJ28" s="373"/>
      <c r="BK28" s="373"/>
      <c r="BL28" s="373"/>
      <c r="BM28" s="373"/>
      <c r="BN28" s="373"/>
      <c r="BO28" s="373"/>
      <c r="BP28" s="373"/>
      <c r="BQ28" s="373"/>
      <c r="BR28" s="263">
        <f>SUM(BS28:CD28)</f>
        <v>0</v>
      </c>
      <c r="BS28" s="2999"/>
      <c r="BT28" s="2999"/>
      <c r="BU28" s="2999"/>
      <c r="BV28" s="2999"/>
      <c r="BW28" s="2999"/>
      <c r="BX28" s="2999"/>
      <c r="BY28" s="2999"/>
      <c r="BZ28" s="2999"/>
      <c r="CA28" s="2999"/>
      <c r="CB28" s="2999"/>
      <c r="CC28" s="2999"/>
      <c r="CD28" s="2999"/>
      <c r="CE28" s="263">
        <f>SUM(CF28:CQ28)</f>
        <v>0</v>
      </c>
      <c r="CF28" s="2139"/>
      <c r="CG28" s="2139"/>
      <c r="CH28" s="2139"/>
      <c r="CI28" s="2139"/>
      <c r="CJ28" s="2139"/>
      <c r="CK28" s="2139"/>
      <c r="CL28" s="2139"/>
      <c r="CM28" s="2139"/>
      <c r="CN28" s="2139"/>
      <c r="CO28" s="2139"/>
      <c r="CP28" s="2139"/>
      <c r="CQ28" s="2139"/>
    </row>
    <row r="29" spans="2:97">
      <c r="B29" s="3445"/>
      <c r="C29" s="3439"/>
      <c r="D29" s="146" t="s">
        <v>267</v>
      </c>
      <c r="E29" s="263"/>
      <c r="F29" s="433"/>
      <c r="G29" s="433"/>
      <c r="H29" s="433"/>
      <c r="I29" s="433"/>
      <c r="J29" s="433"/>
      <c r="K29" s="433"/>
      <c r="L29" s="433"/>
      <c r="M29" s="433"/>
      <c r="N29" s="433"/>
      <c r="O29" s="433"/>
      <c r="P29" s="330"/>
      <c r="Q29" s="433">
        <v>0</v>
      </c>
      <c r="R29" s="263"/>
      <c r="S29" s="650"/>
      <c r="T29" s="650"/>
      <c r="U29" s="650"/>
      <c r="V29" s="650"/>
      <c r="W29" s="650"/>
      <c r="X29" s="650"/>
      <c r="Y29" s="650"/>
      <c r="Z29" s="650">
        <f>Z32*60</f>
        <v>4849165560</v>
      </c>
      <c r="AA29" s="650">
        <f>AA26+AA27-AA28</f>
        <v>4800673904.3999996</v>
      </c>
      <c r="AB29" s="650">
        <f>AB26+AB27-AB28</f>
        <v>4752667165.3559999</v>
      </c>
      <c r="AC29" s="650">
        <f t="shared" ref="AC29:AD29" si="26">AC26+AC27-AC28</f>
        <v>4705140493.7024403</v>
      </c>
      <c r="AD29" s="650">
        <f t="shared" si="26"/>
        <v>4658089088.7654161</v>
      </c>
      <c r="AE29" s="263"/>
      <c r="AF29" s="650"/>
      <c r="AG29" s="650"/>
      <c r="AH29" s="650"/>
      <c r="AI29" s="650"/>
      <c r="AJ29" s="650"/>
      <c r="AK29" s="650"/>
      <c r="AL29" s="650"/>
      <c r="AM29" s="650"/>
      <c r="AN29" s="650"/>
      <c r="AO29" s="650"/>
      <c r="AP29" s="650"/>
      <c r="AQ29" s="650"/>
      <c r="AR29" s="263"/>
      <c r="AS29" s="650"/>
      <c r="AT29" s="650"/>
      <c r="AU29" s="650"/>
      <c r="AV29" s="650"/>
      <c r="AW29" s="650"/>
      <c r="AX29" s="650"/>
      <c r="AY29" s="650"/>
      <c r="AZ29" s="650"/>
      <c r="BA29" s="650"/>
      <c r="BB29" s="373"/>
      <c r="BC29" s="373"/>
      <c r="BD29" s="373"/>
      <c r="BE29" s="263"/>
      <c r="BF29" s="650"/>
      <c r="BG29" s="650"/>
      <c r="BH29" s="650"/>
      <c r="BI29" s="650"/>
      <c r="BJ29" s="650"/>
      <c r="BK29" s="650"/>
      <c r="BL29" s="650"/>
      <c r="BM29" s="650"/>
      <c r="BN29" s="650"/>
      <c r="BO29" s="650"/>
      <c r="BP29" s="650"/>
      <c r="BQ29" s="2183">
        <v>1598594280</v>
      </c>
      <c r="BR29" s="263"/>
      <c r="BS29" s="3000"/>
      <c r="BT29" s="3000"/>
      <c r="BU29" s="3000"/>
      <c r="BV29" s="3000"/>
      <c r="BW29" s="3000"/>
      <c r="BX29" s="3001"/>
      <c r="BY29" s="3001"/>
      <c r="BZ29" s="3001"/>
      <c r="CA29" s="3001"/>
      <c r="CB29" s="3001"/>
      <c r="CC29" s="3001"/>
      <c r="CD29" s="3001"/>
      <c r="CE29" s="263"/>
      <c r="CF29" s="2300">
        <f>CF26+CF27-CF28</f>
        <v>1213702200</v>
      </c>
      <c r="CG29" s="650">
        <f t="shared" ref="CG29" si="27">CF29+CG27</f>
        <v>1213702200</v>
      </c>
      <c r="CH29" s="650">
        <f t="shared" ref="CH29" si="28">CG29+CH27</f>
        <v>1213702200</v>
      </c>
      <c r="CI29" s="650">
        <f t="shared" ref="CI29" si="29">CH29+CI27</f>
        <v>1513702200</v>
      </c>
      <c r="CJ29" s="650">
        <f t="shared" ref="CJ29" si="30">CI29+CJ27</f>
        <v>1513702200</v>
      </c>
      <c r="CK29" s="650">
        <f t="shared" ref="CK29" si="31">CJ29+CK27</f>
        <v>1513702200</v>
      </c>
      <c r="CL29" s="650">
        <f t="shared" ref="CL29" si="32">CK29+CL27</f>
        <v>1513702200</v>
      </c>
      <c r="CM29" s="650">
        <f t="shared" ref="CM29" si="33">CL29+CM27</f>
        <v>1513702200</v>
      </c>
      <c r="CN29" s="650">
        <f t="shared" ref="CN29" si="34">CM29+CN27</f>
        <v>2513702200</v>
      </c>
      <c r="CO29" s="650">
        <f t="shared" ref="CO29" si="35">CN29+CO27</f>
        <v>3963702200</v>
      </c>
      <c r="CP29" s="650">
        <f t="shared" ref="CP29" si="36">CO29+CP27</f>
        <v>3963702200</v>
      </c>
      <c r="CQ29" s="650">
        <f t="shared" ref="CQ29" si="37">CP29+CQ27</f>
        <v>3963702200</v>
      </c>
      <c r="CS29" s="650"/>
    </row>
    <row r="30" spans="2:97">
      <c r="B30" s="3445"/>
      <c r="C30" s="3439"/>
      <c r="D30" s="284" t="s">
        <v>288</v>
      </c>
      <c r="E30" s="263"/>
      <c r="F30" s="652"/>
      <c r="G30" s="652"/>
      <c r="H30" s="652"/>
      <c r="I30" s="652"/>
      <c r="J30" s="652"/>
      <c r="K30" s="652"/>
      <c r="L30" s="652"/>
      <c r="M30" s="652"/>
      <c r="N30" s="650"/>
      <c r="O30" s="650"/>
      <c r="P30" s="373"/>
      <c r="Q30" s="650">
        <v>0</v>
      </c>
      <c r="R30" s="263"/>
      <c r="S30" s="650"/>
      <c r="T30" s="650"/>
      <c r="U30" s="650"/>
      <c r="V30" s="650"/>
      <c r="W30" s="650"/>
      <c r="X30" s="650"/>
      <c r="Y30" s="650"/>
      <c r="Z30" s="650"/>
      <c r="AA30" s="650"/>
      <c r="AB30" s="650"/>
      <c r="AC30" s="650"/>
      <c r="AD30" s="650"/>
      <c r="AE30" s="263"/>
      <c r="AF30" s="650"/>
      <c r="AG30" s="650"/>
      <c r="AH30" s="650"/>
      <c r="AI30" s="650"/>
      <c r="AJ30" s="650"/>
      <c r="AK30" s="650"/>
      <c r="AL30" s="650"/>
      <c r="AM30" s="650"/>
      <c r="AN30" s="650"/>
      <c r="AO30" s="650"/>
      <c r="AP30" s="650"/>
      <c r="AR30" s="263"/>
      <c r="AS30" s="650"/>
      <c r="AT30" s="650"/>
      <c r="AU30" s="650"/>
      <c r="AV30" s="650"/>
      <c r="AW30" s="650"/>
      <c r="AX30" s="650"/>
      <c r="AY30" s="650"/>
      <c r="AZ30" s="650"/>
      <c r="BA30" s="650"/>
      <c r="BB30" s="373"/>
      <c r="BC30" s="373"/>
      <c r="BD30" s="373"/>
      <c r="BE30" s="263"/>
      <c r="BF30" s="650"/>
      <c r="BG30" s="650"/>
      <c r="BH30" s="650"/>
      <c r="BI30" s="650"/>
      <c r="BJ30" s="650"/>
      <c r="BK30" s="650"/>
      <c r="BL30" s="650"/>
      <c r="BM30" s="650"/>
      <c r="BN30" s="650"/>
      <c r="BO30" s="650"/>
      <c r="BP30" s="650"/>
      <c r="BQ30" s="650"/>
      <c r="BR30" s="263"/>
      <c r="BS30" s="3000"/>
      <c r="BT30" s="3000"/>
      <c r="BU30" s="3000"/>
      <c r="BV30" s="3000"/>
      <c r="BW30" s="3000"/>
      <c r="BX30" s="3001"/>
      <c r="BY30" s="3001"/>
      <c r="BZ30" s="3001"/>
      <c r="CA30" s="3001"/>
      <c r="CB30" s="3001"/>
      <c r="CC30" s="3001"/>
      <c r="CD30" s="3001"/>
      <c r="CE30" s="263"/>
      <c r="CF30" s="650">
        <f>CF26-CF31</f>
        <v>0</v>
      </c>
      <c r="CG30" s="650">
        <f t="shared" ref="CG30" si="38">CF30*99%</f>
        <v>0</v>
      </c>
      <c r="CH30" s="650">
        <f t="shared" ref="CH30" si="39">CG30*99%</f>
        <v>0</v>
      </c>
      <c r="CI30" s="650">
        <f t="shared" ref="CI30" si="40">CH30*99%</f>
        <v>0</v>
      </c>
      <c r="CJ30" s="650">
        <f t="shared" ref="CJ30" si="41">CI30*99%</f>
        <v>0</v>
      </c>
      <c r="CK30" s="650">
        <f t="shared" ref="CK30" si="42">CJ30*99%</f>
        <v>0</v>
      </c>
      <c r="CL30" s="650">
        <f t="shared" ref="CL30" si="43">CK30*99%</f>
        <v>0</v>
      </c>
      <c r="CM30" s="650">
        <f t="shared" ref="CM30" si="44">CL30*99%</f>
        <v>0</v>
      </c>
      <c r="CN30" s="650">
        <f t="shared" ref="CN30" si="45">CM30*99%</f>
        <v>0</v>
      </c>
      <c r="CO30" s="650">
        <f t="shared" ref="CO30" si="46">CN30*99%</f>
        <v>0</v>
      </c>
      <c r="CP30" s="650">
        <f t="shared" ref="CP30" si="47">CO30*99%</f>
        <v>0</v>
      </c>
      <c r="CQ30" s="650">
        <f t="shared" ref="CQ30" si="48">CP30*99%</f>
        <v>0</v>
      </c>
      <c r="CS30" s="650"/>
    </row>
    <row r="31" spans="2:97">
      <c r="B31" s="3445"/>
      <c r="C31" s="3439"/>
      <c r="D31" s="284" t="s">
        <v>289</v>
      </c>
      <c r="E31" s="263"/>
      <c r="F31" s="330">
        <v>4965530400</v>
      </c>
      <c r="G31" s="330">
        <v>4965530400</v>
      </c>
      <c r="H31" s="330">
        <v>4965530520</v>
      </c>
      <c r="I31" s="330">
        <v>5010056040</v>
      </c>
      <c r="J31" s="330">
        <v>5010056040</v>
      </c>
      <c r="K31" s="330">
        <v>5010056040</v>
      </c>
      <c r="L31" s="330">
        <v>4994066040</v>
      </c>
      <c r="M31" s="330">
        <v>4994066040</v>
      </c>
      <c r="N31" s="330">
        <v>4994066040</v>
      </c>
      <c r="O31" s="330">
        <v>5028986040</v>
      </c>
      <c r="P31" s="330">
        <v>5028987180</v>
      </c>
      <c r="Q31" s="330">
        <v>4869669300</v>
      </c>
      <c r="R31" s="263"/>
      <c r="S31" s="650"/>
      <c r="T31" s="650"/>
      <c r="U31" s="650"/>
      <c r="V31" s="650"/>
      <c r="W31" s="650"/>
      <c r="X31" s="650"/>
      <c r="Y31" s="650"/>
      <c r="AA31" s="650"/>
      <c r="AB31" s="650"/>
      <c r="AC31" s="650"/>
      <c r="AD31" s="650"/>
      <c r="AE31" s="263"/>
      <c r="AF31" s="650"/>
      <c r="AG31" s="650"/>
      <c r="AH31" s="650"/>
      <c r="AI31" s="650"/>
      <c r="AJ31" s="650"/>
      <c r="AK31" s="650"/>
      <c r="AL31" s="650"/>
      <c r="AM31" s="650"/>
      <c r="AN31" s="650"/>
      <c r="AO31" s="650"/>
      <c r="AP31" s="650"/>
      <c r="AQ31" s="650">
        <f>AQ32*60</f>
        <v>3051675420</v>
      </c>
      <c r="AR31" s="263"/>
      <c r="AS31" s="650"/>
      <c r="AT31" s="650"/>
      <c r="AU31" s="650"/>
      <c r="AV31" s="650"/>
      <c r="AW31" s="650"/>
      <c r="AX31" s="650"/>
      <c r="AY31" s="650"/>
      <c r="AZ31" s="650"/>
      <c r="BA31" s="650"/>
      <c r="BB31" s="373"/>
      <c r="BC31" s="373"/>
      <c r="BD31" s="650">
        <f>BD32*60</f>
        <v>2456104680</v>
      </c>
      <c r="BE31" s="263"/>
      <c r="BF31" s="650"/>
      <c r="BG31" s="650"/>
      <c r="BH31" s="650"/>
      <c r="BI31" s="650"/>
      <c r="BJ31" s="650"/>
      <c r="BK31" s="650"/>
      <c r="BL31" s="650"/>
      <c r="BM31" s="650"/>
      <c r="BN31" s="650"/>
      <c r="BO31" s="650"/>
      <c r="BP31" s="650"/>
      <c r="BQ31" s="650"/>
      <c r="BR31" s="263"/>
      <c r="BS31" s="3000"/>
      <c r="BT31" s="3000"/>
      <c r="BU31" s="3000"/>
      <c r="BV31" s="3000"/>
      <c r="BW31" s="3001"/>
      <c r="BX31" s="3001"/>
      <c r="BY31" s="3001"/>
      <c r="BZ31" s="3001"/>
      <c r="CA31" s="3001"/>
      <c r="CB31" s="3001"/>
      <c r="CC31" s="3002">
        <f>CC32*60</f>
        <v>1213702200</v>
      </c>
      <c r="CD31" s="3002">
        <v>1213702200</v>
      </c>
      <c r="CE31" s="263"/>
      <c r="CF31" s="650">
        <f>CD31</f>
        <v>1213702200</v>
      </c>
      <c r="CG31" s="650">
        <f t="shared" ref="CG31:CQ31" si="49">CG29-CG30</f>
        <v>1213702200</v>
      </c>
      <c r="CH31" s="650">
        <f t="shared" si="49"/>
        <v>1213702200</v>
      </c>
      <c r="CI31" s="650">
        <f t="shared" si="49"/>
        <v>1513702200</v>
      </c>
      <c r="CJ31" s="650">
        <f t="shared" si="49"/>
        <v>1513702200</v>
      </c>
      <c r="CK31" s="650">
        <f t="shared" si="49"/>
        <v>1513702200</v>
      </c>
      <c r="CL31" s="650">
        <f t="shared" si="49"/>
        <v>1513702200</v>
      </c>
      <c r="CM31" s="650">
        <f t="shared" si="49"/>
        <v>1513702200</v>
      </c>
      <c r="CN31" s="650">
        <f t="shared" si="49"/>
        <v>2513702200</v>
      </c>
      <c r="CO31" s="650">
        <f t="shared" si="49"/>
        <v>3963702200</v>
      </c>
      <c r="CP31" s="650">
        <f t="shared" si="49"/>
        <v>3963702200</v>
      </c>
      <c r="CQ31" s="650">
        <f t="shared" si="49"/>
        <v>3963702200</v>
      </c>
    </row>
    <row r="32" spans="2:97">
      <c r="B32" s="3446"/>
      <c r="C32" s="3440"/>
      <c r="D32" s="147" t="s">
        <v>268</v>
      </c>
      <c r="E32" s="265">
        <f>SUM(F32:Q32)</f>
        <v>997276668</v>
      </c>
      <c r="F32" s="331">
        <v>82758840</v>
      </c>
      <c r="G32" s="331">
        <v>82758840</v>
      </c>
      <c r="H32" s="331">
        <v>82758842</v>
      </c>
      <c r="I32" s="331">
        <v>83500934</v>
      </c>
      <c r="J32" s="331">
        <v>83500934</v>
      </c>
      <c r="K32" s="331">
        <v>83500934</v>
      </c>
      <c r="L32" s="331">
        <v>83234434</v>
      </c>
      <c r="M32" s="331">
        <v>83234434</v>
      </c>
      <c r="N32" s="331">
        <v>83234434</v>
      </c>
      <c r="O32" s="666">
        <v>83816434</v>
      </c>
      <c r="P32" s="331">
        <v>83816453</v>
      </c>
      <c r="Q32" s="666">
        <v>81161155</v>
      </c>
      <c r="R32" s="265">
        <f>SUM(S32:AD32)</f>
        <v>976369136</v>
      </c>
      <c r="S32" s="666">
        <v>81160272</v>
      </c>
      <c r="T32" s="666">
        <f>S32</f>
        <v>81160272</v>
      </c>
      <c r="U32" s="666">
        <v>84245034</v>
      </c>
      <c r="V32" s="666">
        <v>81902368</v>
      </c>
      <c r="W32" s="666">
        <v>81319283</v>
      </c>
      <c r="X32" s="666">
        <v>81319283</v>
      </c>
      <c r="Y32" s="666">
        <v>81319284</v>
      </c>
      <c r="Z32" s="666">
        <v>80819426</v>
      </c>
      <c r="AA32" s="666">
        <v>80819426</v>
      </c>
      <c r="AB32" s="666">
        <v>80819426</v>
      </c>
      <c r="AC32" s="666">
        <v>80819431</v>
      </c>
      <c r="AD32" s="666">
        <v>80665631</v>
      </c>
      <c r="AE32" s="265">
        <f>SUM(AF32:AQ32)</f>
        <v>848643639</v>
      </c>
      <c r="AF32" s="666">
        <v>80663900</v>
      </c>
      <c r="AG32" s="666">
        <v>80543733</v>
      </c>
      <c r="AH32" s="666">
        <v>80543735</v>
      </c>
      <c r="AI32" s="666">
        <v>80548827</v>
      </c>
      <c r="AJ32" s="666">
        <v>80548827</v>
      </c>
      <c r="AK32" s="666">
        <v>80548827</v>
      </c>
      <c r="AL32" s="666">
        <v>80790493</v>
      </c>
      <c r="AM32" s="666">
        <v>80548831</v>
      </c>
      <c r="AN32" s="666">
        <v>51015068</v>
      </c>
      <c r="AO32" s="666">
        <v>51015068</v>
      </c>
      <c r="AP32" s="666">
        <v>51015073</v>
      </c>
      <c r="AQ32" s="666">
        <v>50861257</v>
      </c>
      <c r="AR32" s="265">
        <f>SUM(AS32:BD32)</f>
        <v>575999859</v>
      </c>
      <c r="AS32" s="666">
        <v>50860314</v>
      </c>
      <c r="AT32" s="666">
        <v>53360314</v>
      </c>
      <c r="AU32" s="666">
        <v>54969066</v>
      </c>
      <c r="AV32" s="666">
        <v>55206098</v>
      </c>
      <c r="AW32" s="666">
        <v>55206101</v>
      </c>
      <c r="AX32" s="666">
        <v>46312359</v>
      </c>
      <c r="AY32" s="666">
        <v>46312365</v>
      </c>
      <c r="AZ32" s="666">
        <v>44799839</v>
      </c>
      <c r="BA32" s="666">
        <v>43551628</v>
      </c>
      <c r="BB32" s="666">
        <v>43551635</v>
      </c>
      <c r="BC32" s="666">
        <v>40935062</v>
      </c>
      <c r="BD32" s="666">
        <v>40935078</v>
      </c>
      <c r="BE32" s="265">
        <f>SUM(BF32:BQ32)</f>
        <v>279751062</v>
      </c>
      <c r="BF32" s="2133">
        <v>40933338</v>
      </c>
      <c r="BG32" s="2133">
        <v>22101004</v>
      </c>
      <c r="BH32" s="2133">
        <v>22101006</v>
      </c>
      <c r="BI32" s="2133">
        <v>22338038</v>
      </c>
      <c r="BJ32" s="2133">
        <v>22338038</v>
      </c>
      <c r="BK32" s="2133">
        <v>21643238</v>
      </c>
      <c r="BL32" s="2133">
        <v>21643238</v>
      </c>
      <c r="BM32" s="2133">
        <v>21643238</v>
      </c>
      <c r="BN32" s="2133">
        <v>21643238</v>
      </c>
      <c r="BO32" s="2133">
        <v>21643242</v>
      </c>
      <c r="BP32" s="2133">
        <v>21145014</v>
      </c>
      <c r="BQ32" s="2133">
        <v>20578430</v>
      </c>
      <c r="BR32" s="265">
        <f>SUM(BS32:CD32)</f>
        <v>247280620</v>
      </c>
      <c r="BS32" s="2997">
        <v>20577984</v>
      </c>
      <c r="BT32" s="2997">
        <v>20577984</v>
      </c>
      <c r="BU32" s="2997">
        <v>20577986</v>
      </c>
      <c r="BV32" s="2997">
        <v>20810258</v>
      </c>
      <c r="BW32" s="2997">
        <v>20810258</v>
      </c>
      <c r="BX32" s="2997">
        <v>20810258</v>
      </c>
      <c r="BY32" s="2133">
        <v>20810258</v>
      </c>
      <c r="BZ32" s="2133">
        <v>20810258</v>
      </c>
      <c r="CA32" s="2133">
        <v>20810266</v>
      </c>
      <c r="CB32" s="2133">
        <v>20228370</v>
      </c>
      <c r="CC32" s="2133">
        <v>20228370</v>
      </c>
      <c r="CD32" s="2133">
        <v>20228370</v>
      </c>
      <c r="CE32" s="265">
        <f>SUM(CF32:CQ32)</f>
        <v>433889762.66666663</v>
      </c>
      <c r="CF32" s="2825">
        <f>CF31/60</f>
        <v>20228370</v>
      </c>
      <c r="CG32" s="2825">
        <f t="shared" ref="CG32" si="50">CG31/60</f>
        <v>20228370</v>
      </c>
      <c r="CH32" s="2825">
        <f t="shared" ref="CH32:CN32" si="51">CH31/60</f>
        <v>20228370</v>
      </c>
      <c r="CI32" s="2825">
        <f t="shared" si="51"/>
        <v>25228370</v>
      </c>
      <c r="CJ32" s="2825">
        <f t="shared" si="51"/>
        <v>25228370</v>
      </c>
      <c r="CK32" s="2825">
        <f t="shared" si="51"/>
        <v>25228370</v>
      </c>
      <c r="CL32" s="2825">
        <f t="shared" si="51"/>
        <v>25228370</v>
      </c>
      <c r="CM32" s="2825">
        <f t="shared" si="51"/>
        <v>25228370</v>
      </c>
      <c r="CN32" s="2825">
        <f t="shared" si="51"/>
        <v>41895036.666666664</v>
      </c>
      <c r="CO32" s="2825">
        <f>CO31/60+2327551.99999997</f>
        <v>68389255.333333313</v>
      </c>
      <c r="CP32" s="2825">
        <f>CP31/60+2327551.99999997</f>
        <v>68389255.333333313</v>
      </c>
      <c r="CQ32" s="2825">
        <f>CQ31/60+2327551.99999997</f>
        <v>68389255.333333313</v>
      </c>
    </row>
    <row r="33" spans="2:95" ht="16.5" hidden="1" customHeight="1" outlineLevel="1">
      <c r="B33" s="3438" t="s">
        <v>324</v>
      </c>
      <c r="C33" s="3437" t="s">
        <v>320</v>
      </c>
      <c r="D33" s="310" t="s">
        <v>128</v>
      </c>
      <c r="E33" s="266"/>
      <c r="F33" s="267">
        <v>10232185800</v>
      </c>
      <c r="G33" s="267">
        <v>10207185800</v>
      </c>
      <c r="H33" s="267">
        <v>10267185800</v>
      </c>
      <c r="I33" s="267">
        <v>9979185800</v>
      </c>
      <c r="J33" s="267">
        <v>9885185800</v>
      </c>
      <c r="K33" s="267">
        <v>9655185800</v>
      </c>
      <c r="L33" s="267">
        <v>8885185800</v>
      </c>
      <c r="M33" s="267">
        <v>9030185800</v>
      </c>
      <c r="N33" s="267">
        <v>9005185800</v>
      </c>
      <c r="O33" s="267">
        <v>8575185800</v>
      </c>
      <c r="P33" s="267">
        <v>8355185800</v>
      </c>
      <c r="Q33" s="267">
        <v>8030185800</v>
      </c>
      <c r="R33" s="266"/>
      <c r="S33" s="651"/>
      <c r="T33" s="267"/>
      <c r="U33" s="267"/>
      <c r="V33" s="267"/>
      <c r="W33" s="267"/>
      <c r="X33" s="267"/>
      <c r="Y33" s="267"/>
      <c r="Z33" s="267"/>
      <c r="AA33" s="267"/>
      <c r="AB33" s="267"/>
      <c r="AC33" s="267"/>
      <c r="AD33" s="267"/>
      <c r="AE33" s="266"/>
      <c r="AF33" s="651">
        <v>7914239000</v>
      </c>
      <c r="AG33" s="267">
        <v>7914239000</v>
      </c>
      <c r="AH33" s="267">
        <v>7914239000</v>
      </c>
      <c r="AI33" s="267">
        <v>7914239000</v>
      </c>
      <c r="AJ33" s="267">
        <v>7914239000</v>
      </c>
      <c r="AK33" s="267">
        <v>7914239000</v>
      </c>
      <c r="AL33" s="267">
        <v>7914239000</v>
      </c>
      <c r="AM33" s="267">
        <v>7914239000</v>
      </c>
      <c r="AN33" s="267">
        <v>7914239000</v>
      </c>
      <c r="AO33" s="267">
        <v>7914239000</v>
      </c>
      <c r="AP33" s="267">
        <v>7914239000</v>
      </c>
      <c r="AQ33" s="267">
        <v>7914239000</v>
      </c>
      <c r="AR33" s="266"/>
      <c r="AS33" s="651">
        <v>7914239000</v>
      </c>
      <c r="AT33" s="267">
        <v>7914239000</v>
      </c>
      <c r="AU33" s="267">
        <v>7914239000</v>
      </c>
      <c r="AV33" s="267">
        <v>7914239000</v>
      </c>
      <c r="AW33" s="267">
        <v>7914239000</v>
      </c>
      <c r="AX33" s="267">
        <v>7914239000</v>
      </c>
      <c r="AY33" s="267">
        <v>7914239000</v>
      </c>
      <c r="AZ33" s="267">
        <v>7914239000</v>
      </c>
      <c r="BA33" s="267">
        <v>7914239000</v>
      </c>
      <c r="BB33" s="267">
        <v>7914239000</v>
      </c>
      <c r="BC33" s="267">
        <v>7914239000</v>
      </c>
      <c r="BD33" s="267">
        <v>7914239000</v>
      </c>
      <c r="BE33" s="266"/>
      <c r="BF33" s="651">
        <v>7914239000</v>
      </c>
      <c r="BG33" s="267">
        <v>7914239000</v>
      </c>
      <c r="BH33" s="267">
        <v>7914239000</v>
      </c>
      <c r="BI33" s="267">
        <v>7914239000</v>
      </c>
      <c r="BJ33" s="267">
        <v>7914239000</v>
      </c>
      <c r="BK33" s="267">
        <v>7914239000</v>
      </c>
      <c r="BL33" s="267">
        <v>7914239000</v>
      </c>
      <c r="BM33" s="267">
        <v>7914239000</v>
      </c>
      <c r="BN33" s="267">
        <v>7914239000</v>
      </c>
      <c r="BO33" s="267">
        <v>7914239000</v>
      </c>
      <c r="BP33" s="267">
        <v>7914239000</v>
      </c>
      <c r="BQ33" s="267">
        <v>7914239000</v>
      </c>
      <c r="BR33" s="266"/>
      <c r="BS33" s="2141">
        <v>7914239000</v>
      </c>
      <c r="BT33" s="2137">
        <v>7914239000</v>
      </c>
      <c r="BU33" s="2137">
        <v>7914239000</v>
      </c>
      <c r="BV33" s="2137">
        <v>7914239000</v>
      </c>
      <c r="BW33" s="2137">
        <v>7914239000</v>
      </c>
      <c r="BX33" s="2137">
        <v>7914239000</v>
      </c>
      <c r="BY33" s="2137">
        <v>7914239000</v>
      </c>
      <c r="BZ33" s="2137">
        <v>7914239000</v>
      </c>
      <c r="CA33" s="2137">
        <v>7914239000</v>
      </c>
      <c r="CB33" s="2137">
        <v>7914239000</v>
      </c>
      <c r="CC33" s="2137">
        <v>7914239000</v>
      </c>
      <c r="CD33" s="2137">
        <v>7914239000</v>
      </c>
      <c r="CE33" s="266"/>
      <c r="CF33" s="2141">
        <v>7914239000</v>
      </c>
      <c r="CG33" s="2137">
        <v>7914239000</v>
      </c>
      <c r="CH33" s="2137">
        <v>7914239000</v>
      </c>
      <c r="CI33" s="2137">
        <v>7914239000</v>
      </c>
      <c r="CJ33" s="2137">
        <v>7914239000</v>
      </c>
      <c r="CK33" s="2137">
        <v>7914239000</v>
      </c>
      <c r="CL33" s="2137">
        <v>7914239000</v>
      </c>
      <c r="CM33" s="2137">
        <v>7914239000</v>
      </c>
      <c r="CN33" s="2137">
        <v>7914239000</v>
      </c>
      <c r="CO33" s="2137">
        <v>7914239000</v>
      </c>
      <c r="CP33" s="2137">
        <v>7914239000</v>
      </c>
      <c r="CQ33" s="2137">
        <v>7914239000</v>
      </c>
    </row>
    <row r="34" spans="2:95" ht="16.5" hidden="1" customHeight="1" outlineLevel="1">
      <c r="B34" s="3445"/>
      <c r="C34" s="3439"/>
      <c r="D34" s="285" t="s">
        <v>265</v>
      </c>
      <c r="E34" s="262">
        <f>SUM(F34:Q34)</f>
        <v>622000000</v>
      </c>
      <c r="F34" s="330">
        <v>-25000000</v>
      </c>
      <c r="G34" s="329">
        <v>410000000</v>
      </c>
      <c r="H34" s="329">
        <v>12000000</v>
      </c>
      <c r="I34" s="329">
        <v>30000000</v>
      </c>
      <c r="J34" s="329">
        <v>20000000</v>
      </c>
      <c r="K34" s="329"/>
      <c r="L34" s="329">
        <v>175000000</v>
      </c>
      <c r="M34" s="329"/>
      <c r="N34" s="329"/>
      <c r="O34" s="329"/>
      <c r="P34" s="329"/>
      <c r="Q34" s="329"/>
      <c r="R34" s="262">
        <f>SUM(S34:AD34)</f>
        <v>0</v>
      </c>
      <c r="S34" s="373"/>
      <c r="T34" s="555"/>
      <c r="U34" s="555"/>
      <c r="V34" s="555"/>
      <c r="W34" s="555"/>
      <c r="X34" s="555"/>
      <c r="Y34" s="555"/>
      <c r="Z34" s="555"/>
      <c r="AA34" s="555"/>
      <c r="AB34" s="555"/>
      <c r="AC34" s="555"/>
      <c r="AD34" s="555"/>
      <c r="AE34" s="262">
        <f>SUM(AF34:AQ34)</f>
        <v>0</v>
      </c>
      <c r="AF34" s="373"/>
      <c r="AG34" s="555"/>
      <c r="AH34" s="555"/>
      <c r="AI34" s="555"/>
      <c r="AJ34" s="555"/>
      <c r="AK34" s="555"/>
      <c r="AL34" s="555"/>
      <c r="AM34" s="555"/>
      <c r="AN34" s="555"/>
      <c r="AO34" s="555"/>
      <c r="AP34" s="555"/>
      <c r="AQ34" s="555"/>
      <c r="AR34" s="262">
        <f>SUM(AS34:BD34)</f>
        <v>0</v>
      </c>
      <c r="AS34" s="373"/>
      <c r="AT34" s="555"/>
      <c r="AU34" s="555"/>
      <c r="AV34" s="555"/>
      <c r="AW34" s="555"/>
      <c r="AX34" s="555"/>
      <c r="AY34" s="555"/>
      <c r="AZ34" s="555"/>
      <c r="BA34" s="555"/>
      <c r="BB34" s="555"/>
      <c r="BC34" s="555"/>
      <c r="BD34" s="555"/>
      <c r="BE34" s="262">
        <f>SUM(BF34:BQ34)</f>
        <v>0</v>
      </c>
      <c r="BF34" s="373"/>
      <c r="BG34" s="555"/>
      <c r="BH34" s="555"/>
      <c r="BI34" s="555"/>
      <c r="BJ34" s="555"/>
      <c r="BK34" s="555"/>
      <c r="BL34" s="555"/>
      <c r="BM34" s="555"/>
      <c r="BN34" s="555"/>
      <c r="BO34" s="555"/>
      <c r="BP34" s="555"/>
      <c r="BQ34" s="555"/>
      <c r="BR34" s="262">
        <f>SUM(BS34:CD34)</f>
        <v>0</v>
      </c>
      <c r="BS34" s="2139"/>
      <c r="BT34" s="2138"/>
      <c r="BU34" s="2138"/>
      <c r="BV34" s="2138"/>
      <c r="BW34" s="2138"/>
      <c r="BX34" s="2138"/>
      <c r="BY34" s="2138"/>
      <c r="BZ34" s="2138"/>
      <c r="CA34" s="2138"/>
      <c r="CB34" s="2138"/>
      <c r="CC34" s="2138"/>
      <c r="CD34" s="2138"/>
      <c r="CE34" s="262">
        <f>SUM(CF34:CQ34)</f>
        <v>0</v>
      </c>
      <c r="CF34" s="2139"/>
      <c r="CG34" s="2138"/>
      <c r="CH34" s="2138"/>
      <c r="CI34" s="2138"/>
      <c r="CJ34" s="2138"/>
      <c r="CK34" s="2138"/>
      <c r="CL34" s="2138"/>
      <c r="CM34" s="2138"/>
      <c r="CN34" s="2138"/>
      <c r="CO34" s="2138"/>
      <c r="CP34" s="2138"/>
      <c r="CQ34" s="2138"/>
    </row>
    <row r="35" spans="2:95" ht="16.5" hidden="1" customHeight="1" outlineLevel="1">
      <c r="B35" s="3445"/>
      <c r="C35" s="3439"/>
      <c r="D35" s="286" t="s">
        <v>266</v>
      </c>
      <c r="E35" s="263">
        <f>SUM(F35:Q35)</f>
        <v>2939946800</v>
      </c>
      <c r="F35" s="330"/>
      <c r="G35" s="330">
        <v>350000000</v>
      </c>
      <c r="H35" s="330">
        <v>300000000</v>
      </c>
      <c r="I35" s="330">
        <v>124000000</v>
      </c>
      <c r="J35" s="330">
        <v>250000000</v>
      </c>
      <c r="K35" s="330">
        <v>770000000</v>
      </c>
      <c r="L35" s="330">
        <v>30000000</v>
      </c>
      <c r="M35" s="330">
        <v>25000000</v>
      </c>
      <c r="N35" s="330">
        <v>430000000</v>
      </c>
      <c r="O35" s="330">
        <v>220000000</v>
      </c>
      <c r="P35" s="330">
        <v>325000000</v>
      </c>
      <c r="Q35" s="330">
        <v>115946800</v>
      </c>
      <c r="R35" s="263">
        <f>SUM(S35:AD35)</f>
        <v>0</v>
      </c>
      <c r="S35" s="373"/>
      <c r="T35" s="373"/>
      <c r="U35" s="373"/>
      <c r="V35" s="373"/>
      <c r="W35" s="373"/>
      <c r="X35" s="373"/>
      <c r="Y35" s="373"/>
      <c r="Z35" s="373"/>
      <c r="AA35" s="373"/>
      <c r="AB35" s="373"/>
      <c r="AC35" s="373"/>
      <c r="AD35" s="373"/>
      <c r="AE35" s="263">
        <f>SUM(AF35:AQ35)</f>
        <v>0</v>
      </c>
      <c r="AF35" s="373"/>
      <c r="AG35" s="373"/>
      <c r="AH35" s="373"/>
      <c r="AI35" s="373"/>
      <c r="AJ35" s="373"/>
      <c r="AK35" s="373"/>
      <c r="AL35" s="373"/>
      <c r="AM35" s="373"/>
      <c r="AN35" s="373"/>
      <c r="AO35" s="373"/>
      <c r="AP35" s="373"/>
      <c r="AQ35" s="373"/>
      <c r="AR35" s="263">
        <f>SUM(AS35:BD35)</f>
        <v>0</v>
      </c>
      <c r="AS35" s="373"/>
      <c r="AT35" s="373"/>
      <c r="AU35" s="373"/>
      <c r="AV35" s="373"/>
      <c r="AW35" s="373"/>
      <c r="AX35" s="373"/>
      <c r="AY35" s="373"/>
      <c r="AZ35" s="373"/>
      <c r="BA35" s="373"/>
      <c r="BB35" s="373"/>
      <c r="BC35" s="373"/>
      <c r="BD35" s="373"/>
      <c r="BE35" s="263">
        <f>SUM(BF35:BQ35)</f>
        <v>0</v>
      </c>
      <c r="BF35" s="373"/>
      <c r="BG35" s="373"/>
      <c r="BH35" s="373"/>
      <c r="BI35" s="373"/>
      <c r="BJ35" s="373"/>
      <c r="BK35" s="373"/>
      <c r="BL35" s="373"/>
      <c r="BM35" s="373"/>
      <c r="BN35" s="373"/>
      <c r="BO35" s="373"/>
      <c r="BP35" s="373"/>
      <c r="BQ35" s="373"/>
      <c r="BR35" s="263">
        <f>SUM(BS35:CD35)</f>
        <v>0</v>
      </c>
      <c r="BS35" s="2139"/>
      <c r="BT35" s="2139"/>
      <c r="BU35" s="2139"/>
      <c r="BV35" s="2139"/>
      <c r="BW35" s="2139"/>
      <c r="BX35" s="2139"/>
      <c r="BY35" s="2139"/>
      <c r="BZ35" s="2139"/>
      <c r="CA35" s="2139"/>
      <c r="CB35" s="2139"/>
      <c r="CC35" s="2139"/>
      <c r="CD35" s="2139"/>
      <c r="CE35" s="263">
        <f>SUM(CF35:CQ35)</f>
        <v>0</v>
      </c>
      <c r="CF35" s="2139"/>
      <c r="CG35" s="2139"/>
      <c r="CH35" s="2139"/>
      <c r="CI35" s="2139"/>
      <c r="CJ35" s="2139"/>
      <c r="CK35" s="2139"/>
      <c r="CL35" s="2139"/>
      <c r="CM35" s="2139"/>
      <c r="CN35" s="2139"/>
      <c r="CO35" s="2139"/>
      <c r="CP35" s="2139"/>
      <c r="CQ35" s="2139"/>
    </row>
    <row r="36" spans="2:95" ht="16.5" hidden="1" customHeight="1" outlineLevel="1">
      <c r="B36" s="3445"/>
      <c r="C36" s="3439"/>
      <c r="D36" s="146" t="s">
        <v>267</v>
      </c>
      <c r="E36" s="263"/>
      <c r="F36" s="330">
        <v>10207185800</v>
      </c>
      <c r="G36" s="330">
        <v>10267185800</v>
      </c>
      <c r="H36" s="330">
        <v>9979185800</v>
      </c>
      <c r="I36" s="330">
        <v>9885185800</v>
      </c>
      <c r="J36" s="330">
        <v>9655185800</v>
      </c>
      <c r="K36" s="330">
        <v>8885185800</v>
      </c>
      <c r="L36" s="330">
        <v>9030185800</v>
      </c>
      <c r="M36" s="330">
        <v>9005185800</v>
      </c>
      <c r="N36" s="330">
        <v>8575185800</v>
      </c>
      <c r="O36" s="330">
        <v>8355185800</v>
      </c>
      <c r="P36" s="330">
        <v>8030185800</v>
      </c>
      <c r="Q36" s="330">
        <v>7914239000</v>
      </c>
      <c r="R36" s="263"/>
      <c r="S36" s="373"/>
      <c r="T36" s="373"/>
      <c r="U36" s="373"/>
      <c r="V36" s="373"/>
      <c r="W36" s="373"/>
      <c r="X36" s="373"/>
      <c r="Y36" s="373"/>
      <c r="Z36" s="373"/>
      <c r="AA36" s="373"/>
      <c r="AB36" s="373"/>
      <c r="AC36" s="373"/>
      <c r="AD36" s="373"/>
      <c r="AE36" s="263"/>
      <c r="AF36" s="373"/>
      <c r="AG36" s="373"/>
      <c r="AH36" s="373"/>
      <c r="AI36" s="373"/>
      <c r="AJ36" s="373"/>
      <c r="AK36" s="373"/>
      <c r="AL36" s="373"/>
      <c r="AM36" s="373"/>
      <c r="AN36" s="373"/>
      <c r="AO36" s="373"/>
      <c r="AP36" s="373"/>
      <c r="AQ36" s="373"/>
      <c r="AR36" s="263"/>
      <c r="AS36" s="373"/>
      <c r="AT36" s="373"/>
      <c r="AU36" s="373"/>
      <c r="AV36" s="373"/>
      <c r="AW36" s="373"/>
      <c r="AX36" s="373"/>
      <c r="AY36" s="373"/>
      <c r="AZ36" s="373"/>
      <c r="BA36" s="373"/>
      <c r="BB36" s="373"/>
      <c r="BC36" s="373"/>
      <c r="BD36" s="373"/>
      <c r="BE36" s="263"/>
      <c r="BF36" s="373"/>
      <c r="BG36" s="373"/>
      <c r="BH36" s="373"/>
      <c r="BI36" s="373"/>
      <c r="BJ36" s="373"/>
      <c r="BK36" s="373"/>
      <c r="BL36" s="373"/>
      <c r="BM36" s="373"/>
      <c r="BN36" s="373"/>
      <c r="BO36" s="373"/>
      <c r="BP36" s="373"/>
      <c r="BQ36" s="373"/>
      <c r="BR36" s="263"/>
      <c r="BS36" s="2139"/>
      <c r="BT36" s="2139"/>
      <c r="BU36" s="2139"/>
      <c r="BV36" s="2139"/>
      <c r="BW36" s="2139"/>
      <c r="BX36" s="2139"/>
      <c r="BY36" s="2139"/>
      <c r="BZ36" s="2139"/>
      <c r="CA36" s="2139"/>
      <c r="CB36" s="2139"/>
      <c r="CC36" s="2139"/>
      <c r="CD36" s="2139"/>
      <c r="CE36" s="263"/>
      <c r="CF36" s="2139"/>
      <c r="CG36" s="2139"/>
      <c r="CH36" s="2139"/>
      <c r="CI36" s="2139"/>
      <c r="CJ36" s="2139"/>
      <c r="CK36" s="2139"/>
      <c r="CL36" s="2139"/>
      <c r="CM36" s="2139"/>
      <c r="CN36" s="2139"/>
      <c r="CO36" s="2139"/>
      <c r="CP36" s="2139"/>
      <c r="CQ36" s="2139"/>
    </row>
    <row r="37" spans="2:95" ht="16.5" hidden="1" customHeight="1" outlineLevel="1">
      <c r="B37" s="3445"/>
      <c r="C37" s="3439"/>
      <c r="D37" s="284" t="s">
        <v>288</v>
      </c>
      <c r="E37" s="263"/>
      <c r="F37" s="373"/>
      <c r="G37" s="373"/>
      <c r="H37" s="373"/>
      <c r="I37" s="373"/>
      <c r="J37" s="373"/>
      <c r="K37" s="373"/>
      <c r="L37" s="373"/>
      <c r="M37" s="373"/>
      <c r="N37" s="373"/>
      <c r="O37" s="373"/>
      <c r="P37" s="373"/>
      <c r="Q37" s="373"/>
      <c r="R37" s="263"/>
      <c r="S37" s="373"/>
      <c r="T37" s="373"/>
      <c r="U37" s="373"/>
      <c r="V37" s="373"/>
      <c r="W37" s="373"/>
      <c r="X37" s="373"/>
      <c r="Y37" s="373"/>
      <c r="Z37" s="373"/>
      <c r="AA37" s="373"/>
      <c r="AB37" s="373"/>
      <c r="AC37" s="373"/>
      <c r="AD37" s="373"/>
      <c r="AE37" s="263"/>
      <c r="AF37" s="373"/>
      <c r="AG37" s="373"/>
      <c r="AH37" s="373"/>
      <c r="AI37" s="373"/>
      <c r="AJ37" s="373"/>
      <c r="AK37" s="373"/>
      <c r="AL37" s="373"/>
      <c r="AM37" s="373"/>
      <c r="AN37" s="373"/>
      <c r="AO37" s="373"/>
      <c r="AP37" s="373"/>
      <c r="AQ37" s="373"/>
      <c r="AR37" s="263"/>
      <c r="AS37" s="373"/>
      <c r="AT37" s="373"/>
      <c r="AU37" s="373"/>
      <c r="AV37" s="373"/>
      <c r="AW37" s="373"/>
      <c r="AX37" s="373"/>
      <c r="AY37" s="373"/>
      <c r="AZ37" s="373"/>
      <c r="BA37" s="373"/>
      <c r="BB37" s="373"/>
      <c r="BC37" s="373"/>
      <c r="BD37" s="373"/>
      <c r="BE37" s="263"/>
      <c r="BF37" s="373"/>
      <c r="BG37" s="373"/>
      <c r="BH37" s="373"/>
      <c r="BI37" s="373"/>
      <c r="BJ37" s="373"/>
      <c r="BK37" s="373"/>
      <c r="BL37" s="373"/>
      <c r="BM37" s="373"/>
      <c r="BN37" s="373"/>
      <c r="BO37" s="373"/>
      <c r="BP37" s="373"/>
      <c r="BQ37" s="373"/>
      <c r="BR37" s="263"/>
      <c r="BS37" s="2139"/>
      <c r="BT37" s="2139"/>
      <c r="BU37" s="2139"/>
      <c r="BV37" s="2139"/>
      <c r="BW37" s="2139"/>
      <c r="BX37" s="2139"/>
      <c r="BY37" s="2139"/>
      <c r="BZ37" s="2139"/>
      <c r="CA37" s="2139"/>
      <c r="CB37" s="2139"/>
      <c r="CC37" s="2139"/>
      <c r="CD37" s="2139"/>
      <c r="CE37" s="263"/>
      <c r="CF37" s="2139"/>
      <c r="CG37" s="2139"/>
      <c r="CH37" s="2139"/>
      <c r="CI37" s="2139"/>
      <c r="CJ37" s="2139"/>
      <c r="CK37" s="2139"/>
      <c r="CL37" s="2139"/>
      <c r="CM37" s="2139"/>
      <c r="CN37" s="2139"/>
      <c r="CO37" s="2139"/>
      <c r="CP37" s="2139"/>
      <c r="CQ37" s="2139"/>
    </row>
    <row r="38" spans="2:95" ht="16.5" hidden="1" customHeight="1" outlineLevel="1">
      <c r="B38" s="3445"/>
      <c r="C38" s="3439"/>
      <c r="D38" s="284" t="s">
        <v>289</v>
      </c>
      <c r="E38" s="263"/>
      <c r="F38" s="373"/>
      <c r="G38" s="373"/>
      <c r="H38" s="373"/>
      <c r="I38" s="373"/>
      <c r="J38" s="373"/>
      <c r="K38" s="373"/>
      <c r="L38" s="373"/>
      <c r="M38" s="373"/>
      <c r="N38" s="373"/>
      <c r="O38" s="373"/>
      <c r="P38" s="373"/>
      <c r="Q38" s="373"/>
      <c r="R38" s="263"/>
      <c r="S38" s="373"/>
      <c r="T38" s="373"/>
      <c r="U38" s="373"/>
      <c r="V38" s="373"/>
      <c r="W38" s="373"/>
      <c r="X38" s="373"/>
      <c r="Y38" s="373"/>
      <c r="Z38" s="373"/>
      <c r="AA38" s="373"/>
      <c r="AB38" s="373"/>
      <c r="AC38" s="373"/>
      <c r="AD38" s="373"/>
      <c r="AE38" s="263"/>
      <c r="AF38" s="373"/>
      <c r="AG38" s="373"/>
      <c r="AH38" s="373"/>
      <c r="AI38" s="373"/>
      <c r="AJ38" s="373"/>
      <c r="AK38" s="373"/>
      <c r="AL38" s="373"/>
      <c r="AM38" s="373"/>
      <c r="AN38" s="373"/>
      <c r="AO38" s="373"/>
      <c r="AP38" s="373"/>
      <c r="AQ38" s="373"/>
      <c r="AR38" s="263"/>
      <c r="AS38" s="373"/>
      <c r="AT38" s="373"/>
      <c r="AU38" s="373"/>
      <c r="AV38" s="373"/>
      <c r="AW38" s="373"/>
      <c r="AX38" s="373"/>
      <c r="AY38" s="373"/>
      <c r="AZ38" s="373"/>
      <c r="BA38" s="373"/>
      <c r="BB38" s="373"/>
      <c r="BC38" s="373"/>
      <c r="BD38" s="373"/>
      <c r="BE38" s="263"/>
      <c r="BF38" s="373"/>
      <c r="BG38" s="373"/>
      <c r="BH38" s="373"/>
      <c r="BI38" s="373"/>
      <c r="BJ38" s="373"/>
      <c r="BK38" s="373"/>
      <c r="BL38" s="373"/>
      <c r="BM38" s="373"/>
      <c r="BN38" s="373"/>
      <c r="BO38" s="373"/>
      <c r="BP38" s="373"/>
      <c r="BQ38" s="373"/>
      <c r="BR38" s="263"/>
      <c r="BS38" s="2139"/>
      <c r="BT38" s="2139"/>
      <c r="BU38" s="2139"/>
      <c r="BV38" s="2139"/>
      <c r="BW38" s="2139"/>
      <c r="BX38" s="2139"/>
      <c r="BY38" s="2139"/>
      <c r="BZ38" s="2139"/>
      <c r="CA38" s="2139"/>
      <c r="CB38" s="2139"/>
      <c r="CC38" s="2139"/>
      <c r="CD38" s="2139"/>
      <c r="CE38" s="263"/>
      <c r="CF38" s="2139"/>
      <c r="CG38" s="2139"/>
      <c r="CH38" s="2139"/>
      <c r="CI38" s="2139"/>
      <c r="CJ38" s="2139"/>
      <c r="CK38" s="2139"/>
      <c r="CL38" s="2139"/>
      <c r="CM38" s="2139"/>
      <c r="CN38" s="2139"/>
      <c r="CO38" s="2139"/>
      <c r="CP38" s="2139"/>
      <c r="CQ38" s="2139"/>
    </row>
    <row r="39" spans="2:95" ht="16.5" hidden="1" customHeight="1" outlineLevel="1">
      <c r="B39" s="3446"/>
      <c r="C39" s="3440"/>
      <c r="D39" s="147" t="s">
        <v>268</v>
      </c>
      <c r="E39" s="265">
        <f>SUM(F39:Q39)</f>
        <v>0</v>
      </c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265">
        <f>SUM(S39:AD39)</f>
        <v>0</v>
      </c>
      <c r="S39" s="556"/>
      <c r="T39" s="556"/>
      <c r="U39" s="556"/>
      <c r="V39" s="556"/>
      <c r="W39" s="556"/>
      <c r="X39" s="556"/>
      <c r="Y39" s="556"/>
      <c r="Z39" s="556"/>
      <c r="AA39" s="556"/>
      <c r="AB39" s="556"/>
      <c r="AC39" s="556"/>
      <c r="AD39" s="556"/>
      <c r="AE39" s="265">
        <f>SUM(AF39:AQ39)</f>
        <v>0</v>
      </c>
      <c r="AF39" s="556"/>
      <c r="AG39" s="556"/>
      <c r="AH39" s="556"/>
      <c r="AI39" s="556"/>
      <c r="AJ39" s="556"/>
      <c r="AK39" s="556"/>
      <c r="AL39" s="556"/>
      <c r="AM39" s="556"/>
      <c r="AN39" s="556"/>
      <c r="AO39" s="556"/>
      <c r="AP39" s="556"/>
      <c r="AQ39" s="556"/>
      <c r="AR39" s="265">
        <f>SUM(AS39:BD39)</f>
        <v>0</v>
      </c>
      <c r="AS39" s="556"/>
      <c r="AT39" s="556"/>
      <c r="AU39" s="556"/>
      <c r="AV39" s="556"/>
      <c r="AW39" s="556"/>
      <c r="AX39" s="556"/>
      <c r="AY39" s="556"/>
      <c r="AZ39" s="556"/>
      <c r="BA39" s="556"/>
      <c r="BB39" s="556"/>
      <c r="BC39" s="556"/>
      <c r="BD39" s="556"/>
      <c r="BE39" s="265">
        <f>SUM(BF39:BQ39)</f>
        <v>0</v>
      </c>
      <c r="BF39" s="556"/>
      <c r="BG39" s="556"/>
      <c r="BH39" s="556"/>
      <c r="BI39" s="556"/>
      <c r="BJ39" s="556"/>
      <c r="BK39" s="556"/>
      <c r="BL39" s="556"/>
      <c r="BM39" s="556"/>
      <c r="BN39" s="556"/>
      <c r="BO39" s="556"/>
      <c r="BP39" s="556"/>
      <c r="BQ39" s="556"/>
      <c r="BR39" s="265">
        <f>SUM(BS39:CD39)</f>
        <v>0</v>
      </c>
      <c r="BS39" s="2142"/>
      <c r="BT39" s="2142"/>
      <c r="BU39" s="2142"/>
      <c r="BV39" s="2142"/>
      <c r="BW39" s="2142"/>
      <c r="BX39" s="2142"/>
      <c r="BY39" s="2142"/>
      <c r="BZ39" s="2142"/>
      <c r="CA39" s="2142"/>
      <c r="CB39" s="2142"/>
      <c r="CC39" s="2142"/>
      <c r="CD39" s="2142"/>
      <c r="CE39" s="265">
        <f>SUM(CF39:CQ39)</f>
        <v>0</v>
      </c>
      <c r="CF39" s="2142"/>
      <c r="CG39" s="2142"/>
      <c r="CH39" s="2142"/>
      <c r="CI39" s="2142"/>
      <c r="CJ39" s="2142"/>
      <c r="CK39" s="2142"/>
      <c r="CL39" s="2142"/>
      <c r="CM39" s="2142"/>
      <c r="CN39" s="2142"/>
      <c r="CO39" s="2142"/>
      <c r="CP39" s="2142"/>
      <c r="CQ39" s="2142"/>
    </row>
    <row r="40" spans="2:95" collapsed="1">
      <c r="B40" s="3437" t="s">
        <v>325</v>
      </c>
      <c r="C40" s="3437"/>
      <c r="D40" s="3438"/>
      <c r="E40" s="266">
        <f t="shared" ref="E40:E41" si="52">E6+E13+E20+E27+E34</f>
        <v>1107127649</v>
      </c>
      <c r="F40" s="267">
        <v>-25000000</v>
      </c>
      <c r="G40" s="267">
        <v>410000000</v>
      </c>
      <c r="H40" s="267">
        <v>49690487</v>
      </c>
      <c r="I40" s="267">
        <v>250235600</v>
      </c>
      <c r="J40" s="267">
        <v>37453000</v>
      </c>
      <c r="K40" s="267">
        <v>17104485</v>
      </c>
      <c r="L40" s="267">
        <v>314757000</v>
      </c>
      <c r="M40" s="267">
        <v>0</v>
      </c>
      <c r="N40" s="267">
        <v>7485077</v>
      </c>
      <c r="O40" s="267">
        <v>45402000</v>
      </c>
      <c r="P40" s="267">
        <v>0</v>
      </c>
      <c r="Q40" s="267">
        <v>0</v>
      </c>
      <c r="R40" s="266">
        <f t="shared" ref="R40:AD41" si="53">R6+R13+R20+R27+R34</f>
        <v>288892089</v>
      </c>
      <c r="S40" s="267">
        <f t="shared" si="53"/>
        <v>36526489</v>
      </c>
      <c r="T40" s="267">
        <f t="shared" si="53"/>
        <v>0</v>
      </c>
      <c r="U40" s="267">
        <f t="shared" si="53"/>
        <v>185085600</v>
      </c>
      <c r="V40" s="267">
        <f t="shared" si="53"/>
        <v>0</v>
      </c>
      <c r="W40" s="267">
        <f t="shared" si="53"/>
        <v>8000000</v>
      </c>
      <c r="X40" s="267">
        <f t="shared" si="53"/>
        <v>19079000</v>
      </c>
      <c r="Y40" s="267">
        <f t="shared" si="53"/>
        <v>0</v>
      </c>
      <c r="Z40" s="267">
        <f t="shared" si="53"/>
        <v>22414000</v>
      </c>
      <c r="AA40" s="267">
        <f t="shared" si="53"/>
        <v>0</v>
      </c>
      <c r="AB40" s="267">
        <f t="shared" si="53"/>
        <v>17787000</v>
      </c>
      <c r="AC40" s="267">
        <f t="shared" si="53"/>
        <v>0</v>
      </c>
      <c r="AD40" s="267">
        <f>AD6+AD13+AD20+AD27+AD34</f>
        <v>0</v>
      </c>
      <c r="AE40" s="266">
        <f t="shared" ref="AE40" si="54">AE6+AE13+AE20+AE27+AE34</f>
        <v>774952996</v>
      </c>
      <c r="AF40" s="267">
        <f>AF6+AF13+AF20+AF27</f>
        <v>0</v>
      </c>
      <c r="AG40" s="267">
        <f t="shared" ref="AG40:AI40" si="55">AG6+AG13+AG20+AG27</f>
        <v>0</v>
      </c>
      <c r="AH40" s="267">
        <f t="shared" si="55"/>
        <v>0</v>
      </c>
      <c r="AI40" s="267">
        <f t="shared" si="55"/>
        <v>409085600</v>
      </c>
      <c r="AJ40" s="267">
        <f t="shared" ref="AJ40:AQ40" si="56">AJ6+AJ13+AJ20+AJ27</f>
        <v>44250000</v>
      </c>
      <c r="AK40" s="267">
        <f t="shared" si="56"/>
        <v>66960000</v>
      </c>
      <c r="AL40" s="267">
        <f t="shared" si="56"/>
        <v>0</v>
      </c>
      <c r="AM40" s="267">
        <f t="shared" si="56"/>
        <v>0</v>
      </c>
      <c r="AN40" s="267">
        <f t="shared" si="56"/>
        <v>0</v>
      </c>
      <c r="AO40" s="267">
        <f t="shared" si="56"/>
        <v>0</v>
      </c>
      <c r="AP40" s="267">
        <f t="shared" si="56"/>
        <v>21357396</v>
      </c>
      <c r="AQ40" s="267">
        <f t="shared" si="56"/>
        <v>233300000</v>
      </c>
      <c r="AR40" s="266">
        <f t="shared" ref="AR40:AR41" si="57">AR6+AR13+AR20+AR27+AR34</f>
        <v>1919572313</v>
      </c>
      <c r="AS40" s="267">
        <f>AS6+AS13+AS20+AS27</f>
        <v>12548000</v>
      </c>
      <c r="AT40" s="267">
        <f>AT6+AT13+AT20+AT27</f>
        <v>191000000</v>
      </c>
      <c r="AU40" s="267">
        <f t="shared" ref="AU40:BD40" si="58">AU6+AU13+AU20+AU27</f>
        <v>110779263</v>
      </c>
      <c r="AV40" s="267">
        <f t="shared" si="58"/>
        <v>199002000</v>
      </c>
      <c r="AW40" s="267">
        <f t="shared" si="58"/>
        <v>7943050</v>
      </c>
      <c r="AX40" s="267">
        <f t="shared" si="58"/>
        <v>1222000000</v>
      </c>
      <c r="AY40" s="267">
        <f t="shared" si="58"/>
        <v>0</v>
      </c>
      <c r="AZ40" s="267">
        <f t="shared" si="58"/>
        <v>0</v>
      </c>
      <c r="BA40" s="267">
        <f t="shared" si="58"/>
        <v>0</v>
      </c>
      <c r="BB40" s="267">
        <f t="shared" si="58"/>
        <v>176300000</v>
      </c>
      <c r="BC40" s="267">
        <f t="shared" si="58"/>
        <v>0</v>
      </c>
      <c r="BD40" s="267">
        <f t="shared" si="58"/>
        <v>0</v>
      </c>
      <c r="BE40" s="266">
        <f t="shared" ref="BE40:BE41" si="59">BE6+BE13+BE20+BE27+BE34</f>
        <v>906302000</v>
      </c>
      <c r="BF40" s="267">
        <f>BF6+BF13+BF20+BF27</f>
        <v>470000000</v>
      </c>
      <c r="BG40" s="267">
        <f t="shared" ref="BG40:BQ40" si="60">BG6+BG13+BG20+BG27</f>
        <v>0</v>
      </c>
      <c r="BH40" s="267">
        <f t="shared" si="60"/>
        <v>48000000</v>
      </c>
      <c r="BI40" s="267">
        <f t="shared" si="60"/>
        <v>199002000</v>
      </c>
      <c r="BJ40" s="267">
        <f t="shared" si="60"/>
        <v>189300000</v>
      </c>
      <c r="BK40" s="267">
        <f t="shared" si="60"/>
        <v>0</v>
      </c>
      <c r="BL40" s="267">
        <f t="shared" si="60"/>
        <v>0</v>
      </c>
      <c r="BM40" s="267">
        <f t="shared" si="60"/>
        <v>0</v>
      </c>
      <c r="BN40" s="267">
        <f t="shared" si="60"/>
        <v>0</v>
      </c>
      <c r="BO40" s="267">
        <f t="shared" si="60"/>
        <v>0</v>
      </c>
      <c r="BP40" s="267">
        <f t="shared" si="60"/>
        <v>0</v>
      </c>
      <c r="BQ40" s="267">
        <f t="shared" si="60"/>
        <v>0</v>
      </c>
      <c r="BR40" s="266">
        <f>BR6+BR13+BR20+BR27+BR34</f>
        <v>199002000</v>
      </c>
      <c r="BS40" s="2137">
        <f>BS6+BS13+BS20+BS27</f>
        <v>0</v>
      </c>
      <c r="BT40" s="2137">
        <f t="shared" ref="BT40:CD41" si="61">BT6+BT13+BT20+BT27</f>
        <v>0</v>
      </c>
      <c r="BU40" s="2137">
        <f t="shared" si="61"/>
        <v>0</v>
      </c>
      <c r="BV40" s="2137">
        <f t="shared" si="61"/>
        <v>199002000</v>
      </c>
      <c r="BW40" s="2137">
        <f t="shared" si="61"/>
        <v>0</v>
      </c>
      <c r="BX40" s="2137">
        <f t="shared" si="61"/>
        <v>0</v>
      </c>
      <c r="BY40" s="2137">
        <f t="shared" si="61"/>
        <v>0</v>
      </c>
      <c r="BZ40" s="2137">
        <f t="shared" si="61"/>
        <v>0</v>
      </c>
      <c r="CA40" s="2137">
        <f t="shared" si="61"/>
        <v>0</v>
      </c>
      <c r="CB40" s="2137">
        <f t="shared" si="61"/>
        <v>0</v>
      </c>
      <c r="CC40" s="2137">
        <f t="shared" si="61"/>
        <v>0</v>
      </c>
      <c r="CD40" s="2137">
        <f t="shared" si="61"/>
        <v>0</v>
      </c>
      <c r="CE40" s="266">
        <f>CE6+CE13+CE20+CE27+CE34</f>
        <v>2950000000</v>
      </c>
      <c r="CF40" s="2137">
        <f>CF6+CF13+CF20+CF27</f>
        <v>0</v>
      </c>
      <c r="CG40" s="2137">
        <f t="shared" ref="CG40:CQ40" si="62">CG6+CG13+CG20+CG27</f>
        <v>0</v>
      </c>
      <c r="CH40" s="2137">
        <f t="shared" si="62"/>
        <v>0</v>
      </c>
      <c r="CI40" s="2137">
        <f t="shared" si="62"/>
        <v>300000000</v>
      </c>
      <c r="CJ40" s="2137">
        <f t="shared" si="62"/>
        <v>0</v>
      </c>
      <c r="CK40" s="2137">
        <f t="shared" si="62"/>
        <v>0</v>
      </c>
      <c r="CL40" s="2137">
        <f t="shared" si="62"/>
        <v>0</v>
      </c>
      <c r="CM40" s="2137">
        <f t="shared" si="62"/>
        <v>0</v>
      </c>
      <c r="CN40" s="2137">
        <f t="shared" si="62"/>
        <v>1200000000</v>
      </c>
      <c r="CO40" s="2137">
        <f t="shared" si="62"/>
        <v>1450000000</v>
      </c>
      <c r="CP40" s="2137">
        <f t="shared" si="62"/>
        <v>0</v>
      </c>
      <c r="CQ40" s="2137">
        <f t="shared" si="62"/>
        <v>0</v>
      </c>
    </row>
    <row r="41" spans="2:95">
      <c r="B41" s="3361" t="s">
        <v>326</v>
      </c>
      <c r="C41" s="3361"/>
      <c r="D41" s="3434"/>
      <c r="E41" s="312">
        <f t="shared" si="52"/>
        <v>7408140955</v>
      </c>
      <c r="F41" s="311">
        <v>23147287</v>
      </c>
      <c r="G41" s="311">
        <v>358703834</v>
      </c>
      <c r="H41" s="311">
        <v>321804413</v>
      </c>
      <c r="I41" s="311">
        <v>1656237636</v>
      </c>
      <c r="J41" s="311">
        <v>330868135</v>
      </c>
      <c r="K41" s="311">
        <v>848368898</v>
      </c>
      <c r="L41" s="311">
        <v>1511322998</v>
      </c>
      <c r="M41" s="311">
        <v>34753421</v>
      </c>
      <c r="N41" s="311">
        <v>1574684464</v>
      </c>
      <c r="O41" s="311">
        <v>254404340</v>
      </c>
      <c r="P41" s="311">
        <v>364120476</v>
      </c>
      <c r="Q41" s="311">
        <v>129725053</v>
      </c>
      <c r="R41" s="312">
        <f t="shared" si="53"/>
        <v>241179729</v>
      </c>
      <c r="S41" s="311">
        <f t="shared" si="53"/>
        <v>73638729</v>
      </c>
      <c r="T41" s="311">
        <f t="shared" si="53"/>
        <v>0</v>
      </c>
      <c r="U41" s="311">
        <f t="shared" si="53"/>
        <v>0</v>
      </c>
      <c r="V41" s="311">
        <f t="shared" si="53"/>
        <v>56800000</v>
      </c>
      <c r="W41" s="311">
        <f t="shared" si="53"/>
        <v>87319000</v>
      </c>
      <c r="X41" s="311">
        <f t="shared" si="53"/>
        <v>6551000</v>
      </c>
      <c r="Y41" s="311">
        <f t="shared" si="53"/>
        <v>16871000</v>
      </c>
      <c r="Z41" s="311">
        <f t="shared" si="53"/>
        <v>0</v>
      </c>
      <c r="AA41" s="311">
        <f t="shared" si="53"/>
        <v>0</v>
      </c>
      <c r="AB41" s="311">
        <f t="shared" si="53"/>
        <v>0</v>
      </c>
      <c r="AC41" s="311">
        <f t="shared" si="53"/>
        <v>0</v>
      </c>
      <c r="AD41" s="311">
        <f t="shared" si="53"/>
        <v>0</v>
      </c>
      <c r="AE41" s="312">
        <f t="shared" ref="AE41" si="63">AE7+AE14+AE21+AE28+AE35</f>
        <v>36013337</v>
      </c>
      <c r="AF41" s="311">
        <f>AF7+AF14+AF21+AF28</f>
        <v>0</v>
      </c>
      <c r="AG41" s="311">
        <f t="shared" ref="AG41:AI41" si="64">AG7+AG14+AG21+AG28</f>
        <v>0</v>
      </c>
      <c r="AH41" s="311">
        <f t="shared" si="64"/>
        <v>0</v>
      </c>
      <c r="AI41" s="311">
        <f t="shared" si="64"/>
        <v>0</v>
      </c>
      <c r="AJ41" s="311">
        <f t="shared" ref="AJ41:AQ41" si="65">AJ7+AJ14+AJ21+AJ28</f>
        <v>0</v>
      </c>
      <c r="AK41" s="311">
        <f t="shared" si="65"/>
        <v>36013337</v>
      </c>
      <c r="AL41" s="311">
        <f t="shared" si="65"/>
        <v>0</v>
      </c>
      <c r="AM41" s="311">
        <f t="shared" si="65"/>
        <v>0</v>
      </c>
      <c r="AN41" s="311">
        <f t="shared" si="65"/>
        <v>0</v>
      </c>
      <c r="AO41" s="311">
        <f t="shared" si="65"/>
        <v>0</v>
      </c>
      <c r="AP41" s="311">
        <f t="shared" si="65"/>
        <v>0</v>
      </c>
      <c r="AQ41" s="311">
        <f t="shared" si="65"/>
        <v>0</v>
      </c>
      <c r="AR41" s="312">
        <f t="shared" si="57"/>
        <v>0</v>
      </c>
      <c r="AS41" s="311">
        <f>AS7+AS14+AS21+AS28</f>
        <v>0</v>
      </c>
      <c r="AT41" s="311">
        <f t="shared" ref="AT41:BD41" si="66">AT7+AT14+AT21+AT28</f>
        <v>0</v>
      </c>
      <c r="AU41" s="311">
        <f t="shared" si="66"/>
        <v>0</v>
      </c>
      <c r="AV41" s="311">
        <f t="shared" si="66"/>
        <v>0</v>
      </c>
      <c r="AW41" s="311">
        <f t="shared" si="66"/>
        <v>0</v>
      </c>
      <c r="AX41" s="311">
        <f t="shared" si="66"/>
        <v>0</v>
      </c>
      <c r="AY41" s="311">
        <f t="shared" si="66"/>
        <v>0</v>
      </c>
      <c r="AZ41" s="311">
        <f t="shared" si="66"/>
        <v>0</v>
      </c>
      <c r="BA41" s="311">
        <f t="shared" si="66"/>
        <v>0</v>
      </c>
      <c r="BB41" s="311">
        <f t="shared" si="66"/>
        <v>0</v>
      </c>
      <c r="BC41" s="311">
        <f t="shared" si="66"/>
        <v>0</v>
      </c>
      <c r="BD41" s="311">
        <f t="shared" si="66"/>
        <v>0</v>
      </c>
      <c r="BE41" s="312">
        <f t="shared" si="59"/>
        <v>0</v>
      </c>
      <c r="BF41" s="311">
        <f>BF7+BF14+BF21+BF28</f>
        <v>0</v>
      </c>
      <c r="BG41" s="311">
        <f t="shared" ref="BG41:BQ41" si="67">BG7+BG14+BG21+BG28</f>
        <v>0</v>
      </c>
      <c r="BH41" s="311">
        <f t="shared" si="67"/>
        <v>0</v>
      </c>
      <c r="BI41" s="311">
        <f t="shared" si="67"/>
        <v>0</v>
      </c>
      <c r="BJ41" s="311">
        <f t="shared" si="67"/>
        <v>0</v>
      </c>
      <c r="BK41" s="311">
        <f t="shared" si="67"/>
        <v>0</v>
      </c>
      <c r="BL41" s="311">
        <f t="shared" si="67"/>
        <v>0</v>
      </c>
      <c r="BM41" s="311">
        <f t="shared" si="67"/>
        <v>0</v>
      </c>
      <c r="BN41" s="311">
        <f t="shared" si="67"/>
        <v>0</v>
      </c>
      <c r="BO41" s="311">
        <f t="shared" si="67"/>
        <v>0</v>
      </c>
      <c r="BP41" s="311">
        <f t="shared" si="67"/>
        <v>0</v>
      </c>
      <c r="BQ41" s="311">
        <f t="shared" si="67"/>
        <v>0</v>
      </c>
      <c r="BR41" s="312">
        <f>BR7+BR14+BR21+BR28+BR35</f>
        <v>0</v>
      </c>
      <c r="BS41" s="2140">
        <f>BS7+BS14+BS21+BS28</f>
        <v>0</v>
      </c>
      <c r="BT41" s="2140">
        <f t="shared" si="61"/>
        <v>0</v>
      </c>
      <c r="BU41" s="2140">
        <f t="shared" si="61"/>
        <v>0</v>
      </c>
      <c r="BV41" s="2140">
        <f t="shared" si="61"/>
        <v>0</v>
      </c>
      <c r="BW41" s="2140">
        <f t="shared" si="61"/>
        <v>0</v>
      </c>
      <c r="BX41" s="2140">
        <f t="shared" si="61"/>
        <v>0</v>
      </c>
      <c r="BY41" s="2140">
        <f t="shared" si="61"/>
        <v>0</v>
      </c>
      <c r="BZ41" s="2140">
        <f t="shared" si="61"/>
        <v>0</v>
      </c>
      <c r="CA41" s="2140">
        <f t="shared" si="61"/>
        <v>0</v>
      </c>
      <c r="CB41" s="2140">
        <f t="shared" si="61"/>
        <v>0</v>
      </c>
      <c r="CC41" s="2140">
        <f t="shared" si="61"/>
        <v>0</v>
      </c>
      <c r="CD41" s="2140">
        <f t="shared" si="61"/>
        <v>0</v>
      </c>
      <c r="CE41" s="312">
        <f>CE7+CE14+CE21+CE28+CE35</f>
        <v>0</v>
      </c>
      <c r="CF41" s="2140">
        <f>CF7+CF14+CF21+CF28</f>
        <v>0</v>
      </c>
      <c r="CG41" s="2140">
        <f t="shared" ref="CG41:CQ41" si="68">CG7+CG14+CG21+CG28</f>
        <v>0</v>
      </c>
      <c r="CH41" s="2140">
        <f t="shared" si="68"/>
        <v>0</v>
      </c>
      <c r="CI41" s="2140">
        <f t="shared" si="68"/>
        <v>0</v>
      </c>
      <c r="CJ41" s="2140">
        <f t="shared" si="68"/>
        <v>0</v>
      </c>
      <c r="CK41" s="2140">
        <f t="shared" si="68"/>
        <v>0</v>
      </c>
      <c r="CL41" s="2140">
        <f t="shared" si="68"/>
        <v>0</v>
      </c>
      <c r="CM41" s="2140">
        <f t="shared" si="68"/>
        <v>0</v>
      </c>
      <c r="CN41" s="2140">
        <f t="shared" si="68"/>
        <v>0</v>
      </c>
      <c r="CO41" s="2140">
        <f t="shared" si="68"/>
        <v>0</v>
      </c>
      <c r="CP41" s="2140">
        <f t="shared" si="68"/>
        <v>0</v>
      </c>
      <c r="CQ41" s="2140">
        <f t="shared" si="68"/>
        <v>0</v>
      </c>
    </row>
    <row r="42" spans="2:95" s="129" customFormat="1">
      <c r="B42" s="1994"/>
      <c r="C42" s="1994"/>
      <c r="D42" s="1994"/>
      <c r="E42" s="373"/>
      <c r="F42" s="373"/>
      <c r="G42" s="373"/>
      <c r="H42" s="373"/>
      <c r="I42" s="373"/>
      <c r="J42" s="373"/>
      <c r="K42" s="373"/>
      <c r="L42" s="373"/>
      <c r="M42" s="373"/>
      <c r="N42" s="373"/>
      <c r="O42" s="373"/>
      <c r="P42" s="373"/>
      <c r="Q42" s="373"/>
      <c r="R42" s="373"/>
      <c r="S42" s="373"/>
      <c r="T42" s="373"/>
      <c r="U42" s="373"/>
      <c r="V42" s="373"/>
      <c r="W42" s="373"/>
      <c r="X42" s="373"/>
      <c r="Y42" s="373"/>
      <c r="Z42" s="373"/>
      <c r="AA42" s="373"/>
      <c r="AB42" s="373"/>
      <c r="AC42" s="373"/>
      <c r="AD42" s="373"/>
      <c r="AE42" s="373"/>
      <c r="AF42" s="373"/>
      <c r="AG42" s="373"/>
      <c r="AH42" s="373"/>
      <c r="AI42" s="373"/>
      <c r="AJ42" s="373"/>
      <c r="AK42" s="373"/>
      <c r="AL42" s="373"/>
      <c r="AM42" s="373"/>
      <c r="AN42" s="373"/>
      <c r="AO42" s="373"/>
      <c r="AP42" s="373"/>
      <c r="AQ42" s="373"/>
      <c r="AR42" s="373"/>
      <c r="AS42" s="373"/>
      <c r="AT42" s="373"/>
      <c r="AU42" s="373"/>
      <c r="AV42" s="373"/>
      <c r="AW42" s="373"/>
      <c r="AX42" s="373"/>
      <c r="AY42" s="373"/>
      <c r="AZ42" s="373"/>
      <c r="BA42" s="373"/>
      <c r="BB42" s="373"/>
      <c r="BC42" s="373"/>
      <c r="BD42" s="373"/>
      <c r="BE42" s="373"/>
      <c r="BF42" s="373"/>
      <c r="BG42" s="373"/>
      <c r="BH42" s="373"/>
      <c r="BI42" s="373"/>
      <c r="BJ42" s="373"/>
      <c r="BK42" s="373"/>
      <c r="BL42" s="373"/>
      <c r="BM42" s="373"/>
      <c r="BN42" s="373"/>
      <c r="BO42" s="373"/>
      <c r="BP42" s="373"/>
      <c r="BQ42" s="373"/>
      <c r="BR42" s="373"/>
      <c r="BS42" s="2139"/>
      <c r="BT42" s="2139"/>
      <c r="BU42" s="2139"/>
      <c r="BV42" s="2139"/>
      <c r="BW42" s="2139"/>
      <c r="BX42" s="2139"/>
      <c r="BY42" s="2139"/>
      <c r="BZ42" s="2139"/>
      <c r="CA42" s="2139"/>
      <c r="CB42" s="2139"/>
      <c r="CC42" s="2139"/>
      <c r="CD42" s="2139"/>
      <c r="CE42" s="373"/>
      <c r="CF42" s="2139"/>
      <c r="CG42" s="2139"/>
      <c r="CH42" s="2139"/>
      <c r="CI42" s="2139"/>
      <c r="CJ42" s="2139"/>
      <c r="CK42" s="2139"/>
      <c r="CL42" s="2139"/>
      <c r="CM42" s="2139"/>
      <c r="CN42" s="2139"/>
      <c r="CO42" s="2139"/>
      <c r="CP42" s="2139"/>
      <c r="CQ42" s="2139"/>
    </row>
    <row r="43" spans="2:95" s="129" customFormat="1">
      <c r="B43" s="1646"/>
      <c r="C43" s="1646"/>
      <c r="D43" s="1646"/>
      <c r="E43" s="373"/>
      <c r="F43" s="373"/>
      <c r="G43" s="373"/>
      <c r="H43" s="373"/>
      <c r="I43" s="373"/>
      <c r="J43" s="373"/>
      <c r="K43" s="373"/>
      <c r="L43" s="373"/>
      <c r="M43" s="373"/>
      <c r="N43" s="373"/>
      <c r="O43" s="373"/>
      <c r="P43" s="373"/>
      <c r="Q43" s="373"/>
      <c r="R43" s="373"/>
      <c r="S43" s="757"/>
      <c r="T43" s="757"/>
      <c r="U43" s="757"/>
      <c r="V43" s="757"/>
      <c r="W43" s="757"/>
      <c r="X43" s="757"/>
      <c r="Y43" s="757"/>
      <c r="Z43" s="757"/>
      <c r="AA43" s="757"/>
      <c r="AB43" s="757"/>
      <c r="AC43" s="757"/>
      <c r="AD43" s="757"/>
      <c r="AE43" s="373"/>
      <c r="AF43" s="373"/>
      <c r="AG43" s="373"/>
      <c r="AH43" s="373"/>
      <c r="AI43" s="373"/>
      <c r="AJ43" s="373"/>
      <c r="AK43" s="757"/>
      <c r="AL43" s="373"/>
      <c r="AM43" s="373"/>
      <c r="AN43" s="373"/>
      <c r="AO43" s="373"/>
      <c r="AP43" s="373"/>
      <c r="AQ43" s="373"/>
      <c r="AR43" s="373"/>
      <c r="AS43" s="1665"/>
      <c r="AT43" s="1665"/>
      <c r="AU43" s="1665"/>
      <c r="AV43" s="1665"/>
      <c r="AW43" s="1665"/>
      <c r="AX43" s="1665"/>
      <c r="AY43" s="1665"/>
      <c r="AZ43" s="1665"/>
      <c r="BA43" s="1665"/>
      <c r="BB43" s="1665"/>
      <c r="BC43" s="1665"/>
      <c r="BD43" s="1665"/>
      <c r="BE43" s="373"/>
      <c r="BF43" s="373"/>
      <c r="BG43" s="373"/>
      <c r="BH43" s="373"/>
      <c r="BI43" s="373"/>
      <c r="BJ43" s="373"/>
      <c r="BK43" s="757"/>
      <c r="BL43" s="373"/>
      <c r="BM43" s="373"/>
      <c r="BN43" s="373"/>
      <c r="BO43" s="373"/>
      <c r="BP43" s="373"/>
      <c r="BQ43" s="373"/>
      <c r="BR43" s="373"/>
      <c r="BS43" s="373"/>
      <c r="BT43" s="373"/>
      <c r="BU43" s="373"/>
      <c r="BV43" s="373"/>
      <c r="BW43" s="373"/>
      <c r="BX43" s="757"/>
      <c r="BY43" s="373"/>
      <c r="BZ43" s="373"/>
      <c r="CA43" s="373"/>
      <c r="CB43" s="373"/>
      <c r="CC43" s="373"/>
      <c r="CD43" s="373"/>
      <c r="CE43" s="373"/>
      <c r="CF43" s="373"/>
      <c r="CG43" s="373"/>
      <c r="CH43" s="373"/>
      <c r="CI43" s="373"/>
      <c r="CJ43" s="373"/>
      <c r="CK43" s="757"/>
      <c r="CL43" s="373"/>
      <c r="CM43" s="373"/>
      <c r="CN43" s="373"/>
      <c r="CO43" s="373"/>
      <c r="CP43" s="373"/>
      <c r="CQ43" s="373"/>
    </row>
    <row r="44" spans="2:95" s="992" customFormat="1" hidden="1" outlineLevel="1">
      <c r="B44" s="3448" t="s">
        <v>401</v>
      </c>
      <c r="C44" s="3449"/>
      <c r="D44" s="3449"/>
      <c r="E44" s="2177"/>
      <c r="F44" s="2177"/>
      <c r="G44" s="2177"/>
      <c r="H44" s="2177"/>
      <c r="I44" s="2177"/>
      <c r="J44" s="2177"/>
      <c r="K44" s="2177"/>
      <c r="L44" s="2177"/>
      <c r="M44" s="2177"/>
      <c r="N44" s="2177"/>
      <c r="O44" s="2177"/>
      <c r="P44" s="2177"/>
      <c r="Q44" s="2177"/>
      <c r="R44" s="2178">
        <f>SUM(S44:AD44)</f>
        <v>0</v>
      </c>
      <c r="S44" s="2177"/>
      <c r="T44" s="2177"/>
      <c r="U44" s="2177"/>
      <c r="V44" s="2177"/>
      <c r="W44" s="2177"/>
      <c r="X44" s="2177"/>
      <c r="Y44" s="2177"/>
      <c r="Z44" s="2177"/>
      <c r="AA44" s="2177"/>
      <c r="AB44" s="2177"/>
      <c r="AC44" s="2177"/>
      <c r="AD44" s="2177"/>
      <c r="AE44" s="2178">
        <f>SUM(AF44:AQ44)</f>
        <v>0</v>
      </c>
      <c r="AF44" s="2177"/>
      <c r="AG44" s="2177"/>
      <c r="AH44" s="2177"/>
      <c r="AI44" s="2177"/>
      <c r="AJ44" s="2177"/>
      <c r="AK44" s="2177"/>
      <c r="AL44" s="2177"/>
      <c r="AM44" s="2177"/>
      <c r="AN44" s="2177"/>
      <c r="AO44" s="2177"/>
      <c r="AP44" s="2177"/>
      <c r="AQ44" s="2177"/>
      <c r="AR44" s="2178">
        <f>SUM(AS44:BD44)</f>
        <v>0</v>
      </c>
      <c r="AS44" s="2177"/>
      <c r="AT44" s="2177"/>
      <c r="AU44" s="2177"/>
      <c r="AV44" s="2177"/>
      <c r="AW44" s="2177"/>
      <c r="AX44" s="2177"/>
      <c r="AY44" s="2177"/>
      <c r="AZ44" s="2177"/>
      <c r="BA44" s="2177"/>
      <c r="BB44" s="2177"/>
      <c r="BC44" s="2177"/>
      <c r="BD44" s="2177"/>
      <c r="BE44" s="2178">
        <f>SUM(BF44:BQ44)</f>
        <v>0</v>
      </c>
      <c r="BF44" s="2177"/>
      <c r="BG44" s="2177"/>
      <c r="BH44" s="2177"/>
      <c r="BI44" s="2177"/>
      <c r="BJ44" s="2177"/>
      <c r="BK44" s="2177"/>
      <c r="BL44" s="2177"/>
      <c r="BM44" s="2177"/>
      <c r="BN44" s="2177"/>
      <c r="BO44" s="2177"/>
      <c r="BP44" s="2177"/>
      <c r="BQ44" s="2177"/>
      <c r="BR44" s="2178">
        <f>SUM(BS44:CD44)</f>
        <v>0</v>
      </c>
      <c r="BS44" s="2177"/>
      <c r="BT44" s="2177"/>
      <c r="BU44" s="2177"/>
      <c r="BV44" s="2177"/>
      <c r="BW44" s="2177"/>
      <c r="BX44" s="2177"/>
      <c r="BY44" s="2177"/>
      <c r="BZ44" s="2177"/>
      <c r="CA44" s="2177"/>
      <c r="CB44" s="2177"/>
      <c r="CC44" s="2177"/>
      <c r="CD44" s="2179"/>
      <c r="CE44" s="2178">
        <f>SUM(CF44:CQ44)</f>
        <v>0</v>
      </c>
      <c r="CF44" s="2177"/>
      <c r="CG44" s="2177"/>
      <c r="CH44" s="2177"/>
      <c r="CI44" s="2177"/>
      <c r="CJ44" s="2177"/>
      <c r="CK44" s="2177"/>
      <c r="CL44" s="2177"/>
      <c r="CM44" s="2177"/>
      <c r="CN44" s="2177"/>
      <c r="CO44" s="2177"/>
      <c r="CP44" s="2177"/>
      <c r="CQ44" s="2179"/>
    </row>
    <row r="45" spans="2:95" s="992" customFormat="1" hidden="1" outlineLevel="1">
      <c r="B45" s="3432" t="s">
        <v>402</v>
      </c>
      <c r="C45" s="3433"/>
      <c r="D45" s="3433"/>
      <c r="E45" s="2180"/>
      <c r="F45" s="2180"/>
      <c r="G45" s="2180"/>
      <c r="H45" s="2180"/>
      <c r="I45" s="2180"/>
      <c r="J45" s="2180"/>
      <c r="K45" s="2180"/>
      <c r="L45" s="2180"/>
      <c r="M45" s="2180"/>
      <c r="N45" s="2180"/>
      <c r="O45" s="2180"/>
      <c r="P45" s="2180"/>
      <c r="Q45" s="2180"/>
      <c r="R45" s="2181">
        <f>SUM(S45:AD45)</f>
        <v>271105089</v>
      </c>
      <c r="S45" s="2180">
        <f>S40+S44</f>
        <v>36526489</v>
      </c>
      <c r="T45" s="2180">
        <f t="shared" ref="T45:AA45" si="69">T40+T44</f>
        <v>0</v>
      </c>
      <c r="U45" s="2180">
        <f t="shared" si="69"/>
        <v>185085600</v>
      </c>
      <c r="V45" s="2180">
        <f t="shared" si="69"/>
        <v>0</v>
      </c>
      <c r="W45" s="2180">
        <f t="shared" si="69"/>
        <v>8000000</v>
      </c>
      <c r="X45" s="2180">
        <f t="shared" si="69"/>
        <v>19079000</v>
      </c>
      <c r="Y45" s="2180">
        <f t="shared" si="69"/>
        <v>0</v>
      </c>
      <c r="Z45" s="2180">
        <f t="shared" si="69"/>
        <v>22414000</v>
      </c>
      <c r="AA45" s="2180">
        <f t="shared" si="69"/>
        <v>0</v>
      </c>
      <c r="AB45" s="2180"/>
      <c r="AC45" s="2180"/>
      <c r="AD45" s="2180"/>
      <c r="AE45" s="2181">
        <f>SUM(AF45:AQ45)</f>
        <v>0</v>
      </c>
      <c r="AF45" s="2180"/>
      <c r="AG45" s="2180"/>
      <c r="AH45" s="2180"/>
      <c r="AI45" s="2180"/>
      <c r="AJ45" s="2180"/>
      <c r="AK45" s="2180"/>
      <c r="AL45" s="2180"/>
      <c r="AM45" s="2180"/>
      <c r="AN45" s="2180"/>
      <c r="AO45" s="2180"/>
      <c r="AP45" s="2180"/>
      <c r="AQ45" s="2180"/>
      <c r="AR45" s="2181">
        <f>SUM(AS45:BD45)</f>
        <v>0</v>
      </c>
      <c r="AS45" s="2180"/>
      <c r="AT45" s="2180"/>
      <c r="AU45" s="2180"/>
      <c r="AV45" s="2180"/>
      <c r="AW45" s="2180"/>
      <c r="AX45" s="2180"/>
      <c r="AY45" s="2180"/>
      <c r="AZ45" s="2180"/>
      <c r="BA45" s="2180"/>
      <c r="BB45" s="2180"/>
      <c r="BC45" s="2180"/>
      <c r="BD45" s="2180"/>
      <c r="BE45" s="2181">
        <f>SUM(BF45:BQ45)</f>
        <v>0</v>
      </c>
      <c r="BF45" s="2180"/>
      <c r="BG45" s="2180"/>
      <c r="BH45" s="2180"/>
      <c r="BI45" s="2180"/>
      <c r="BJ45" s="2180"/>
      <c r="BK45" s="2180"/>
      <c r="BL45" s="2180"/>
      <c r="BM45" s="2180"/>
      <c r="BN45" s="2180"/>
      <c r="BO45" s="2180"/>
      <c r="BP45" s="2180"/>
      <c r="BQ45" s="2180"/>
      <c r="BR45" s="2181">
        <f>SUM(BS45:CD45)</f>
        <v>0</v>
      </c>
      <c r="BS45" s="2180"/>
      <c r="BT45" s="2180"/>
      <c r="BU45" s="2180"/>
      <c r="BV45" s="2180"/>
      <c r="BW45" s="2180"/>
      <c r="BX45" s="2180"/>
      <c r="BY45" s="2180"/>
      <c r="BZ45" s="2180"/>
      <c r="CA45" s="2180"/>
      <c r="CB45" s="2180"/>
      <c r="CC45" s="2180"/>
      <c r="CD45" s="2182"/>
      <c r="CE45" s="2181">
        <f>SUM(CF45:CQ45)</f>
        <v>0</v>
      </c>
      <c r="CF45" s="2180"/>
      <c r="CG45" s="2180"/>
      <c r="CH45" s="2180"/>
      <c r="CI45" s="2180"/>
      <c r="CJ45" s="2180"/>
      <c r="CK45" s="2180"/>
      <c r="CL45" s="2180"/>
      <c r="CM45" s="2180"/>
      <c r="CN45" s="2180"/>
      <c r="CO45" s="2180"/>
      <c r="CP45" s="2180"/>
      <c r="CQ45" s="2182"/>
    </row>
    <row r="46" spans="2:95" s="129" customFormat="1" hidden="1" outlineLevel="1">
      <c r="B46" s="730"/>
      <c r="C46" s="730"/>
      <c r="D46" s="730"/>
      <c r="E46" s="373"/>
      <c r="F46" s="373"/>
      <c r="G46" s="373"/>
      <c r="H46" s="373"/>
      <c r="I46" s="373"/>
      <c r="J46" s="373"/>
      <c r="K46" s="373"/>
      <c r="L46" s="373"/>
      <c r="M46" s="373"/>
      <c r="N46" s="373"/>
      <c r="O46" s="373"/>
      <c r="P46" s="373"/>
      <c r="Q46" s="373"/>
      <c r="R46" s="373"/>
      <c r="S46" s="373"/>
      <c r="T46" s="373"/>
      <c r="U46" s="373"/>
      <c r="V46" s="373"/>
      <c r="W46" s="373"/>
      <c r="X46" s="373"/>
      <c r="Y46" s="373"/>
      <c r="Z46" s="373"/>
      <c r="AA46" s="373"/>
      <c r="AB46" s="373"/>
      <c r="AC46" s="373"/>
      <c r="AD46" s="373"/>
      <c r="AE46" s="373"/>
      <c r="AF46" s="373"/>
      <c r="AG46" s="373"/>
      <c r="AH46" s="373"/>
      <c r="AI46" s="373"/>
      <c r="AJ46" s="373"/>
      <c r="AK46" s="373"/>
      <c r="AL46" s="373"/>
      <c r="AM46" s="373"/>
      <c r="AN46" s="373"/>
      <c r="AO46" s="373"/>
      <c r="AP46" s="373"/>
      <c r="AQ46" s="373"/>
      <c r="AR46" s="373"/>
      <c r="AS46" s="373"/>
      <c r="AT46" s="373"/>
      <c r="AU46" s="373"/>
      <c r="AV46" s="373"/>
      <c r="AW46" s="373"/>
      <c r="AX46" s="373"/>
      <c r="AY46" s="373"/>
      <c r="AZ46" s="373"/>
      <c r="BA46" s="373"/>
      <c r="BB46" s="373"/>
      <c r="BC46" s="373"/>
      <c r="BD46" s="373"/>
      <c r="BE46" s="373"/>
      <c r="BF46" s="373"/>
      <c r="BG46" s="373"/>
      <c r="BH46" s="373"/>
      <c r="BI46" s="373"/>
      <c r="BJ46" s="373"/>
      <c r="BK46" s="373"/>
      <c r="BL46" s="373"/>
      <c r="BM46" s="373"/>
      <c r="BN46" s="373"/>
      <c r="BO46" s="373"/>
      <c r="BP46" s="373"/>
      <c r="BQ46" s="373"/>
      <c r="BR46" s="373"/>
      <c r="BS46" s="373"/>
      <c r="BT46" s="373"/>
      <c r="BU46" s="373"/>
      <c r="BV46" s="373"/>
      <c r="BW46" s="373"/>
      <c r="BX46" s="373"/>
      <c r="BY46" s="373"/>
      <c r="BZ46" s="373"/>
      <c r="CA46" s="373"/>
      <c r="CB46" s="373"/>
      <c r="CC46" s="373"/>
      <c r="CD46" s="373"/>
      <c r="CE46" s="373"/>
      <c r="CF46" s="373"/>
      <c r="CG46" s="373"/>
      <c r="CH46" s="373"/>
      <c r="CI46" s="373"/>
      <c r="CJ46" s="373"/>
      <c r="CK46" s="373"/>
      <c r="CL46" s="373"/>
      <c r="CM46" s="373"/>
      <c r="CN46" s="373"/>
      <c r="CO46" s="373"/>
      <c r="CP46" s="373"/>
      <c r="CQ46" s="373"/>
    </row>
    <row r="47" spans="2:95" s="129" customFormat="1" hidden="1" outlineLevel="1">
      <c r="B47"/>
      <c r="C47"/>
      <c r="D47"/>
      <c r="E47" s="313">
        <f>E6+E13+E20+E27</f>
        <v>485127649</v>
      </c>
      <c r="F47" t="s">
        <v>382</v>
      </c>
      <c r="G47"/>
      <c r="H47"/>
      <c r="I47"/>
      <c r="J47"/>
      <c r="K47"/>
      <c r="L47"/>
      <c r="M47"/>
      <c r="N47"/>
      <c r="O47"/>
      <c r="P47"/>
      <c r="Q47"/>
      <c r="R47" s="313">
        <f>R6+R13+R20+R27</f>
        <v>288892089</v>
      </c>
      <c r="S47" t="s">
        <v>383</v>
      </c>
      <c r="T47"/>
      <c r="U47"/>
      <c r="V47"/>
      <c r="W47"/>
      <c r="X47"/>
      <c r="Y47"/>
      <c r="Z47"/>
      <c r="AA47"/>
      <c r="AB47"/>
      <c r="AC47"/>
      <c r="AD47"/>
      <c r="AE47" s="313">
        <f>AE6+AE13+AE20+AE27</f>
        <v>774952996</v>
      </c>
      <c r="AF47"/>
      <c r="AG47"/>
      <c r="AH47"/>
      <c r="AI47"/>
      <c r="AJ47"/>
      <c r="AK47"/>
      <c r="AL47"/>
      <c r="AM47"/>
      <c r="AN47"/>
      <c r="AO47"/>
      <c r="AP47"/>
      <c r="AQ47"/>
      <c r="AR47" s="991">
        <f>AR6+AR13+AR20+AR27</f>
        <v>1919572313</v>
      </c>
      <c r="AS47"/>
      <c r="AT47"/>
      <c r="AU47"/>
      <c r="AV47"/>
      <c r="AW47"/>
      <c r="AX47"/>
      <c r="AY47"/>
      <c r="AZ47"/>
      <c r="BA47"/>
      <c r="BB47"/>
      <c r="BC47"/>
      <c r="BD47"/>
      <c r="BE47" s="991">
        <f>BE6+BE13+BE20+BE27</f>
        <v>906302000</v>
      </c>
      <c r="BF47"/>
      <c r="BG47"/>
      <c r="BH47"/>
      <c r="BI47"/>
      <c r="BJ47"/>
      <c r="BK47"/>
      <c r="BL47"/>
      <c r="BM47"/>
      <c r="BN47"/>
      <c r="BO47"/>
      <c r="BP47"/>
      <c r="BQ47"/>
      <c r="BR47" s="991">
        <f>BR6+BR13+BR20+BR27</f>
        <v>199002000</v>
      </c>
      <c r="BS47"/>
      <c r="BT47"/>
      <c r="BU47"/>
      <c r="BV47"/>
      <c r="BW47"/>
      <c r="BX47"/>
      <c r="BY47"/>
      <c r="BZ47"/>
      <c r="CA47"/>
      <c r="CB47"/>
      <c r="CC47"/>
      <c r="CD47"/>
      <c r="CE47" s="991">
        <f>CE6+CE13+CE20+CE27</f>
        <v>2950000000</v>
      </c>
      <c r="CF47"/>
      <c r="CG47"/>
      <c r="CH47"/>
      <c r="CI47"/>
      <c r="CJ47"/>
      <c r="CK47"/>
      <c r="CL47"/>
      <c r="CM47"/>
      <c r="CN47"/>
      <c r="CO47"/>
      <c r="CP47"/>
      <c r="CQ47"/>
    </row>
    <row r="48" spans="2:95" s="129" customFormat="1" hidden="1" outlineLevel="1">
      <c r="B48"/>
      <c r="C48"/>
      <c r="D48"/>
      <c r="E48" s="313">
        <f>E20+E27</f>
        <v>354505600</v>
      </c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313">
        <f>R20+R27</f>
        <v>185085600</v>
      </c>
      <c r="S48"/>
      <c r="T48"/>
      <c r="U48"/>
      <c r="V48"/>
      <c r="W48"/>
      <c r="X48"/>
      <c r="Y48"/>
      <c r="Z48"/>
      <c r="AA48"/>
      <c r="AB48"/>
      <c r="AC48"/>
      <c r="AD48"/>
      <c r="AE48" s="313">
        <f>AE20+AE27</f>
        <v>185085600</v>
      </c>
      <c r="AF48"/>
      <c r="AG48"/>
      <c r="AH48"/>
      <c r="AI48"/>
      <c r="AJ48"/>
      <c r="AK48"/>
      <c r="AL48"/>
      <c r="AM48"/>
      <c r="AN48"/>
      <c r="AO48"/>
      <c r="AP48"/>
      <c r="AQ48"/>
      <c r="AR48" s="991">
        <f>AR20+AR27</f>
        <v>445527000</v>
      </c>
      <c r="AS48"/>
      <c r="AT48"/>
      <c r="AU48"/>
      <c r="AV48"/>
      <c r="AW48"/>
      <c r="AX48"/>
      <c r="AY48"/>
      <c r="AZ48"/>
      <c r="BA48"/>
      <c r="BB48"/>
      <c r="BC48"/>
      <c r="BD48"/>
      <c r="BE48" s="991">
        <f>BE20+BE27</f>
        <v>199002000</v>
      </c>
      <c r="BF48"/>
      <c r="BG48"/>
      <c r="BH48"/>
      <c r="BI48"/>
      <c r="BJ48"/>
      <c r="BK48"/>
      <c r="BL48"/>
      <c r="BM48"/>
      <c r="BN48"/>
      <c r="BO48"/>
      <c r="BP48"/>
      <c r="BQ48"/>
      <c r="BR48" s="991">
        <f>BR20+BR27</f>
        <v>199002000</v>
      </c>
      <c r="BS48"/>
      <c r="BT48"/>
      <c r="BU48"/>
      <c r="BV48"/>
      <c r="BW48"/>
      <c r="BX48"/>
      <c r="BY48"/>
      <c r="BZ48"/>
      <c r="CA48"/>
      <c r="CB48"/>
      <c r="CC48"/>
      <c r="CD48"/>
      <c r="CE48" s="991">
        <f>CE20+CE27</f>
        <v>2750000000</v>
      </c>
      <c r="CF48"/>
      <c r="CG48"/>
      <c r="CH48"/>
      <c r="CI48" s="489"/>
      <c r="CJ48"/>
      <c r="CK48"/>
      <c r="CL48"/>
      <c r="CM48"/>
      <c r="CN48"/>
      <c r="CO48"/>
      <c r="CP48"/>
      <c r="CQ48"/>
    </row>
    <row r="49" spans="2:95" s="129" customFormat="1" hidden="1" outlineLevel="1">
      <c r="B49"/>
      <c r="C49"/>
      <c r="D49"/>
      <c r="E49" s="313">
        <f>E11+E18+E25+E32</f>
        <v>1843950278</v>
      </c>
      <c r="F49"/>
      <c r="G49"/>
      <c r="H49"/>
      <c r="I49"/>
      <c r="J49"/>
      <c r="K49"/>
      <c r="L49"/>
      <c r="M49"/>
      <c r="N49"/>
      <c r="O49"/>
      <c r="P49"/>
      <c r="Q49"/>
      <c r="R49" s="313">
        <f>R11+R18+R25+R32</f>
        <v>1390884851</v>
      </c>
      <c r="S49" s="313">
        <f>S40/100000000</f>
        <v>0.36526489000000001</v>
      </c>
      <c r="T49" s="313">
        <f t="shared" ref="T49:AD49" si="70">T40/100000000</f>
        <v>0</v>
      </c>
      <c r="U49" s="313">
        <f t="shared" si="70"/>
        <v>1.8508560000000001</v>
      </c>
      <c r="V49" s="313">
        <f t="shared" si="70"/>
        <v>0</v>
      </c>
      <c r="W49" s="313">
        <f t="shared" si="70"/>
        <v>0.08</v>
      </c>
      <c r="X49" s="313">
        <f t="shared" si="70"/>
        <v>0.19078999999999999</v>
      </c>
      <c r="Y49" s="313">
        <f t="shared" si="70"/>
        <v>0</v>
      </c>
      <c r="Z49" s="313">
        <f t="shared" si="70"/>
        <v>0.22414000000000001</v>
      </c>
      <c r="AA49" s="313">
        <f t="shared" si="70"/>
        <v>0</v>
      </c>
      <c r="AB49" s="313">
        <f t="shared" si="70"/>
        <v>0.17787</v>
      </c>
      <c r="AC49" s="313">
        <f t="shared" si="70"/>
        <v>0</v>
      </c>
      <c r="AD49" s="313">
        <f t="shared" si="70"/>
        <v>0</v>
      </c>
      <c r="AE49" s="313">
        <f>AE11+AE18+AE25+AE32</f>
        <v>1169839098</v>
      </c>
      <c r="AF49" s="313">
        <f>AF40/100000000</f>
        <v>0</v>
      </c>
      <c r="AG49" s="313">
        <f t="shared" ref="AG49:AQ49" si="71">AG40/100000000</f>
        <v>0</v>
      </c>
      <c r="AH49" s="313">
        <f t="shared" si="71"/>
        <v>0</v>
      </c>
      <c r="AI49" s="313">
        <f t="shared" si="71"/>
        <v>4.0908559999999996</v>
      </c>
      <c r="AJ49" s="313">
        <f t="shared" si="71"/>
        <v>0.4425</v>
      </c>
      <c r="AK49" s="313">
        <f t="shared" si="71"/>
        <v>0.66959999999999997</v>
      </c>
      <c r="AL49" s="313">
        <f t="shared" si="71"/>
        <v>0</v>
      </c>
      <c r="AM49" s="313">
        <f t="shared" si="71"/>
        <v>0</v>
      </c>
      <c r="AN49" s="313">
        <f t="shared" si="71"/>
        <v>0</v>
      </c>
      <c r="AO49" s="313">
        <f t="shared" si="71"/>
        <v>0</v>
      </c>
      <c r="AP49" s="313">
        <f t="shared" si="71"/>
        <v>0.21357396000000001</v>
      </c>
      <c r="AQ49" s="313">
        <f t="shared" si="71"/>
        <v>2.3330000000000002</v>
      </c>
      <c r="AR49" s="991">
        <f>AR11+AR18+AR25+AR32</f>
        <v>1007144810</v>
      </c>
      <c r="AS49" s="313">
        <f>AS40/100000000</f>
        <v>0.12548000000000001</v>
      </c>
      <c r="AT49" s="313">
        <f t="shared" ref="AT49:BD49" si="72">AT40/100000000</f>
        <v>1.91</v>
      </c>
      <c r="AU49" s="313">
        <f t="shared" si="72"/>
        <v>1.1077926300000001</v>
      </c>
      <c r="AV49" s="313">
        <f t="shared" si="72"/>
        <v>1.9900199999999999</v>
      </c>
      <c r="AW49" s="313">
        <f t="shared" si="72"/>
        <v>7.9430500000000001E-2</v>
      </c>
      <c r="AX49" s="313">
        <f t="shared" si="72"/>
        <v>12.22</v>
      </c>
      <c r="AY49" s="313">
        <f t="shared" si="72"/>
        <v>0</v>
      </c>
      <c r="AZ49" s="313">
        <f t="shared" si="72"/>
        <v>0</v>
      </c>
      <c r="BA49" s="313">
        <f t="shared" si="72"/>
        <v>0</v>
      </c>
      <c r="BB49" s="313">
        <f t="shared" si="72"/>
        <v>1.7629999999999999</v>
      </c>
      <c r="BC49" s="313">
        <f t="shared" si="72"/>
        <v>0</v>
      </c>
      <c r="BD49" s="313">
        <f t="shared" si="72"/>
        <v>0</v>
      </c>
      <c r="BE49" s="991">
        <f>BE11+BE18+BE25+BE32</f>
        <v>827004746</v>
      </c>
      <c r="BF49" s="313">
        <f>BF40/100000000</f>
        <v>4.7</v>
      </c>
      <c r="BG49" s="313">
        <f t="shared" ref="BG49:BQ49" si="73">BG40/100000000</f>
        <v>0</v>
      </c>
      <c r="BH49" s="313">
        <f t="shared" si="73"/>
        <v>0.48</v>
      </c>
      <c r="BI49" s="313">
        <f t="shared" si="73"/>
        <v>1.9900199999999999</v>
      </c>
      <c r="BJ49" s="313">
        <f t="shared" si="73"/>
        <v>1.893</v>
      </c>
      <c r="BK49" s="313">
        <f t="shared" si="73"/>
        <v>0</v>
      </c>
      <c r="BL49" s="313">
        <f t="shared" si="73"/>
        <v>0</v>
      </c>
      <c r="BM49" s="313">
        <f t="shared" si="73"/>
        <v>0</v>
      </c>
      <c r="BN49" s="313">
        <f t="shared" si="73"/>
        <v>0</v>
      </c>
      <c r="BO49" s="313">
        <f t="shared" si="73"/>
        <v>0</v>
      </c>
      <c r="BP49" s="313">
        <f t="shared" si="73"/>
        <v>0</v>
      </c>
      <c r="BQ49" s="313">
        <f t="shared" si="73"/>
        <v>0</v>
      </c>
      <c r="BR49" s="991">
        <f>BR11+BR18+BR25+BR32</f>
        <v>745204615</v>
      </c>
      <c r="BS49" s="313">
        <v>4.7</v>
      </c>
      <c r="BT49" s="313">
        <v>0</v>
      </c>
      <c r="BU49" s="313">
        <v>0.48</v>
      </c>
      <c r="BV49" s="313">
        <v>1.9900199999999999</v>
      </c>
      <c r="BW49" s="313">
        <v>0</v>
      </c>
      <c r="BX49" s="313">
        <v>6</v>
      </c>
      <c r="BY49" s="313">
        <v>5.68</v>
      </c>
      <c r="BZ49" s="313">
        <v>1.5</v>
      </c>
      <c r="CA49" s="313">
        <v>1.5</v>
      </c>
      <c r="CB49" s="313">
        <v>0</v>
      </c>
      <c r="CC49" s="313">
        <v>4</v>
      </c>
      <c r="CD49" s="313">
        <v>2</v>
      </c>
      <c r="CE49" s="991">
        <f>CE11+CE18+CE25+CE32</f>
        <v>629557456</v>
      </c>
      <c r="CF49" s="313">
        <v>4.7</v>
      </c>
      <c r="CG49" s="313">
        <v>0</v>
      </c>
      <c r="CH49" s="313">
        <v>0.48</v>
      </c>
      <c r="CI49" s="313">
        <v>1.9900199999999999</v>
      </c>
      <c r="CJ49" s="313">
        <v>0</v>
      </c>
      <c r="CK49" s="313">
        <v>6</v>
      </c>
      <c r="CL49" s="313">
        <v>5.68</v>
      </c>
      <c r="CM49" s="313">
        <v>1.5</v>
      </c>
      <c r="CN49" s="313">
        <v>1.5</v>
      </c>
      <c r="CO49" s="313">
        <v>0</v>
      </c>
      <c r="CP49" s="313">
        <v>4</v>
      </c>
      <c r="CQ49" s="313">
        <v>2</v>
      </c>
    </row>
    <row r="50" spans="2:95" s="602" customFormat="1" hidden="1" outlineLevel="1">
      <c r="B50" s="1013" t="s">
        <v>368</v>
      </c>
      <c r="C50" s="1013"/>
      <c r="D50" s="1013"/>
      <c r="E50" s="1013" t="s">
        <v>371</v>
      </c>
      <c r="F50" s="1013"/>
      <c r="G50" s="1013"/>
      <c r="H50" s="1014">
        <f>H53/1000000</f>
        <v>-1590.147712</v>
      </c>
      <c r="I50" s="1013"/>
      <c r="J50" s="1013"/>
      <c r="K50" s="1014">
        <f>K53/1000000</f>
        <v>-1496.0928650000001</v>
      </c>
      <c r="L50" s="1013"/>
      <c r="M50" s="1013"/>
      <c r="N50" s="1014">
        <v>-1441.293459</v>
      </c>
      <c r="O50" s="1013"/>
      <c r="P50" s="1015"/>
      <c r="Q50" s="1016">
        <f>Q53/1000000</f>
        <v>-1373.707613</v>
      </c>
      <c r="R50" s="1013" t="s">
        <v>371</v>
      </c>
      <c r="S50" s="1013">
        <f>인프라!S34</f>
        <v>0</v>
      </c>
      <c r="T50" s="1013">
        <f>인프라!T34</f>
        <v>0</v>
      </c>
      <c r="U50" s="1016">
        <f>U53/1000000</f>
        <v>-1345.158488</v>
      </c>
      <c r="V50" s="1013">
        <f>인프라!V34</f>
        <v>0</v>
      </c>
      <c r="W50" s="1013">
        <f>인프라!W34</f>
        <v>0</v>
      </c>
      <c r="X50" s="1016">
        <f>X53/1000000</f>
        <v>-1306.1482060000001</v>
      </c>
      <c r="Y50" s="1013">
        <f>인프라!Y34</f>
        <v>0</v>
      </c>
      <c r="Z50" s="1013">
        <f>인프라!Z34</f>
        <v>0</v>
      </c>
      <c r="AA50" s="1016">
        <f>AA53/1000000</f>
        <v>-1257.9986510000001</v>
      </c>
      <c r="AB50" s="1013">
        <f>인프라!AB34</f>
        <v>0</v>
      </c>
      <c r="AC50" s="1013">
        <f>인프라!AC34</f>
        <v>0</v>
      </c>
      <c r="AD50" s="1016">
        <f>AD53/1000000</f>
        <v>-1158.606223</v>
      </c>
      <c r="AE50" s="1013" t="s">
        <v>371</v>
      </c>
      <c r="AF50" s="1013">
        <f>인프라!AF34</f>
        <v>0</v>
      </c>
      <c r="AG50" s="1013">
        <f>인프라!AG34</f>
        <v>0</v>
      </c>
      <c r="AH50" s="1016">
        <f>AH53/1000000</f>
        <v>-1159.6900439999999</v>
      </c>
      <c r="AI50" s="1013">
        <f>인프라!AI34</f>
        <v>0</v>
      </c>
      <c r="AJ50" s="1013">
        <f>인프라!AJ34</f>
        <v>0</v>
      </c>
      <c r="AK50" s="1016">
        <f>AK53/1000000</f>
        <v>-1116.2746649999999</v>
      </c>
      <c r="AL50" s="1013">
        <f>인프라!AL34</f>
        <v>0</v>
      </c>
      <c r="AM50" s="1013">
        <f>인프라!AM34</f>
        <v>0</v>
      </c>
      <c r="AN50" s="1016">
        <f t="shared" ref="AN50:AQ50" si="74">AN53/1000000</f>
        <v>-1309.6014230000001</v>
      </c>
      <c r="AO50" s="1016">
        <f t="shared" si="74"/>
        <v>0</v>
      </c>
      <c r="AP50" s="1016">
        <f t="shared" si="74"/>
        <v>0</v>
      </c>
      <c r="AQ50" s="1016">
        <f t="shared" si="74"/>
        <v>-1380.9939010000001</v>
      </c>
      <c r="AR50" s="1013" t="s">
        <v>371</v>
      </c>
      <c r="AS50" s="1013">
        <f t="shared" ref="AS50:BD50" si="75">AS61</f>
        <v>0</v>
      </c>
      <c r="AT50" s="1013">
        <f t="shared" si="75"/>
        <v>0</v>
      </c>
      <c r="AU50" s="1013">
        <f t="shared" si="75"/>
        <v>-1362.6927000000001</v>
      </c>
      <c r="AV50" s="1013">
        <f t="shared" si="75"/>
        <v>0</v>
      </c>
      <c r="AW50" s="1013">
        <f t="shared" si="75"/>
        <v>0</v>
      </c>
      <c r="AX50" s="1013">
        <f t="shared" si="75"/>
        <v>-1360.219306</v>
      </c>
      <c r="AY50" s="1013">
        <f t="shared" si="75"/>
        <v>0</v>
      </c>
      <c r="AZ50" s="1013">
        <f t="shared" si="75"/>
        <v>0</v>
      </c>
      <c r="BA50" s="1013">
        <f t="shared" si="75"/>
        <v>-1377.8815179999999</v>
      </c>
      <c r="BB50" s="1013">
        <f t="shared" si="75"/>
        <v>0</v>
      </c>
      <c r="BC50" s="1013">
        <f t="shared" si="75"/>
        <v>0</v>
      </c>
      <c r="BD50" s="1013">
        <f t="shared" si="75"/>
        <v>-1328.89903</v>
      </c>
      <c r="BE50" s="1013" t="s">
        <v>371</v>
      </c>
      <c r="BF50" s="1013">
        <f t="shared" ref="BF50:BQ50" si="76">BF61</f>
        <v>0</v>
      </c>
      <c r="BG50" s="1013">
        <f t="shared" si="76"/>
        <v>0</v>
      </c>
      <c r="BH50" s="1013">
        <f t="shared" si="76"/>
        <v>-1351.075932</v>
      </c>
      <c r="BI50" s="1013">
        <f t="shared" si="76"/>
        <v>0</v>
      </c>
      <c r="BJ50" s="1013">
        <f t="shared" si="76"/>
        <v>0</v>
      </c>
      <c r="BK50" s="1013">
        <f t="shared" si="76"/>
        <v>-1363.5151470000001</v>
      </c>
      <c r="BL50" s="1013">
        <f t="shared" si="76"/>
        <v>0</v>
      </c>
      <c r="BM50" s="1013">
        <f t="shared" si="76"/>
        <v>0</v>
      </c>
      <c r="BN50" s="1013">
        <f t="shared" si="76"/>
        <v>-1431.4752570000001</v>
      </c>
      <c r="BO50" s="1013">
        <f t="shared" si="76"/>
        <v>0</v>
      </c>
      <c r="BP50" s="1013">
        <f t="shared" si="76"/>
        <v>0</v>
      </c>
      <c r="BQ50" s="1013">
        <f t="shared" si="76"/>
        <v>-1392.856092</v>
      </c>
      <c r="BR50" s="1013" t="s">
        <v>371</v>
      </c>
      <c r="BS50" s="1013">
        <f t="shared" ref="BS50:CD50" si="77">BS61</f>
        <v>0</v>
      </c>
      <c r="BT50" s="1013">
        <f t="shared" si="77"/>
        <v>0</v>
      </c>
      <c r="BU50" s="1013">
        <f t="shared" si="77"/>
        <v>-1395.440705</v>
      </c>
      <c r="BV50" s="1013">
        <f t="shared" si="77"/>
        <v>0</v>
      </c>
      <c r="BW50" s="1013">
        <f t="shared" si="77"/>
        <v>0</v>
      </c>
      <c r="BX50" s="1013">
        <f t="shared" si="77"/>
        <v>-1385.4924249999999</v>
      </c>
      <c r="BY50" s="1013">
        <f t="shared" si="77"/>
        <v>0</v>
      </c>
      <c r="BZ50" s="1013">
        <f t="shared" si="77"/>
        <v>0</v>
      </c>
      <c r="CA50" s="1013">
        <f t="shared" si="77"/>
        <v>-1412.9063169999999</v>
      </c>
      <c r="CB50" s="1013">
        <f t="shared" si="77"/>
        <v>0</v>
      </c>
      <c r="CC50" s="1013">
        <f t="shared" si="77"/>
        <v>0</v>
      </c>
      <c r="CD50" s="1013">
        <f t="shared" si="77"/>
        <v>-1449.117285</v>
      </c>
      <c r="CE50" s="1013" t="s">
        <v>371</v>
      </c>
      <c r="CF50" s="1013">
        <f t="shared" ref="CF50:CP50" si="78">CF61</f>
        <v>0</v>
      </c>
      <c r="CG50" s="1013">
        <f t="shared" si="78"/>
        <v>0</v>
      </c>
      <c r="CH50" s="2607">
        <f>CH61+70</f>
        <v>-1344.021424</v>
      </c>
      <c r="CI50" s="1013">
        <f t="shared" si="78"/>
        <v>0</v>
      </c>
      <c r="CJ50" s="1013">
        <f t="shared" si="78"/>
        <v>0</v>
      </c>
      <c r="CK50" s="2607">
        <f>CK61+70</f>
        <v>-1344.021424</v>
      </c>
      <c r="CL50" s="1013">
        <f t="shared" si="78"/>
        <v>0</v>
      </c>
      <c r="CM50" s="1013">
        <f t="shared" si="78"/>
        <v>0</v>
      </c>
      <c r="CN50" s="2607">
        <f>CN61+70</f>
        <v>-1340.6880906666668</v>
      </c>
      <c r="CO50" s="1013">
        <f t="shared" si="78"/>
        <v>0</v>
      </c>
      <c r="CP50" s="1013">
        <f t="shared" si="78"/>
        <v>0</v>
      </c>
      <c r="CQ50" s="2607">
        <f>CQ61+70</f>
        <v>-1340.6880906666668</v>
      </c>
    </row>
    <row r="51" spans="2:95" s="602" customFormat="1" hidden="1" outlineLevel="1">
      <c r="B51" s="558"/>
      <c r="C51" s="558"/>
      <c r="D51" s="558"/>
      <c r="E51" s="558" t="s">
        <v>372</v>
      </c>
      <c r="F51" s="558"/>
      <c r="G51" s="558"/>
      <c r="H51" s="559">
        <f>H57/1000000</f>
        <v>7.3999980000000001</v>
      </c>
      <c r="I51" s="558"/>
      <c r="J51" s="558"/>
      <c r="K51" s="559">
        <f>K57/1000000</f>
        <v>8.1249959999999994</v>
      </c>
      <c r="L51" s="558"/>
      <c r="M51" s="558"/>
      <c r="N51" s="559">
        <v>14.124995999999999</v>
      </c>
      <c r="O51" s="558"/>
      <c r="P51" s="673"/>
      <c r="Q51" s="674">
        <f>Q57/1000000</f>
        <v>14.124995999999999</v>
      </c>
      <c r="R51" s="558" t="s">
        <v>372</v>
      </c>
      <c r="S51" s="558"/>
      <c r="T51" s="558"/>
      <c r="U51" s="674">
        <f>U57/1000000</f>
        <v>14.124995999999999</v>
      </c>
      <c r="V51" s="558"/>
      <c r="W51" s="558"/>
      <c r="X51" s="674">
        <f>X57/1000000</f>
        <v>14.124995999999999</v>
      </c>
      <c r="Y51" s="558"/>
      <c r="Z51" s="558"/>
      <c r="AA51" s="674">
        <f>AA57/1000000</f>
        <v>11.124995999999999</v>
      </c>
      <c r="AB51" s="558"/>
      <c r="AC51" s="558"/>
      <c r="AD51" s="674">
        <f>AD57/1000000</f>
        <v>11.124995999999999</v>
      </c>
      <c r="AE51" s="558" t="s">
        <v>372</v>
      </c>
      <c r="AF51" s="558"/>
      <c r="AG51" s="558"/>
      <c r="AH51" s="674">
        <f>AH57/1000000</f>
        <v>5.1249960000000003</v>
      </c>
      <c r="AI51" s="558"/>
      <c r="AJ51" s="558"/>
      <c r="AK51" s="674">
        <f>AK57/1000000</f>
        <v>0</v>
      </c>
      <c r="AL51" s="558"/>
      <c r="AM51" s="558"/>
      <c r="AN51" s="674">
        <f>AN56/1000000</f>
        <v>1.466666</v>
      </c>
      <c r="AO51" s="674">
        <f>AO56/1000000</f>
        <v>0</v>
      </c>
      <c r="AP51" s="674">
        <f>AP56/1000000</f>
        <v>0</v>
      </c>
      <c r="AQ51" s="674">
        <f>AQ56/1000000</f>
        <v>0</v>
      </c>
      <c r="AR51" s="558" t="s">
        <v>372</v>
      </c>
      <c r="AS51" s="558">
        <f t="shared" ref="AS51:BD51" si="79">AS68</f>
        <v>0</v>
      </c>
      <c r="AT51" s="558">
        <f t="shared" si="79"/>
        <v>0</v>
      </c>
      <c r="AU51" s="558">
        <f t="shared" si="79"/>
        <v>0</v>
      </c>
      <c r="AV51" s="558">
        <f t="shared" si="79"/>
        <v>0</v>
      </c>
      <c r="AW51" s="558">
        <f t="shared" si="79"/>
        <v>0</v>
      </c>
      <c r="AX51" s="558">
        <f t="shared" si="79"/>
        <v>0</v>
      </c>
      <c r="AY51" s="558">
        <f t="shared" si="79"/>
        <v>0</v>
      </c>
      <c r="AZ51" s="558">
        <f t="shared" si="79"/>
        <v>0</v>
      </c>
      <c r="BA51" s="558">
        <f t="shared" si="79"/>
        <v>0</v>
      </c>
      <c r="BB51" s="558">
        <f t="shared" si="79"/>
        <v>0</v>
      </c>
      <c r="BC51" s="558">
        <f t="shared" si="79"/>
        <v>0</v>
      </c>
      <c r="BD51" s="558">
        <f t="shared" si="79"/>
        <v>0</v>
      </c>
      <c r="BE51" s="558" t="s">
        <v>372</v>
      </c>
      <c r="BF51" s="558">
        <f t="shared" ref="BF51:BQ51" si="80">BF68</f>
        <v>0</v>
      </c>
      <c r="BG51" s="558">
        <f t="shared" si="80"/>
        <v>0</v>
      </c>
      <c r="BH51" s="558">
        <f t="shared" si="80"/>
        <v>0</v>
      </c>
      <c r="BI51" s="558">
        <f t="shared" si="80"/>
        <v>0</v>
      </c>
      <c r="BJ51" s="558">
        <f t="shared" si="80"/>
        <v>0</v>
      </c>
      <c r="BK51" s="558">
        <f t="shared" si="80"/>
        <v>0</v>
      </c>
      <c r="BL51" s="558">
        <f t="shared" si="80"/>
        <v>0</v>
      </c>
      <c r="BM51" s="558">
        <f t="shared" si="80"/>
        <v>0</v>
      </c>
      <c r="BN51" s="558">
        <f t="shared" si="80"/>
        <v>0</v>
      </c>
      <c r="BO51" s="558">
        <f t="shared" si="80"/>
        <v>0</v>
      </c>
      <c r="BP51" s="558">
        <f t="shared" si="80"/>
        <v>0</v>
      </c>
      <c r="BQ51" s="558">
        <f t="shared" si="80"/>
        <v>0</v>
      </c>
      <c r="BR51" s="558" t="s">
        <v>372</v>
      </c>
      <c r="BS51" s="558">
        <v>0</v>
      </c>
      <c r="BT51" s="558">
        <v>0</v>
      </c>
      <c r="BU51" s="558">
        <v>0</v>
      </c>
      <c r="BV51" s="558">
        <v>0</v>
      </c>
      <c r="BW51" s="558">
        <v>0</v>
      </c>
      <c r="BX51" s="558">
        <v>0</v>
      </c>
      <c r="BY51" s="558">
        <v>0</v>
      </c>
      <c r="BZ51" s="558">
        <v>0</v>
      </c>
      <c r="CA51" s="558">
        <v>0</v>
      </c>
      <c r="CB51" s="558">
        <v>0</v>
      </c>
      <c r="CC51" s="558">
        <v>0</v>
      </c>
      <c r="CD51" s="558">
        <v>0</v>
      </c>
      <c r="CE51" s="558" t="s">
        <v>372</v>
      </c>
      <c r="CF51" s="558">
        <v>0</v>
      </c>
      <c r="CG51" s="558">
        <v>0</v>
      </c>
      <c r="CH51" s="558">
        <v>0</v>
      </c>
      <c r="CI51" s="558">
        <v>0</v>
      </c>
      <c r="CJ51" s="558">
        <v>0</v>
      </c>
      <c r="CK51" s="558">
        <v>0</v>
      </c>
      <c r="CL51" s="558">
        <v>0</v>
      </c>
      <c r="CM51" s="558">
        <v>0</v>
      </c>
      <c r="CN51" s="558">
        <v>0</v>
      </c>
      <c r="CO51" s="558">
        <v>0</v>
      </c>
      <c r="CP51" s="558">
        <v>0</v>
      </c>
      <c r="CQ51" s="558">
        <v>0</v>
      </c>
    </row>
    <row r="52" spans="2:95" s="602" customFormat="1" hidden="1" outlineLevel="1">
      <c r="G52" s="602" t="s">
        <v>375</v>
      </c>
      <c r="H52" s="604">
        <v>1654491636</v>
      </c>
      <c r="K52" s="604">
        <v>1547625465</v>
      </c>
      <c r="N52" s="604">
        <v>1475402794</v>
      </c>
      <c r="Q52" s="604">
        <v>1406126540</v>
      </c>
      <c r="R52" s="602" t="s">
        <v>391</v>
      </c>
      <c r="U52" s="604">
        <v>1376039802</v>
      </c>
      <c r="X52" s="604">
        <v>1333932109</v>
      </c>
      <c r="AA52" s="604">
        <v>1285188190</v>
      </c>
      <c r="AD52" s="604">
        <v>1185324434</v>
      </c>
      <c r="AH52" s="604">
        <v>1186112086</v>
      </c>
      <c r="AK52" s="604">
        <v>1146450789</v>
      </c>
      <c r="AN52" s="603">
        <v>1328310903</v>
      </c>
      <c r="AQ52" s="603">
        <v>1403947880</v>
      </c>
      <c r="AU52" s="604"/>
      <c r="AX52" s="604"/>
      <c r="BA52" s="603"/>
      <c r="BD52" s="603"/>
      <c r="BH52" s="604"/>
      <c r="BK52" s="604"/>
      <c r="BN52" s="603"/>
      <c r="BQ52" s="603"/>
      <c r="BR52" s="1307"/>
      <c r="BS52" s="1307"/>
      <c r="BT52" s="1307"/>
      <c r="BU52" s="604"/>
      <c r="BV52" s="1307"/>
      <c r="BW52" s="1307"/>
      <c r="BX52" s="604"/>
      <c r="BY52" s="1307"/>
      <c r="BZ52" s="1307"/>
      <c r="CA52" s="603"/>
      <c r="CB52" s="1307"/>
      <c r="CC52" s="1307"/>
      <c r="CD52" s="603"/>
      <c r="CE52" s="1307"/>
      <c r="CF52" s="1307"/>
      <c r="CG52" s="1307"/>
      <c r="CH52" s="604"/>
      <c r="CI52" s="1307"/>
      <c r="CJ52" s="1307"/>
      <c r="CK52" s="604"/>
      <c r="CL52" s="1307"/>
      <c r="CM52" s="1307"/>
      <c r="CN52" s="603"/>
      <c r="CO52" s="1307"/>
      <c r="CP52" s="1307"/>
      <c r="CQ52" s="603"/>
    </row>
    <row r="53" spans="2:95" s="602" customFormat="1" hidden="1" outlineLevel="1">
      <c r="H53" s="604">
        <f>H11+H18-H52</f>
        <v>-1590147712</v>
      </c>
      <c r="K53" s="604">
        <f>K11+K18-K52</f>
        <v>-1496092865</v>
      </c>
      <c r="N53" s="604">
        <v>-1441293459</v>
      </c>
      <c r="Q53" s="604">
        <f>Q11+Q18-Q52</f>
        <v>-1373707613</v>
      </c>
      <c r="U53" s="604">
        <f>U11+U18-U52</f>
        <v>-1345158488</v>
      </c>
      <c r="X53" s="604">
        <f>X11+X18-X52</f>
        <v>-1306148206</v>
      </c>
      <c r="AA53" s="604">
        <f>AA11+AA18-AA52</f>
        <v>-1257998651</v>
      </c>
      <c r="AD53" s="604">
        <f>AD11+AD18-AD52</f>
        <v>-1158606223</v>
      </c>
      <c r="AH53" s="604">
        <f>AH11+AH18-AH52</f>
        <v>-1159690044</v>
      </c>
      <c r="AK53" s="604">
        <f>AK11+AK18-AK52</f>
        <v>-1116274665</v>
      </c>
      <c r="AN53" s="604">
        <f>AN11+AN18-AN52</f>
        <v>-1309601423</v>
      </c>
      <c r="AQ53" s="604">
        <f>AQ11+AQ18-AQ52</f>
        <v>-1380993901</v>
      </c>
      <c r="AU53" s="604"/>
      <c r="AX53" s="604"/>
      <c r="BA53" s="603"/>
      <c r="BD53" s="603"/>
      <c r="BH53" s="604"/>
      <c r="BK53" s="604"/>
      <c r="BN53" s="603"/>
      <c r="BQ53" s="603"/>
      <c r="BR53" s="1307"/>
      <c r="BS53" s="1307"/>
      <c r="BT53" s="1307"/>
      <c r="BU53" s="604"/>
      <c r="BV53" s="1307"/>
      <c r="BW53" s="1307"/>
      <c r="BX53" s="604"/>
      <c r="BY53" s="1307"/>
      <c r="BZ53" s="1307"/>
      <c r="CA53" s="603"/>
      <c r="CB53" s="1307"/>
      <c r="CC53" s="1307"/>
      <c r="CD53" s="603"/>
      <c r="CE53" s="1307"/>
      <c r="CF53" s="1307"/>
      <c r="CG53" s="1307"/>
      <c r="CH53" s="604"/>
      <c r="CI53" s="1307"/>
      <c r="CJ53" s="1307"/>
      <c r="CK53" s="604"/>
      <c r="CL53" s="1307"/>
      <c r="CM53" s="1307"/>
      <c r="CN53" s="603"/>
      <c r="CO53" s="1307"/>
      <c r="CP53" s="1307"/>
      <c r="CQ53" s="603"/>
    </row>
    <row r="54" spans="2:95" s="602" customFormat="1" hidden="1" outlineLevel="1">
      <c r="E54" s="602">
        <f>(E6+E13+E20+E27)/1000000</f>
        <v>485.12764900000002</v>
      </c>
      <c r="H54" s="603"/>
      <c r="K54" s="603"/>
      <c r="N54" s="604"/>
      <c r="Q54" s="603"/>
      <c r="R54" s="602">
        <f>(R6+R13+R20+R27)/1000000</f>
        <v>288.892089</v>
      </c>
      <c r="U54" s="603"/>
      <c r="X54" s="603"/>
      <c r="AA54" s="603"/>
      <c r="AD54" s="603"/>
      <c r="AE54" s="602">
        <f>(AE6+AE13+AE20+AE27)/1000000</f>
        <v>774.95299599999998</v>
      </c>
      <c r="AH54" s="603"/>
      <c r="AK54" s="603"/>
      <c r="AN54" s="603"/>
      <c r="AQ54" s="603"/>
      <c r="AR54" s="602">
        <f>(AR6+AR13+AR20+AR27)/1000000</f>
        <v>1919.5723129999999</v>
      </c>
      <c r="AT54" s="602">
        <f>AT40/100000000</f>
        <v>1.91</v>
      </c>
      <c r="AU54" s="602">
        <f t="shared" ref="AU54:BD54" si="81">AU40/100000000</f>
        <v>1.1077926300000001</v>
      </c>
      <c r="AV54" s="602">
        <f t="shared" si="81"/>
        <v>1.9900199999999999</v>
      </c>
      <c r="AW54" s="602">
        <f t="shared" si="81"/>
        <v>7.9430500000000001E-2</v>
      </c>
      <c r="AX54" s="602">
        <f t="shared" si="81"/>
        <v>12.22</v>
      </c>
      <c r="AY54" s="602">
        <f t="shared" si="81"/>
        <v>0</v>
      </c>
      <c r="AZ54" s="602">
        <f t="shared" si="81"/>
        <v>0</v>
      </c>
      <c r="BA54" s="602">
        <f t="shared" si="81"/>
        <v>0</v>
      </c>
      <c r="BB54" s="602">
        <f t="shared" si="81"/>
        <v>1.7629999999999999</v>
      </c>
      <c r="BC54" s="602">
        <f t="shared" si="81"/>
        <v>0</v>
      </c>
      <c r="BD54" s="602">
        <f t="shared" si="81"/>
        <v>0</v>
      </c>
      <c r="BE54" s="602">
        <f>(BE6+BE13+BE20+BE27)/1000000</f>
        <v>906.30200000000002</v>
      </c>
      <c r="BG54" s="602">
        <f>BG40/100000000</f>
        <v>0</v>
      </c>
      <c r="BH54" s="602">
        <f t="shared" ref="BH54:BQ54" si="82">BH40/100000000</f>
        <v>0.48</v>
      </c>
      <c r="BI54" s="602">
        <f t="shared" si="82"/>
        <v>1.9900199999999999</v>
      </c>
      <c r="BJ54" s="602">
        <f t="shared" si="82"/>
        <v>1.893</v>
      </c>
      <c r="BK54" s="602">
        <f t="shared" si="82"/>
        <v>0</v>
      </c>
      <c r="BL54" s="602">
        <f t="shared" si="82"/>
        <v>0</v>
      </c>
      <c r="BM54" s="602">
        <f t="shared" si="82"/>
        <v>0</v>
      </c>
      <c r="BN54" s="602">
        <f t="shared" si="82"/>
        <v>0</v>
      </c>
      <c r="BO54" s="602">
        <f t="shared" si="82"/>
        <v>0</v>
      </c>
      <c r="BP54" s="602">
        <f t="shared" si="82"/>
        <v>0</v>
      </c>
      <c r="BQ54" s="602">
        <f t="shared" si="82"/>
        <v>0</v>
      </c>
      <c r="BR54" s="1307">
        <f>(BR6+BR13+BR20+BR27)/1000000</f>
        <v>199.00200000000001</v>
      </c>
      <c r="BS54" s="1307"/>
      <c r="BT54" s="1307">
        <f>BT40/100000000</f>
        <v>0</v>
      </c>
      <c r="BU54" s="1307">
        <f t="shared" ref="BU54:CD54" si="83">BU40/100000000</f>
        <v>0</v>
      </c>
      <c r="BV54" s="1307">
        <f t="shared" si="83"/>
        <v>1.9900199999999999</v>
      </c>
      <c r="BW54" s="1307">
        <f t="shared" si="83"/>
        <v>0</v>
      </c>
      <c r="BX54" s="1307">
        <f t="shared" si="83"/>
        <v>0</v>
      </c>
      <c r="BY54" s="1307">
        <f t="shared" si="83"/>
        <v>0</v>
      </c>
      <c r="BZ54" s="1307">
        <f t="shared" si="83"/>
        <v>0</v>
      </c>
      <c r="CA54" s="1307">
        <f t="shared" si="83"/>
        <v>0</v>
      </c>
      <c r="CB54" s="1307">
        <f t="shared" si="83"/>
        <v>0</v>
      </c>
      <c r="CC54" s="1307">
        <f t="shared" si="83"/>
        <v>0</v>
      </c>
      <c r="CD54" s="1307">
        <f t="shared" si="83"/>
        <v>0</v>
      </c>
      <c r="CE54" s="1307">
        <f>(CE6+CE13+CE20+CE27)/1000000</f>
        <v>2950</v>
      </c>
      <c r="CF54" s="1307"/>
      <c r="CG54" s="1307">
        <f>CG40/100000000</f>
        <v>0</v>
      </c>
      <c r="CH54" s="1307">
        <f t="shared" ref="CH54:CQ54" si="84">CH40/100000000</f>
        <v>0</v>
      </c>
      <c r="CI54" s="1307">
        <f t="shared" si="84"/>
        <v>3</v>
      </c>
      <c r="CJ54" s="1307">
        <f t="shared" si="84"/>
        <v>0</v>
      </c>
      <c r="CK54" s="1307">
        <f t="shared" si="84"/>
        <v>0</v>
      </c>
      <c r="CL54" s="1307">
        <f t="shared" si="84"/>
        <v>0</v>
      </c>
      <c r="CM54" s="1307">
        <f t="shared" si="84"/>
        <v>0</v>
      </c>
      <c r="CN54" s="1307">
        <f t="shared" si="84"/>
        <v>12</v>
      </c>
      <c r="CO54" s="1307">
        <f t="shared" si="84"/>
        <v>14.5</v>
      </c>
      <c r="CP54" s="1307">
        <f t="shared" si="84"/>
        <v>0</v>
      </c>
      <c r="CQ54" s="1307">
        <f t="shared" si="84"/>
        <v>0</v>
      </c>
    </row>
    <row r="55" spans="2:95" s="602" customFormat="1" hidden="1" outlineLevel="1">
      <c r="G55" s="602" t="s">
        <v>376</v>
      </c>
      <c r="H55" s="604">
        <v>102771825</v>
      </c>
      <c r="K55" s="604">
        <v>99697456</v>
      </c>
      <c r="N55" s="604">
        <v>81598055</v>
      </c>
      <c r="Q55" s="604">
        <v>75924804</v>
      </c>
      <c r="R55" s="602" t="s">
        <v>392</v>
      </c>
      <c r="U55" s="604">
        <v>78008489</v>
      </c>
      <c r="X55" s="604">
        <v>75082742</v>
      </c>
      <c r="AA55" s="604">
        <v>74749715</v>
      </c>
      <c r="AD55" s="604">
        <v>71762608</v>
      </c>
      <c r="AH55" s="604">
        <v>77640491</v>
      </c>
      <c r="AK55" s="604">
        <v>80790493</v>
      </c>
      <c r="AN55" s="603">
        <v>49790068</v>
      </c>
      <c r="AQ55" s="603">
        <v>51102931</v>
      </c>
      <c r="AU55" s="604"/>
      <c r="AX55" s="604"/>
      <c r="BA55" s="603"/>
      <c r="BD55" s="603"/>
      <c r="BH55" s="604"/>
      <c r="BK55" s="604"/>
      <c r="BN55" s="603"/>
      <c r="BQ55" s="603"/>
      <c r="BR55" s="1307"/>
      <c r="BS55" s="1307"/>
      <c r="BT55" s="1307"/>
      <c r="BU55" s="604"/>
      <c r="BV55" s="1307"/>
      <c r="BW55" s="1307"/>
      <c r="BX55" s="604"/>
      <c r="BY55" s="1307"/>
      <c r="BZ55" s="1307"/>
      <c r="CA55" s="603"/>
      <c r="CB55" s="1307"/>
      <c r="CC55" s="1307"/>
      <c r="CD55" s="603"/>
      <c r="CE55" s="1307"/>
      <c r="CF55" s="1307"/>
      <c r="CG55" s="1307"/>
      <c r="CH55" s="604"/>
      <c r="CI55" s="1307"/>
      <c r="CJ55" s="1307"/>
      <c r="CK55" s="604"/>
      <c r="CL55" s="1307"/>
      <c r="CM55" s="1307"/>
      <c r="CN55" s="603"/>
      <c r="CO55" s="1307"/>
      <c r="CP55" s="1307"/>
      <c r="CQ55" s="603"/>
    </row>
    <row r="56" spans="2:95" s="602" customFormat="1" ht="17.5" hidden="1" outlineLevel="1" thickBot="1">
      <c r="H56" s="604"/>
      <c r="K56" s="604"/>
      <c r="N56" s="604"/>
      <c r="Q56" s="604"/>
      <c r="U56" s="604"/>
      <c r="X56" s="604"/>
      <c r="AA56" s="604"/>
      <c r="AD56" s="604"/>
      <c r="AH56" s="604"/>
      <c r="AK56" s="604"/>
      <c r="AN56" s="604">
        <f>AN25+AN32-AN55</f>
        <v>1466666</v>
      </c>
      <c r="AQ56" s="604">
        <f>AQ25+AQ32-AQ55</f>
        <v>0</v>
      </c>
      <c r="AU56" s="604"/>
      <c r="AX56" s="604"/>
      <c r="BA56" s="603"/>
      <c r="BD56" s="603"/>
      <c r="BR56" s="1307"/>
      <c r="BS56" s="1307"/>
      <c r="BT56" s="1307"/>
      <c r="BU56" s="1307"/>
      <c r="BV56" s="1307"/>
      <c r="BW56" s="1307"/>
      <c r="BX56" s="1307"/>
      <c r="BY56" s="1307"/>
      <c r="BZ56" s="1307"/>
      <c r="CA56" s="1307"/>
      <c r="CB56" s="1307"/>
      <c r="CC56" s="1307"/>
      <c r="CD56" s="1307"/>
      <c r="CE56" s="1307"/>
      <c r="CF56" s="1307"/>
      <c r="CG56" s="1307"/>
      <c r="CH56" s="1307"/>
      <c r="CI56" s="1307"/>
      <c r="CJ56" s="1307"/>
      <c r="CK56" s="1307"/>
      <c r="CL56" s="1307"/>
      <c r="CM56" s="1307"/>
      <c r="CN56" s="1307"/>
      <c r="CO56" s="1307"/>
      <c r="CP56" s="1307"/>
      <c r="CQ56" s="1307"/>
    </row>
    <row r="57" spans="2:95" s="602" customFormat="1" ht="17.25" hidden="1" customHeight="1" outlineLevel="1">
      <c r="H57" s="604">
        <f>H25+H32-H55</f>
        <v>7399998</v>
      </c>
      <c r="K57" s="604">
        <f>K25+K32-K55</f>
        <v>8124996</v>
      </c>
      <c r="N57" s="604">
        <v>14124996</v>
      </c>
      <c r="Q57" s="604">
        <f>Q25+Q32-Q55</f>
        <v>14124996</v>
      </c>
      <c r="U57" s="604">
        <f>U25+U32-U55</f>
        <v>14124996</v>
      </c>
      <c r="X57" s="604">
        <f>X25+X32-X55</f>
        <v>14124996</v>
      </c>
      <c r="AA57" s="604">
        <f>AA25+AA32-AA55</f>
        <v>11124996</v>
      </c>
      <c r="AD57" s="604">
        <f>AD25+AD32-AD55</f>
        <v>11124996</v>
      </c>
      <c r="AH57" s="604">
        <f>AH25+AH32-AH55</f>
        <v>5124996</v>
      </c>
      <c r="AK57" s="604">
        <f>AK25+AK32-AK55</f>
        <v>0</v>
      </c>
      <c r="AQ57" s="1087"/>
      <c r="AR57" s="993"/>
      <c r="AS57" s="993" t="s">
        <v>490</v>
      </c>
      <c r="AT57" s="994" t="s">
        <v>3</v>
      </c>
      <c r="AU57" s="994" t="s">
        <v>4</v>
      </c>
      <c r="AV57" s="994" t="s">
        <v>5</v>
      </c>
      <c r="AW57" s="994" t="s">
        <v>6</v>
      </c>
      <c r="AX57" s="994" t="s">
        <v>7</v>
      </c>
      <c r="AY57" s="994" t="s">
        <v>8</v>
      </c>
      <c r="AZ57" s="994" t="s">
        <v>9</v>
      </c>
      <c r="BA57" s="994" t="s">
        <v>10</v>
      </c>
      <c r="BB57" s="994" t="s">
        <v>11</v>
      </c>
      <c r="BC57" s="994" t="s">
        <v>12</v>
      </c>
      <c r="BD57" s="995" t="s">
        <v>13</v>
      </c>
      <c r="BE57" s="1087"/>
      <c r="BF57" s="993" t="s">
        <v>491</v>
      </c>
      <c r="BG57" s="994" t="s">
        <v>3</v>
      </c>
      <c r="BH57" s="994" t="s">
        <v>4</v>
      </c>
      <c r="BI57" s="994" t="s">
        <v>5</v>
      </c>
      <c r="BJ57" s="994" t="s">
        <v>6</v>
      </c>
      <c r="BK57" s="994" t="s">
        <v>7</v>
      </c>
      <c r="BL57" s="994" t="s">
        <v>8</v>
      </c>
      <c r="BM57" s="994" t="s">
        <v>9</v>
      </c>
      <c r="BN57" s="994" t="s">
        <v>10</v>
      </c>
      <c r="BO57" s="994" t="s">
        <v>11</v>
      </c>
      <c r="BP57" s="994" t="s">
        <v>12</v>
      </c>
      <c r="BQ57" s="995" t="s">
        <v>13</v>
      </c>
      <c r="BR57" s="1087"/>
      <c r="BS57" s="993" t="s">
        <v>559</v>
      </c>
      <c r="BT57" s="994" t="s">
        <v>3</v>
      </c>
      <c r="BU57" s="994" t="s">
        <v>4</v>
      </c>
      <c r="BV57" s="994" t="s">
        <v>5</v>
      </c>
      <c r="BW57" s="994" t="s">
        <v>6</v>
      </c>
      <c r="BX57" s="994" t="s">
        <v>7</v>
      </c>
      <c r="BY57" s="994" t="s">
        <v>847</v>
      </c>
      <c r="BZ57" s="994" t="s">
        <v>848</v>
      </c>
      <c r="CA57" s="994" t="s">
        <v>506</v>
      </c>
      <c r="CB57" s="994" t="s">
        <v>505</v>
      </c>
      <c r="CC57" s="994" t="s">
        <v>441</v>
      </c>
      <c r="CD57" s="995" t="s">
        <v>442</v>
      </c>
      <c r="CE57" s="2562"/>
      <c r="CF57" s="2563" t="s">
        <v>757</v>
      </c>
      <c r="CG57" s="2564" t="s">
        <v>709</v>
      </c>
      <c r="CH57" s="2564" t="s">
        <v>707</v>
      </c>
      <c r="CI57" s="2564" t="s">
        <v>705</v>
      </c>
      <c r="CJ57" s="2564" t="s">
        <v>703</v>
      </c>
      <c r="CK57" s="2564" t="s">
        <v>701</v>
      </c>
      <c r="CL57" s="2564" t="s">
        <v>687</v>
      </c>
      <c r="CM57" s="2564" t="s">
        <v>689</v>
      </c>
      <c r="CN57" s="2564" t="s">
        <v>691</v>
      </c>
      <c r="CO57" s="2564" t="s">
        <v>693</v>
      </c>
      <c r="CP57" s="2564" t="s">
        <v>695</v>
      </c>
      <c r="CQ57" s="2565" t="s">
        <v>697</v>
      </c>
    </row>
    <row r="58" spans="2:95" s="602" customFormat="1" ht="17.25" hidden="1" customHeight="1" outlineLevel="1">
      <c r="H58" s="604"/>
      <c r="K58" s="604"/>
      <c r="N58" s="604"/>
      <c r="Q58" s="604"/>
      <c r="U58" s="604"/>
      <c r="X58" s="604"/>
      <c r="AA58" s="604"/>
      <c r="AD58" s="604"/>
      <c r="AH58" s="604"/>
      <c r="AK58" s="604"/>
      <c r="AQ58" s="1088" t="s">
        <v>482</v>
      </c>
      <c r="AR58" s="998">
        <f>SUM(AS58:BD58)</f>
        <v>5857938505</v>
      </c>
      <c r="AS58" s="999">
        <v>23160227</v>
      </c>
      <c r="AT58" s="999">
        <v>23843560</v>
      </c>
      <c r="AU58" s="999">
        <v>1386481664</v>
      </c>
      <c r="AV58" s="999">
        <v>23550919</v>
      </c>
      <c r="AW58" s="999">
        <v>23683307</v>
      </c>
      <c r="AX58" s="999">
        <v>1403769536</v>
      </c>
      <c r="AY58" s="999">
        <v>43550236</v>
      </c>
      <c r="AZ58" s="999">
        <v>43393707</v>
      </c>
      <c r="BA58" s="1464">
        <v>1421275237</v>
      </c>
      <c r="BB58" s="999">
        <v>45494719</v>
      </c>
      <c r="BC58" s="999">
        <v>45249927</v>
      </c>
      <c r="BD58" s="1078">
        <v>1374485466</v>
      </c>
      <c r="BE58" s="1088" t="s">
        <v>482</v>
      </c>
      <c r="BF58" s="1079">
        <f>BF59</f>
        <v>46086590</v>
      </c>
      <c r="BG58" s="1079">
        <f>BG59</f>
        <v>45291150</v>
      </c>
      <c r="BH58" s="1077">
        <v>1397055546</v>
      </c>
      <c r="BI58" s="1079">
        <f t="shared" ref="BI58:BJ58" si="85">BI59</f>
        <v>45979616</v>
      </c>
      <c r="BJ58" s="1079">
        <f t="shared" si="85"/>
        <v>45923098</v>
      </c>
      <c r="BK58" s="1077">
        <v>1409438247</v>
      </c>
      <c r="BL58" s="1079">
        <f t="shared" ref="BL58" si="86">BL59</f>
        <v>44912265</v>
      </c>
      <c r="BM58" s="1079">
        <f t="shared" ref="BM58" si="87">BM59</f>
        <v>44912265</v>
      </c>
      <c r="BN58" s="1077">
        <v>1476387522</v>
      </c>
      <c r="BO58" s="1079">
        <f t="shared" ref="BO58" si="88">BO59</f>
        <v>44912265</v>
      </c>
      <c r="BP58" s="1079">
        <f t="shared" ref="BP58" si="89">BP59</f>
        <v>44912270</v>
      </c>
      <c r="BQ58" s="1078">
        <v>1437465278</v>
      </c>
      <c r="BR58" s="1088" t="s">
        <v>482</v>
      </c>
      <c r="BS58" s="1079">
        <f>BS59</f>
        <v>44607273</v>
      </c>
      <c r="BT58" s="1079">
        <f>BT59</f>
        <v>44607273</v>
      </c>
      <c r="BU58" s="2289">
        <v>1439798365</v>
      </c>
      <c r="BV58" s="1079">
        <f>BV59</f>
        <v>44014160</v>
      </c>
      <c r="BW58" s="1079">
        <f>BW59</f>
        <v>43723525</v>
      </c>
      <c r="BX58" s="2289">
        <v>1429215954</v>
      </c>
      <c r="BY58" s="1079">
        <f>BY59</f>
        <v>43394409</v>
      </c>
      <c r="BZ58" s="1079">
        <f>BZ59</f>
        <v>43394409</v>
      </c>
      <c r="CA58" s="2289">
        <v>1456300726</v>
      </c>
      <c r="CB58" s="1079">
        <f>CB59</f>
        <v>43394409</v>
      </c>
      <c r="CC58" s="1079">
        <f>CC59</f>
        <v>43394409</v>
      </c>
      <c r="CD58" s="2877">
        <v>1464311815</v>
      </c>
      <c r="CE58" s="1088" t="s">
        <v>482</v>
      </c>
      <c r="CF58" s="1079">
        <f>CF59</f>
        <v>15194530</v>
      </c>
      <c r="CG58" s="1079">
        <f>CG59</f>
        <v>15194530</v>
      </c>
      <c r="CH58" s="2557">
        <v>1429215954</v>
      </c>
      <c r="CI58" s="1079">
        <f>CI59</f>
        <v>15194530</v>
      </c>
      <c r="CJ58" s="1079">
        <f>CJ59</f>
        <v>15194530</v>
      </c>
      <c r="CK58" s="2557">
        <f>CH58</f>
        <v>1429215954</v>
      </c>
      <c r="CL58" s="1079">
        <f>CL59</f>
        <v>15194530</v>
      </c>
      <c r="CM58" s="1079">
        <f>CM59</f>
        <v>15194530</v>
      </c>
      <c r="CN58" s="2557">
        <f>CK58</f>
        <v>1429215954</v>
      </c>
      <c r="CO58" s="1079">
        <f>CO59</f>
        <v>18527863.333333332</v>
      </c>
      <c r="CP58" s="1079">
        <f>CP59</f>
        <v>18527863.333333332</v>
      </c>
      <c r="CQ58" s="2558">
        <f>CN58</f>
        <v>1429215954</v>
      </c>
    </row>
    <row r="59" spans="2:95" s="602" customFormat="1" hidden="1" outlineLevel="1">
      <c r="H59" s="603"/>
      <c r="K59" s="603"/>
      <c r="N59" s="603"/>
      <c r="Q59" s="603"/>
      <c r="U59" s="603"/>
      <c r="X59" s="603"/>
      <c r="AA59" s="603"/>
      <c r="AD59" s="603"/>
      <c r="AH59" s="603"/>
      <c r="AK59" s="603"/>
      <c r="AN59" s="603"/>
      <c r="AQ59" s="1002" t="s">
        <v>485</v>
      </c>
      <c r="AR59" s="998">
        <f t="shared" ref="AR59:AR63" si="90">SUM(AS59:BD59)</f>
        <v>428245951</v>
      </c>
      <c r="AS59" s="1000">
        <f t="shared" ref="AS59:BD59" si="91">AS11+AS18</f>
        <v>23160227</v>
      </c>
      <c r="AT59" s="1000">
        <f>AT11+AT18</f>
        <v>23843560</v>
      </c>
      <c r="AU59" s="1000">
        <f t="shared" si="91"/>
        <v>23788964</v>
      </c>
      <c r="AV59" s="1000">
        <f t="shared" si="91"/>
        <v>23550919</v>
      </c>
      <c r="AW59" s="1000">
        <f t="shared" si="91"/>
        <v>23683307</v>
      </c>
      <c r="AX59" s="1000">
        <f t="shared" si="91"/>
        <v>43550230</v>
      </c>
      <c r="AY59" s="1000">
        <f t="shared" si="91"/>
        <v>43550236</v>
      </c>
      <c r="AZ59" s="1000">
        <f t="shared" si="91"/>
        <v>43393707</v>
      </c>
      <c r="BA59" s="1465">
        <f t="shared" si="91"/>
        <v>43393719</v>
      </c>
      <c r="BB59" s="1000">
        <f t="shared" si="91"/>
        <v>45494719</v>
      </c>
      <c r="BC59" s="1000">
        <f t="shared" si="91"/>
        <v>45249927</v>
      </c>
      <c r="BD59" s="1001">
        <f t="shared" si="91"/>
        <v>45586436</v>
      </c>
      <c r="BE59" s="1002" t="s">
        <v>485</v>
      </c>
      <c r="BF59" s="1003">
        <f>BF11+BF18</f>
        <v>46086590</v>
      </c>
      <c r="BG59" s="1003">
        <f>BG11+BG18</f>
        <v>45291150</v>
      </c>
      <c r="BH59" s="1003">
        <f>BH11+BH18</f>
        <v>45979614</v>
      </c>
      <c r="BI59" s="1003">
        <f t="shared" ref="BI59:BQ59" si="92">BI11+BI18</f>
        <v>45979616</v>
      </c>
      <c r="BJ59" s="1003">
        <f t="shared" si="92"/>
        <v>45923098</v>
      </c>
      <c r="BK59" s="1003">
        <f>BK11+BK18</f>
        <v>45923100</v>
      </c>
      <c r="BL59" s="1003">
        <f t="shared" si="92"/>
        <v>44912265</v>
      </c>
      <c r="BM59" s="1003">
        <f t="shared" si="92"/>
        <v>44912265</v>
      </c>
      <c r="BN59" s="1003">
        <f t="shared" si="92"/>
        <v>44912265</v>
      </c>
      <c r="BO59" s="1003">
        <f t="shared" si="92"/>
        <v>44912265</v>
      </c>
      <c r="BP59" s="1003">
        <f t="shared" si="92"/>
        <v>44912270</v>
      </c>
      <c r="BQ59" s="1004">
        <f t="shared" si="92"/>
        <v>44609186</v>
      </c>
      <c r="BR59" s="1002" t="s">
        <v>485</v>
      </c>
      <c r="BS59" s="2149">
        <f t="shared" ref="BS59:CD59" si="93">BS11+BS18</f>
        <v>44607273</v>
      </c>
      <c r="BT59" s="2149">
        <f t="shared" si="93"/>
        <v>44607273</v>
      </c>
      <c r="BU59" s="2149">
        <f>BU11+BU18</f>
        <v>44357660</v>
      </c>
      <c r="BV59" s="2149">
        <f>BV11+BV18</f>
        <v>44014160</v>
      </c>
      <c r="BW59" s="2149">
        <f t="shared" si="93"/>
        <v>43723525</v>
      </c>
      <c r="BX59" s="2149">
        <f t="shared" si="93"/>
        <v>43723529</v>
      </c>
      <c r="BY59" s="2149">
        <f t="shared" si="93"/>
        <v>43394409</v>
      </c>
      <c r="BZ59" s="2149">
        <f t="shared" si="93"/>
        <v>43394409</v>
      </c>
      <c r="CA59" s="2149">
        <f t="shared" si="93"/>
        <v>43394409</v>
      </c>
      <c r="CB59" s="2149">
        <f t="shared" si="93"/>
        <v>43394409</v>
      </c>
      <c r="CC59" s="2149">
        <f t="shared" si="93"/>
        <v>43394409</v>
      </c>
      <c r="CD59" s="2143">
        <f t="shared" si="93"/>
        <v>15194530</v>
      </c>
      <c r="CE59" s="1002" t="s">
        <v>485</v>
      </c>
      <c r="CF59" s="2149">
        <f t="shared" ref="CF59:CG59" si="94">CF11+CF18</f>
        <v>15194530</v>
      </c>
      <c r="CG59" s="2149">
        <f t="shared" si="94"/>
        <v>15194530</v>
      </c>
      <c r="CH59" s="2149">
        <f>CH11+CH18</f>
        <v>15194530</v>
      </c>
      <c r="CI59" s="2149">
        <f>CI11+CI18</f>
        <v>15194530</v>
      </c>
      <c r="CJ59" s="2149">
        <f t="shared" ref="CJ59:CQ59" si="95">CJ11+CJ18</f>
        <v>15194530</v>
      </c>
      <c r="CK59" s="2149">
        <f t="shared" si="95"/>
        <v>15194530</v>
      </c>
      <c r="CL59" s="2149">
        <f t="shared" si="95"/>
        <v>15194530</v>
      </c>
      <c r="CM59" s="2149">
        <f t="shared" si="95"/>
        <v>15194530</v>
      </c>
      <c r="CN59" s="2149">
        <f t="shared" si="95"/>
        <v>18527863.333333332</v>
      </c>
      <c r="CO59" s="2149">
        <f t="shared" si="95"/>
        <v>18527863.333333332</v>
      </c>
      <c r="CP59" s="2149">
        <f t="shared" si="95"/>
        <v>18527863.333333332</v>
      </c>
      <c r="CQ59" s="2143">
        <f t="shared" si="95"/>
        <v>18527863.333333332</v>
      </c>
    </row>
    <row r="60" spans="2:95" s="602" customFormat="1" hidden="1" outlineLevel="1">
      <c r="G60" s="649">
        <f>G9/F9</f>
        <v>1.0418711401898391</v>
      </c>
      <c r="H60" s="649">
        <f t="shared" ref="H60:Q60" si="96">H9/G9</f>
        <v>1.089032376542665</v>
      </c>
      <c r="I60" s="649">
        <f t="shared" si="96"/>
        <v>6.1120014826082765E-2</v>
      </c>
      <c r="J60" s="649">
        <f t="shared" si="96"/>
        <v>1.6866252384357812</v>
      </c>
      <c r="K60" s="649">
        <f t="shared" si="96"/>
        <v>1.2373474763020267</v>
      </c>
      <c r="L60" s="649">
        <f t="shared" si="96"/>
        <v>1.1221801676440211</v>
      </c>
      <c r="M60" s="649">
        <f t="shared" si="96"/>
        <v>1.1124352131691022</v>
      </c>
      <c r="N60" s="649">
        <f t="shared" si="96"/>
        <v>0.13076686266744553</v>
      </c>
      <c r="O60" s="649">
        <f t="shared" si="96"/>
        <v>1</v>
      </c>
      <c r="P60" s="649">
        <f t="shared" si="96"/>
        <v>0</v>
      </c>
      <c r="Q60" s="649" t="e">
        <f t="shared" si="96"/>
        <v>#DIV/0!</v>
      </c>
      <c r="U60" s="603"/>
      <c r="X60" s="603"/>
      <c r="AA60" s="603"/>
      <c r="AD60" s="603"/>
      <c r="AH60" s="603"/>
      <c r="AK60" s="603"/>
      <c r="AN60" s="603"/>
      <c r="AQ60" s="1002" t="s">
        <v>484</v>
      </c>
      <c r="AR60" s="998">
        <f t="shared" si="90"/>
        <v>-5429692554</v>
      </c>
      <c r="AS60" s="1003">
        <f>AS59-AS58</f>
        <v>0</v>
      </c>
      <c r="AT60" s="1003">
        <f t="shared" ref="AT60:BD60" si="97">AT59-AT58</f>
        <v>0</v>
      </c>
      <c r="AU60" s="1003">
        <f t="shared" si="97"/>
        <v>-1362692700</v>
      </c>
      <c r="AV60" s="1003">
        <f t="shared" si="97"/>
        <v>0</v>
      </c>
      <c r="AW60" s="1003">
        <f t="shared" si="97"/>
        <v>0</v>
      </c>
      <c r="AX60" s="1003">
        <f t="shared" si="97"/>
        <v>-1360219306</v>
      </c>
      <c r="AY60" s="1003">
        <f t="shared" si="97"/>
        <v>0</v>
      </c>
      <c r="AZ60" s="1003">
        <f t="shared" si="97"/>
        <v>0</v>
      </c>
      <c r="BA60" s="1003">
        <f>BA59-BA58</f>
        <v>-1377881518</v>
      </c>
      <c r="BB60" s="1003">
        <f t="shared" si="97"/>
        <v>0</v>
      </c>
      <c r="BC60" s="1003">
        <f t="shared" si="97"/>
        <v>0</v>
      </c>
      <c r="BD60" s="1004">
        <f t="shared" si="97"/>
        <v>-1328899030</v>
      </c>
      <c r="BE60" s="1002" t="s">
        <v>484</v>
      </c>
      <c r="BF60" s="1003">
        <f>BF59-BF58</f>
        <v>0</v>
      </c>
      <c r="BG60" s="1003">
        <f t="shared" ref="BG60" si="98">BG59-BG58</f>
        <v>0</v>
      </c>
      <c r="BH60" s="1003">
        <f>BH59-BH58</f>
        <v>-1351075932</v>
      </c>
      <c r="BI60" s="1003">
        <f t="shared" ref="BI60" si="99">BI59-BI58</f>
        <v>0</v>
      </c>
      <c r="BJ60" s="1003">
        <f t="shared" ref="BJ60" si="100">BJ59-BJ58</f>
        <v>0</v>
      </c>
      <c r="BK60" s="1003">
        <f>BK59-BK58</f>
        <v>-1363515147</v>
      </c>
      <c r="BL60" s="1003">
        <f t="shared" ref="BL60" si="101">BL59-BL58</f>
        <v>0</v>
      </c>
      <c r="BM60" s="1003">
        <f t="shared" ref="BM60" si="102">BM59-BM58</f>
        <v>0</v>
      </c>
      <c r="BN60" s="1003">
        <f t="shared" ref="BN60" si="103">BN59-BN58</f>
        <v>-1431475257</v>
      </c>
      <c r="BO60" s="1003">
        <f t="shared" ref="BO60" si="104">BO59-BO58</f>
        <v>0</v>
      </c>
      <c r="BP60" s="1003">
        <f t="shared" ref="BP60" si="105">BP59-BP58</f>
        <v>0</v>
      </c>
      <c r="BQ60" s="1004">
        <f t="shared" ref="BQ60" si="106">BQ59-BQ58</f>
        <v>-1392856092</v>
      </c>
      <c r="BR60" s="1002" t="s">
        <v>484</v>
      </c>
      <c r="BS60" s="2149">
        <f t="shared" ref="BS60:CD60" si="107">BS59-BS58</f>
        <v>0</v>
      </c>
      <c r="BT60" s="2149">
        <f t="shared" si="107"/>
        <v>0</v>
      </c>
      <c r="BU60" s="2149">
        <f t="shared" si="107"/>
        <v>-1395440705</v>
      </c>
      <c r="BV60" s="2149">
        <f>BV59-BV58</f>
        <v>0</v>
      </c>
      <c r="BW60" s="2149">
        <f t="shared" si="107"/>
        <v>0</v>
      </c>
      <c r="BX60" s="2149">
        <f t="shared" si="107"/>
        <v>-1385492425</v>
      </c>
      <c r="BY60" s="2149">
        <f t="shared" si="107"/>
        <v>0</v>
      </c>
      <c r="BZ60" s="2149">
        <f t="shared" si="107"/>
        <v>0</v>
      </c>
      <c r="CA60" s="2149">
        <f t="shared" si="107"/>
        <v>-1412906317</v>
      </c>
      <c r="CB60" s="2149">
        <f t="shared" si="107"/>
        <v>0</v>
      </c>
      <c r="CC60" s="2149">
        <f t="shared" si="107"/>
        <v>0</v>
      </c>
      <c r="CD60" s="2143">
        <f t="shared" si="107"/>
        <v>-1449117285</v>
      </c>
      <c r="CE60" s="1002" t="s">
        <v>484</v>
      </c>
      <c r="CF60" s="2149">
        <f t="shared" ref="CF60:CH60" si="108">CF59-CF58</f>
        <v>0</v>
      </c>
      <c r="CG60" s="2149">
        <f t="shared" si="108"/>
        <v>0</v>
      </c>
      <c r="CH60" s="2149">
        <f t="shared" si="108"/>
        <v>-1414021424</v>
      </c>
      <c r="CI60" s="2149">
        <f>CI59-CI58</f>
        <v>0</v>
      </c>
      <c r="CJ60" s="2149">
        <f t="shared" ref="CJ60:CQ60" si="109">CJ59-CJ58</f>
        <v>0</v>
      </c>
      <c r="CK60" s="2149">
        <f t="shared" si="109"/>
        <v>-1414021424</v>
      </c>
      <c r="CL60" s="2149">
        <f t="shared" si="109"/>
        <v>0</v>
      </c>
      <c r="CM60" s="2149">
        <f t="shared" si="109"/>
        <v>0</v>
      </c>
      <c r="CN60" s="2149">
        <f t="shared" si="109"/>
        <v>-1410688090.6666667</v>
      </c>
      <c r="CO60" s="2149">
        <f t="shared" si="109"/>
        <v>0</v>
      </c>
      <c r="CP60" s="2149">
        <f t="shared" si="109"/>
        <v>0</v>
      </c>
      <c r="CQ60" s="2143">
        <f t="shared" si="109"/>
        <v>-1410688090.6666667</v>
      </c>
    </row>
    <row r="61" spans="2:95" s="602" customFormat="1" hidden="1" outlineLevel="1">
      <c r="G61" s="649"/>
      <c r="H61" s="649"/>
      <c r="I61" s="649"/>
      <c r="J61" s="649"/>
      <c r="K61" s="649"/>
      <c r="L61" s="649"/>
      <c r="M61" s="649"/>
      <c r="N61" s="649"/>
      <c r="O61" s="649"/>
      <c r="P61" s="649"/>
      <c r="Q61" s="649"/>
      <c r="U61" s="603"/>
      <c r="X61" s="603"/>
      <c r="AA61" s="603"/>
      <c r="AD61" s="603"/>
      <c r="AH61" s="603"/>
      <c r="AK61" s="603"/>
      <c r="AN61" s="603"/>
      <c r="AQ61" s="1005"/>
      <c r="AR61" s="998">
        <f t="shared" si="90"/>
        <v>-5429.6925539999993</v>
      </c>
      <c r="AS61" s="1006">
        <f>AS60/1000000</f>
        <v>0</v>
      </c>
      <c r="AT61" s="1006">
        <f t="shared" ref="AT61" si="110">AT60/1000000</f>
        <v>0</v>
      </c>
      <c r="AU61" s="1006">
        <f t="shared" ref="AU61" si="111">AU60/1000000</f>
        <v>-1362.6927000000001</v>
      </c>
      <c r="AV61" s="1006">
        <f t="shared" ref="AV61" si="112">AV60/1000000</f>
        <v>0</v>
      </c>
      <c r="AW61" s="1006">
        <f t="shared" ref="AW61" si="113">AW60/1000000</f>
        <v>0</v>
      </c>
      <c r="AX61" s="1006">
        <f t="shared" ref="AX61" si="114">AX60/1000000</f>
        <v>-1360.219306</v>
      </c>
      <c r="AY61" s="1006">
        <f t="shared" ref="AY61" si="115">AY60/1000000</f>
        <v>0</v>
      </c>
      <c r="AZ61" s="1006">
        <f t="shared" ref="AZ61" si="116">AZ60/1000000</f>
        <v>0</v>
      </c>
      <c r="BA61" s="1007">
        <f>BA60/1000000</f>
        <v>-1377.8815179999999</v>
      </c>
      <c r="BB61" s="1006">
        <f t="shared" ref="BB61" si="117">BB60/1000000</f>
        <v>0</v>
      </c>
      <c r="BC61" s="1006">
        <f t="shared" ref="BC61" si="118">BC60/1000000</f>
        <v>0</v>
      </c>
      <c r="BD61" s="1008">
        <f t="shared" ref="BD61" si="119">BD60/1000000</f>
        <v>-1328.89903</v>
      </c>
      <c r="BE61" s="1005"/>
      <c r="BF61" s="1080">
        <f>BF60/1000000</f>
        <v>0</v>
      </c>
      <c r="BG61" s="1080">
        <f t="shared" ref="BG61" si="120">BG60/1000000</f>
        <v>0</v>
      </c>
      <c r="BH61" s="1080">
        <f>BH60/1000000</f>
        <v>-1351.075932</v>
      </c>
      <c r="BI61" s="1080">
        <f t="shared" ref="BI61" si="121">BI60/1000000</f>
        <v>0</v>
      </c>
      <c r="BJ61" s="1080">
        <f t="shared" ref="BJ61" si="122">BJ60/1000000</f>
        <v>0</v>
      </c>
      <c r="BK61" s="1080">
        <f>BK60/1000000</f>
        <v>-1363.5151470000001</v>
      </c>
      <c r="BL61" s="1080">
        <f t="shared" ref="BL61" si="123">BL60/1000000</f>
        <v>0</v>
      </c>
      <c r="BM61" s="1080">
        <f t="shared" ref="BM61" si="124">BM60/1000000</f>
        <v>0</v>
      </c>
      <c r="BN61" s="1081">
        <f t="shared" ref="BN61" si="125">BN60/1000000</f>
        <v>-1431.4752570000001</v>
      </c>
      <c r="BO61" s="1080">
        <f t="shared" ref="BO61" si="126">BO60/1000000</f>
        <v>0</v>
      </c>
      <c r="BP61" s="1080">
        <f t="shared" ref="BP61" si="127">BP60/1000000</f>
        <v>0</v>
      </c>
      <c r="BQ61" s="1082">
        <f t="shared" ref="BQ61" si="128">BQ60/1000000</f>
        <v>-1392.856092</v>
      </c>
      <c r="BR61" s="2144"/>
      <c r="BS61" s="1080">
        <f t="shared" ref="BS61:CD61" si="129">BS60/1000000</f>
        <v>0</v>
      </c>
      <c r="BT61" s="1080">
        <f t="shared" si="129"/>
        <v>0</v>
      </c>
      <c r="BU61" s="1080">
        <f t="shared" si="129"/>
        <v>-1395.440705</v>
      </c>
      <c r="BV61" s="1080">
        <f t="shared" si="129"/>
        <v>0</v>
      </c>
      <c r="BW61" s="1080">
        <f t="shared" si="129"/>
        <v>0</v>
      </c>
      <c r="BX61" s="1080">
        <f t="shared" si="129"/>
        <v>-1385.4924249999999</v>
      </c>
      <c r="BY61" s="1080">
        <f t="shared" si="129"/>
        <v>0</v>
      </c>
      <c r="BZ61" s="1080">
        <f t="shared" si="129"/>
        <v>0</v>
      </c>
      <c r="CA61" s="1081">
        <f t="shared" si="129"/>
        <v>-1412.9063169999999</v>
      </c>
      <c r="CB61" s="1080">
        <f t="shared" si="129"/>
        <v>0</v>
      </c>
      <c r="CC61" s="1080">
        <f t="shared" si="129"/>
        <v>0</v>
      </c>
      <c r="CD61" s="1082">
        <f t="shared" si="129"/>
        <v>-1449.117285</v>
      </c>
      <c r="CE61" s="2144"/>
      <c r="CF61" s="1080">
        <f t="shared" ref="CF61:CQ61" si="130">CF60/1000000</f>
        <v>0</v>
      </c>
      <c r="CG61" s="1080">
        <f t="shared" si="130"/>
        <v>0</v>
      </c>
      <c r="CH61" s="1080">
        <f t="shared" si="130"/>
        <v>-1414.021424</v>
      </c>
      <c r="CI61" s="1080">
        <f t="shared" si="130"/>
        <v>0</v>
      </c>
      <c r="CJ61" s="1080">
        <f t="shared" si="130"/>
        <v>0</v>
      </c>
      <c r="CK61" s="1080">
        <f t="shared" si="130"/>
        <v>-1414.021424</v>
      </c>
      <c r="CL61" s="1080">
        <f t="shared" si="130"/>
        <v>0</v>
      </c>
      <c r="CM61" s="1080">
        <f t="shared" si="130"/>
        <v>0</v>
      </c>
      <c r="CN61" s="1081">
        <f t="shared" si="130"/>
        <v>-1410.6880906666668</v>
      </c>
      <c r="CO61" s="1080">
        <f t="shared" si="130"/>
        <v>0</v>
      </c>
      <c r="CP61" s="1080">
        <f t="shared" si="130"/>
        <v>0</v>
      </c>
      <c r="CQ61" s="1082">
        <f t="shared" si="130"/>
        <v>-1410.6880906666668</v>
      </c>
    </row>
    <row r="62" spans="2:95" s="602" customFormat="1" hidden="1" outlineLevel="1">
      <c r="G62" s="649">
        <f>G16/F16</f>
        <v>1.0173943324032317</v>
      </c>
      <c r="H62" s="649">
        <f t="shared" ref="H62:Q62" si="131">H16/G16</f>
        <v>1.0079458950864471</v>
      </c>
      <c r="I62" s="649">
        <f t="shared" si="131"/>
        <v>1.0319420644010164</v>
      </c>
      <c r="J62" s="649">
        <f t="shared" si="131"/>
        <v>1.000578485689843</v>
      </c>
      <c r="K62" s="649">
        <f t="shared" si="131"/>
        <v>1.0166739317981026</v>
      </c>
      <c r="L62" s="649">
        <f t="shared" si="131"/>
        <v>0.86232354877244333</v>
      </c>
      <c r="M62" s="649">
        <f t="shared" si="131"/>
        <v>1.0039447409083515</v>
      </c>
      <c r="N62" s="649">
        <f t="shared" si="131"/>
        <v>0.9996802839606409</v>
      </c>
      <c r="O62" s="649">
        <f t="shared" si="131"/>
        <v>0.9999585450068037</v>
      </c>
      <c r="P62" s="649">
        <f t="shared" si="131"/>
        <v>0</v>
      </c>
      <c r="Q62" s="649" t="e">
        <f t="shared" si="131"/>
        <v>#DIV/0!</v>
      </c>
      <c r="U62" s="603"/>
      <c r="X62" s="603"/>
      <c r="AA62" s="603"/>
      <c r="AD62" s="603"/>
      <c r="AH62" s="603"/>
      <c r="AK62" s="603"/>
      <c r="AN62" s="603"/>
      <c r="AP62" s="602" t="b">
        <f>AR62=AR58</f>
        <v>1</v>
      </c>
      <c r="AQ62" s="1002" t="s">
        <v>480</v>
      </c>
      <c r="AR62" s="998">
        <f t="shared" si="90"/>
        <v>5857938505</v>
      </c>
      <c r="AS62" s="998">
        <f>AS59-AS60</f>
        <v>23160227</v>
      </c>
      <c r="AT62" s="998">
        <f t="shared" ref="AT62:BD62" si="132">AT59-AT60</f>
        <v>23843560</v>
      </c>
      <c r="AU62" s="998">
        <f t="shared" si="132"/>
        <v>1386481664</v>
      </c>
      <c r="AV62" s="998">
        <f t="shared" si="132"/>
        <v>23550919</v>
      </c>
      <c r="AW62" s="998">
        <f t="shared" si="132"/>
        <v>23683307</v>
      </c>
      <c r="AX62" s="998">
        <f t="shared" si="132"/>
        <v>1403769536</v>
      </c>
      <c r="AY62" s="998">
        <f t="shared" si="132"/>
        <v>43550236</v>
      </c>
      <c r="AZ62" s="998">
        <f t="shared" si="132"/>
        <v>43393707</v>
      </c>
      <c r="BA62" s="998">
        <f t="shared" si="132"/>
        <v>1421275237</v>
      </c>
      <c r="BB62" s="998">
        <f t="shared" si="132"/>
        <v>45494719</v>
      </c>
      <c r="BC62" s="998">
        <f t="shared" si="132"/>
        <v>45249927</v>
      </c>
      <c r="BD62" s="1009">
        <f t="shared" si="132"/>
        <v>1374485466</v>
      </c>
      <c r="BE62" s="1002" t="s">
        <v>480</v>
      </c>
      <c r="BF62" s="998">
        <f>BF59-BF60</f>
        <v>46086590</v>
      </c>
      <c r="BG62" s="998">
        <f t="shared" ref="BG62" si="133">BG59-BG60</f>
        <v>45291150</v>
      </c>
      <c r="BH62" s="998">
        <f>BH59-BH60</f>
        <v>1397055546</v>
      </c>
      <c r="BI62" s="998">
        <f t="shared" ref="BI62" si="134">BI59-BI60</f>
        <v>45979616</v>
      </c>
      <c r="BJ62" s="998">
        <f t="shared" ref="BJ62" si="135">BJ59-BJ60</f>
        <v>45923098</v>
      </c>
      <c r="BK62" s="998">
        <f>BK59-BK60</f>
        <v>1409438247</v>
      </c>
      <c r="BL62" s="998">
        <f t="shared" ref="BL62" si="136">BL59-BL60</f>
        <v>44912265</v>
      </c>
      <c r="BM62" s="998">
        <f t="shared" ref="BM62" si="137">BM59-BM60</f>
        <v>44912265</v>
      </c>
      <c r="BN62" s="998">
        <f t="shared" ref="BN62" si="138">BN59-BN60</f>
        <v>1476387522</v>
      </c>
      <c r="BO62" s="998">
        <f t="shared" ref="BO62" si="139">BO59-BO60</f>
        <v>44912265</v>
      </c>
      <c r="BP62" s="998">
        <f t="shared" ref="BP62" si="140">BP59-BP60</f>
        <v>44912270</v>
      </c>
      <c r="BQ62" s="1009">
        <f t="shared" ref="BQ62" si="141">BQ59-BQ60</f>
        <v>1437465278</v>
      </c>
      <c r="BR62" s="1002" t="s">
        <v>480</v>
      </c>
      <c r="BS62" s="2150">
        <f t="shared" ref="BS62:CD62" si="142">BS59-BS60</f>
        <v>44607273</v>
      </c>
      <c r="BT62" s="2150">
        <f t="shared" si="142"/>
        <v>44607273</v>
      </c>
      <c r="BU62" s="2151">
        <f t="shared" si="142"/>
        <v>1439798365</v>
      </c>
      <c r="BV62" s="2150">
        <f t="shared" si="142"/>
        <v>44014160</v>
      </c>
      <c r="BW62" s="2150">
        <f t="shared" si="142"/>
        <v>43723525</v>
      </c>
      <c r="BX62" s="2151">
        <f t="shared" si="142"/>
        <v>1429215954</v>
      </c>
      <c r="BY62" s="2150">
        <f t="shared" si="142"/>
        <v>43394409</v>
      </c>
      <c r="BZ62" s="2150">
        <f t="shared" si="142"/>
        <v>43394409</v>
      </c>
      <c r="CA62" s="2151">
        <f t="shared" si="142"/>
        <v>1456300726</v>
      </c>
      <c r="CB62" s="2150">
        <f t="shared" si="142"/>
        <v>43394409</v>
      </c>
      <c r="CC62" s="2150">
        <f t="shared" si="142"/>
        <v>43394409</v>
      </c>
      <c r="CD62" s="2145">
        <f t="shared" si="142"/>
        <v>1464311815</v>
      </c>
      <c r="CE62" s="1002" t="s">
        <v>480</v>
      </c>
      <c r="CF62" s="2150">
        <f t="shared" ref="CF62:CQ62" si="143">CF59-CF60</f>
        <v>15194530</v>
      </c>
      <c r="CG62" s="2150">
        <f t="shared" si="143"/>
        <v>15194530</v>
      </c>
      <c r="CH62" s="2151">
        <f t="shared" si="143"/>
        <v>1429215954</v>
      </c>
      <c r="CI62" s="2150">
        <f t="shared" si="143"/>
        <v>15194530</v>
      </c>
      <c r="CJ62" s="2150">
        <f t="shared" si="143"/>
        <v>15194530</v>
      </c>
      <c r="CK62" s="2151">
        <f t="shared" si="143"/>
        <v>1429215954</v>
      </c>
      <c r="CL62" s="2150">
        <f t="shared" si="143"/>
        <v>15194530</v>
      </c>
      <c r="CM62" s="2150">
        <f t="shared" si="143"/>
        <v>15194530</v>
      </c>
      <c r="CN62" s="2151">
        <f t="shared" si="143"/>
        <v>1429215954</v>
      </c>
      <c r="CO62" s="2150">
        <f t="shared" si="143"/>
        <v>18527863.333333332</v>
      </c>
      <c r="CP62" s="2150">
        <f t="shared" si="143"/>
        <v>18527863.333333332</v>
      </c>
      <c r="CQ62" s="2145">
        <f t="shared" si="143"/>
        <v>1429215954</v>
      </c>
    </row>
    <row r="63" spans="2:95" s="602" customFormat="1" ht="17.5" hidden="1" outlineLevel="1" thickBot="1">
      <c r="G63" s="649">
        <f>G32/F32</f>
        <v>1</v>
      </c>
      <c r="H63" s="649">
        <f t="shared" ref="H63:Q63" si="144">H32/G32</f>
        <v>1.0000000241666027</v>
      </c>
      <c r="I63" s="649">
        <f t="shared" si="144"/>
        <v>1.0089669210209586</v>
      </c>
      <c r="J63" s="649">
        <f t="shared" si="144"/>
        <v>1</v>
      </c>
      <c r="K63" s="649">
        <f t="shared" si="144"/>
        <v>1</v>
      </c>
      <c r="L63" s="649">
        <f t="shared" si="144"/>
        <v>0.9968084189333738</v>
      </c>
      <c r="M63" s="649">
        <f t="shared" si="144"/>
        <v>1</v>
      </c>
      <c r="N63" s="649">
        <f t="shared" si="144"/>
        <v>1</v>
      </c>
      <c r="O63" s="649">
        <f t="shared" si="144"/>
        <v>1.0069922984038073</v>
      </c>
      <c r="P63" s="649">
        <f t="shared" si="144"/>
        <v>1.000000226685855</v>
      </c>
      <c r="Q63" s="649">
        <f t="shared" si="144"/>
        <v>0.96832008627232169</v>
      </c>
      <c r="U63" s="603"/>
      <c r="X63" s="603"/>
      <c r="AA63" s="603"/>
      <c r="AD63" s="603"/>
      <c r="AH63" s="603"/>
      <c r="AK63" s="603"/>
      <c r="AN63" s="603"/>
      <c r="AQ63" s="1089"/>
      <c r="AR63" s="1012">
        <f t="shared" si="90"/>
        <v>5857.9385050000001</v>
      </c>
      <c r="AS63" s="1010">
        <f>AS62/1000000</f>
        <v>23.160226999999999</v>
      </c>
      <c r="AT63" s="1010">
        <f t="shared" ref="AT63:AX63" si="145">AT62/1000000</f>
        <v>23.84356</v>
      </c>
      <c r="AU63" s="1010">
        <f t="shared" si="145"/>
        <v>1386.4816639999999</v>
      </c>
      <c r="AV63" s="1010">
        <f t="shared" si="145"/>
        <v>23.550919</v>
      </c>
      <c r="AW63" s="1010">
        <f t="shared" si="145"/>
        <v>23.683306999999999</v>
      </c>
      <c r="AX63" s="1010">
        <f t="shared" si="145"/>
        <v>1403.769536</v>
      </c>
      <c r="AY63" s="1010">
        <f t="shared" ref="AY63" si="146">AY62/1000000</f>
        <v>43.550235999999998</v>
      </c>
      <c r="AZ63" s="1010">
        <f t="shared" ref="AZ63" si="147">AZ62/1000000</f>
        <v>43.393706999999999</v>
      </c>
      <c r="BA63" s="1466">
        <f t="shared" ref="BA63" si="148">BA62/1000000</f>
        <v>1421.2752370000001</v>
      </c>
      <c r="BB63" s="1010">
        <f t="shared" ref="BB63" si="149">BB62/1000000</f>
        <v>45.494719000000003</v>
      </c>
      <c r="BC63" s="1010">
        <f t="shared" ref="BC63" si="150">BC62/1000000</f>
        <v>45.249927</v>
      </c>
      <c r="BD63" s="1467">
        <f t="shared" ref="BD63" si="151">BD62/1000000</f>
        <v>1374.4854660000001</v>
      </c>
      <c r="BE63" s="1089">
        <f t="shared" ref="BE63" si="152">SUM(BF63:BQ63)</f>
        <v>6083.2761119999996</v>
      </c>
      <c r="BF63" s="1083">
        <f>BF62/1000000</f>
        <v>46.086590000000001</v>
      </c>
      <c r="BG63" s="1083">
        <f t="shared" ref="BG63" si="153">BG62/1000000</f>
        <v>45.291150000000002</v>
      </c>
      <c r="BH63" s="1083">
        <f>BH62/1000000</f>
        <v>1397.055546</v>
      </c>
      <c r="BI63" s="1083">
        <f t="shared" ref="BI63" si="154">BI62/1000000</f>
        <v>45.979616</v>
      </c>
      <c r="BJ63" s="1083">
        <f t="shared" ref="BJ63" si="155">BJ62/1000000</f>
        <v>45.923098000000003</v>
      </c>
      <c r="BK63" s="1083">
        <f>BK62/1000000</f>
        <v>1409.438247</v>
      </c>
      <c r="BL63" s="1083">
        <f t="shared" ref="BL63" si="156">BL62/1000000</f>
        <v>44.912264999999998</v>
      </c>
      <c r="BM63" s="1083">
        <f t="shared" ref="BM63" si="157">BM62/1000000</f>
        <v>44.912264999999998</v>
      </c>
      <c r="BN63" s="1084">
        <f t="shared" ref="BN63" si="158">BN62/1000000</f>
        <v>1476.387522</v>
      </c>
      <c r="BO63" s="1083">
        <f t="shared" ref="BO63" si="159">BO62/1000000</f>
        <v>44.912264999999998</v>
      </c>
      <c r="BP63" s="1083">
        <f t="shared" ref="BP63" si="160">BP62/1000000</f>
        <v>44.912269999999999</v>
      </c>
      <c r="BQ63" s="1085">
        <f t="shared" ref="BQ63" si="161">BQ62/1000000</f>
        <v>1437.4652779999999</v>
      </c>
      <c r="BR63" s="2146">
        <f>SUM(BS63:CD63)</f>
        <v>6140.1567270000005</v>
      </c>
      <c r="BS63" s="1083">
        <f t="shared" ref="BS63:CD63" si="162">BS62/1000000</f>
        <v>44.607272999999999</v>
      </c>
      <c r="BT63" s="1083">
        <f t="shared" si="162"/>
        <v>44.607272999999999</v>
      </c>
      <c r="BU63" s="1083">
        <f t="shared" si="162"/>
        <v>1439.7983650000001</v>
      </c>
      <c r="BV63" s="1083">
        <f t="shared" si="162"/>
        <v>44.014159999999997</v>
      </c>
      <c r="BW63" s="1083">
        <f t="shared" si="162"/>
        <v>43.723525000000002</v>
      </c>
      <c r="BX63" s="1083">
        <f t="shared" si="162"/>
        <v>1429.215954</v>
      </c>
      <c r="BY63" s="1083">
        <f t="shared" si="162"/>
        <v>43.394409000000003</v>
      </c>
      <c r="BZ63" s="1083">
        <f t="shared" si="162"/>
        <v>43.394409000000003</v>
      </c>
      <c r="CA63" s="1084">
        <f t="shared" si="162"/>
        <v>1456.3007259999999</v>
      </c>
      <c r="CB63" s="1083">
        <f t="shared" si="162"/>
        <v>43.394409000000003</v>
      </c>
      <c r="CC63" s="1083">
        <f t="shared" si="162"/>
        <v>43.394409000000003</v>
      </c>
      <c r="CD63" s="1085">
        <f t="shared" si="162"/>
        <v>1464.311815</v>
      </c>
      <c r="CE63" s="2146">
        <f>SUM(CF63:CQ63)</f>
        <v>5845.0867226666678</v>
      </c>
      <c r="CF63" s="1083">
        <f t="shared" ref="CF63:CQ63" si="163">CF62/1000000</f>
        <v>15.19453</v>
      </c>
      <c r="CG63" s="1083">
        <f t="shared" si="163"/>
        <v>15.19453</v>
      </c>
      <c r="CH63" s="1083">
        <f t="shared" si="163"/>
        <v>1429.215954</v>
      </c>
      <c r="CI63" s="1083">
        <f t="shared" si="163"/>
        <v>15.19453</v>
      </c>
      <c r="CJ63" s="1083">
        <f t="shared" si="163"/>
        <v>15.19453</v>
      </c>
      <c r="CK63" s="1083">
        <f t="shared" si="163"/>
        <v>1429.215954</v>
      </c>
      <c r="CL63" s="1083">
        <f t="shared" si="163"/>
        <v>15.19453</v>
      </c>
      <c r="CM63" s="1083">
        <f t="shared" si="163"/>
        <v>15.19453</v>
      </c>
      <c r="CN63" s="1084">
        <f t="shared" si="163"/>
        <v>1429.215954</v>
      </c>
      <c r="CO63" s="1083">
        <f t="shared" si="163"/>
        <v>18.527863333333332</v>
      </c>
      <c r="CP63" s="1083">
        <f t="shared" si="163"/>
        <v>18.527863333333332</v>
      </c>
      <c r="CQ63" s="1085">
        <f t="shared" si="163"/>
        <v>1429.215954</v>
      </c>
    </row>
    <row r="64" spans="2:95" s="602" customFormat="1" ht="17.5" hidden="1" outlineLevel="1" thickBot="1">
      <c r="H64" s="603"/>
      <c r="K64" s="603"/>
      <c r="N64" s="603"/>
      <c r="Q64" s="603"/>
      <c r="U64" s="603"/>
      <c r="X64" s="603"/>
      <c r="AA64" s="603"/>
      <c r="AD64" s="603"/>
      <c r="AH64" s="603"/>
      <c r="AK64" s="603"/>
      <c r="AN64" s="603"/>
      <c r="AQ64" s="1090"/>
      <c r="BE64" s="1090"/>
      <c r="BR64" s="1090"/>
      <c r="BS64" s="1307"/>
      <c r="BT64" s="1307"/>
      <c r="BU64" s="1307"/>
      <c r="BV64" s="1307"/>
      <c r="BW64" s="1307"/>
      <c r="BX64" s="1307"/>
      <c r="BY64" s="1307"/>
      <c r="BZ64" s="1307"/>
      <c r="CA64" s="1307"/>
      <c r="CB64" s="1307"/>
      <c r="CC64" s="1307"/>
      <c r="CD64" s="1307"/>
      <c r="CE64" s="1090"/>
      <c r="CF64" s="1307"/>
      <c r="CG64" s="1307"/>
      <c r="CH64" s="1307"/>
      <c r="CI64" s="1307"/>
      <c r="CJ64" s="1307"/>
      <c r="CK64" s="1307"/>
      <c r="CL64" s="1307"/>
      <c r="CM64" s="1307"/>
      <c r="CN64" s="1307"/>
      <c r="CO64" s="1307"/>
      <c r="CP64" s="1307"/>
      <c r="CQ64" s="1307"/>
    </row>
    <row r="65" spans="8:95" s="602" customFormat="1" hidden="1" outlineLevel="1">
      <c r="H65" s="603"/>
      <c r="K65" s="603"/>
      <c r="N65" s="603"/>
      <c r="Q65" s="603"/>
      <c r="U65" s="603"/>
      <c r="X65" s="603"/>
      <c r="AA65" s="603"/>
      <c r="AD65" s="603"/>
      <c r="AH65" s="603"/>
      <c r="AK65" s="603"/>
      <c r="AN65" s="603"/>
      <c r="AQ65" s="1091" t="s">
        <v>482</v>
      </c>
      <c r="AR65" s="996">
        <f>SUM(AS65:BD65)</f>
        <v>578898859</v>
      </c>
      <c r="AS65" s="1011">
        <v>51101980</v>
      </c>
      <c r="AT65" s="1011">
        <v>53601980</v>
      </c>
      <c r="AU65" s="1011">
        <v>55210732</v>
      </c>
      <c r="AV65" s="1011">
        <v>55447764</v>
      </c>
      <c r="AW65" s="1011">
        <v>55447767</v>
      </c>
      <c r="AX65" s="1011">
        <v>46554025</v>
      </c>
      <c r="AY65" s="1011">
        <v>46554031</v>
      </c>
      <c r="AZ65" s="1153">
        <v>45041505</v>
      </c>
      <c r="BA65" s="1468">
        <f>BA66</f>
        <v>43793294</v>
      </c>
      <c r="BB65" s="1153">
        <v>43793301</v>
      </c>
      <c r="BC65" s="1153">
        <v>41176728</v>
      </c>
      <c r="BD65" s="1468">
        <f>BD66</f>
        <v>41175752</v>
      </c>
      <c r="BE65" s="1091" t="s">
        <v>482</v>
      </c>
      <c r="BF65" s="1079">
        <f t="shared" ref="BF65:BG65" si="164">BF66</f>
        <v>41175004</v>
      </c>
      <c r="BG65" s="1086">
        <f t="shared" si="164"/>
        <v>22342670</v>
      </c>
      <c r="BH65" s="1086">
        <f t="shared" ref="BH65" si="165">BH66</f>
        <v>22342672</v>
      </c>
      <c r="BI65" s="1086">
        <f t="shared" ref="BI65" si="166">BI66</f>
        <v>22579704</v>
      </c>
      <c r="BJ65" s="1086">
        <f t="shared" ref="BJ65" si="167">BJ66</f>
        <v>22579704</v>
      </c>
      <c r="BK65" s="1086">
        <f t="shared" ref="BK65" si="168">BK66</f>
        <v>21884904</v>
      </c>
      <c r="BL65" s="1086">
        <f t="shared" ref="BL65" si="169">BL66</f>
        <v>21884904</v>
      </c>
      <c r="BM65" s="1086">
        <f t="shared" ref="BM65" si="170">BM66</f>
        <v>21884904</v>
      </c>
      <c r="BN65" s="1086">
        <f t="shared" ref="BN65" si="171">BN66</f>
        <v>21884904</v>
      </c>
      <c r="BO65" s="1086">
        <f t="shared" ref="BO65" si="172">BO66</f>
        <v>21884908</v>
      </c>
      <c r="BP65" s="1086">
        <f t="shared" ref="BP65" si="173">BP66</f>
        <v>21386680</v>
      </c>
      <c r="BQ65" s="1086">
        <f t="shared" ref="BQ65" si="174">BQ66</f>
        <v>20820104</v>
      </c>
      <c r="BR65" s="1091" t="s">
        <v>482</v>
      </c>
      <c r="BS65" s="2148">
        <f t="shared" ref="BS65:CQ65" si="175">BS66</f>
        <v>20819317</v>
      </c>
      <c r="BT65" s="2148">
        <f t="shared" si="175"/>
        <v>20819317</v>
      </c>
      <c r="BU65" s="2148">
        <f>BU66</f>
        <v>20819320</v>
      </c>
      <c r="BV65" s="2148">
        <f>BV66</f>
        <v>20810258</v>
      </c>
      <c r="BW65" s="2148">
        <f t="shared" si="175"/>
        <v>20810258</v>
      </c>
      <c r="BX65" s="2148">
        <f t="shared" si="175"/>
        <v>20810258</v>
      </c>
      <c r="BY65" s="2148">
        <f t="shared" si="175"/>
        <v>20810258</v>
      </c>
      <c r="BZ65" s="2148">
        <f t="shared" si="175"/>
        <v>20810258</v>
      </c>
      <c r="CA65" s="2148">
        <f t="shared" si="175"/>
        <v>20810266</v>
      </c>
      <c r="CB65" s="2148">
        <f t="shared" si="175"/>
        <v>20228370</v>
      </c>
      <c r="CC65" s="2148">
        <f t="shared" si="175"/>
        <v>20228370</v>
      </c>
      <c r="CD65" s="2559">
        <f t="shared" si="175"/>
        <v>20228370</v>
      </c>
      <c r="CE65" s="1091" t="s">
        <v>482</v>
      </c>
      <c r="CF65" s="2148">
        <f t="shared" si="175"/>
        <v>20228370</v>
      </c>
      <c r="CG65" s="2148">
        <f t="shared" si="175"/>
        <v>20228370</v>
      </c>
      <c r="CH65" s="2148">
        <f>CH66</f>
        <v>20228370</v>
      </c>
      <c r="CI65" s="2148">
        <f>CI66</f>
        <v>25228370</v>
      </c>
      <c r="CJ65" s="2148">
        <f t="shared" si="175"/>
        <v>25228370</v>
      </c>
      <c r="CK65" s="2148">
        <f t="shared" si="175"/>
        <v>25228370</v>
      </c>
      <c r="CL65" s="2148">
        <f t="shared" si="175"/>
        <v>25228370</v>
      </c>
      <c r="CM65" s="2148">
        <f t="shared" si="175"/>
        <v>25228370</v>
      </c>
      <c r="CN65" s="2148">
        <f t="shared" si="175"/>
        <v>41895036.666666664</v>
      </c>
      <c r="CO65" s="2148">
        <f t="shared" si="175"/>
        <v>68389255.333333313</v>
      </c>
      <c r="CP65" s="2148">
        <f t="shared" si="175"/>
        <v>68389255.333333313</v>
      </c>
      <c r="CQ65" s="2559">
        <f t="shared" si="175"/>
        <v>68389255.333333313</v>
      </c>
    </row>
    <row r="66" spans="8:95" hidden="1" outlineLevel="1">
      <c r="AQ66" s="1002" t="s">
        <v>486</v>
      </c>
      <c r="AR66" s="997">
        <f>SUM(AS66:BD66)</f>
        <v>578898859</v>
      </c>
      <c r="AS66" s="1000">
        <f t="shared" ref="AS66:AY66" si="176">AS25+AS32</f>
        <v>51101980</v>
      </c>
      <c r="AT66" s="1000">
        <f t="shared" si="176"/>
        <v>53601980</v>
      </c>
      <c r="AU66" s="1000">
        <f t="shared" si="176"/>
        <v>55210732</v>
      </c>
      <c r="AV66" s="1000">
        <f t="shared" si="176"/>
        <v>55447764</v>
      </c>
      <c r="AW66" s="1000">
        <f t="shared" si="176"/>
        <v>55447767</v>
      </c>
      <c r="AX66" s="1000">
        <f t="shared" si="176"/>
        <v>46554025</v>
      </c>
      <c r="AY66" s="1000">
        <f t="shared" si="176"/>
        <v>46554031</v>
      </c>
      <c r="AZ66" s="1000">
        <f>AZ25+AZ32</f>
        <v>45041505</v>
      </c>
      <c r="BA66" s="1465">
        <f>BA25+BA32</f>
        <v>43793294</v>
      </c>
      <c r="BB66" s="1000">
        <f>BB25+BB32</f>
        <v>43793301</v>
      </c>
      <c r="BC66" s="1000">
        <f>BC25+BC32</f>
        <v>41176728</v>
      </c>
      <c r="BD66" s="1001">
        <f>BD25+BD32</f>
        <v>41175752</v>
      </c>
      <c r="BE66" s="1002" t="s">
        <v>486</v>
      </c>
      <c r="BF66" s="1003">
        <f>BF25+BF32</f>
        <v>41175004</v>
      </c>
      <c r="BG66" s="1003">
        <f t="shared" ref="BG66:BQ66" si="177">BG25+BG32</f>
        <v>22342670</v>
      </c>
      <c r="BH66" s="1003">
        <f t="shared" si="177"/>
        <v>22342672</v>
      </c>
      <c r="BI66" s="1003">
        <f t="shared" si="177"/>
        <v>22579704</v>
      </c>
      <c r="BJ66" s="1003">
        <f t="shared" si="177"/>
        <v>22579704</v>
      </c>
      <c r="BK66" s="1003">
        <f t="shared" si="177"/>
        <v>21884904</v>
      </c>
      <c r="BL66" s="1003">
        <f t="shared" si="177"/>
        <v>21884904</v>
      </c>
      <c r="BM66" s="1003">
        <f t="shared" si="177"/>
        <v>21884904</v>
      </c>
      <c r="BN66" s="1003">
        <f t="shared" si="177"/>
        <v>21884904</v>
      </c>
      <c r="BO66" s="1003">
        <f t="shared" si="177"/>
        <v>21884908</v>
      </c>
      <c r="BP66" s="1003">
        <f t="shared" si="177"/>
        <v>21386680</v>
      </c>
      <c r="BQ66" s="1004">
        <f t="shared" si="177"/>
        <v>20820104</v>
      </c>
      <c r="BR66" s="1002" t="s">
        <v>486</v>
      </c>
      <c r="BS66" s="2149">
        <f>BS25+BS32</f>
        <v>20819317</v>
      </c>
      <c r="BT66" s="2149">
        <f t="shared" ref="BT66:CD66" si="178">BT25+BT32</f>
        <v>20819317</v>
      </c>
      <c r="BU66" s="2149">
        <f t="shared" si="178"/>
        <v>20819320</v>
      </c>
      <c r="BV66" s="2149">
        <f>BV25+BV32</f>
        <v>20810258</v>
      </c>
      <c r="BW66" s="2149">
        <f t="shared" si="178"/>
        <v>20810258</v>
      </c>
      <c r="BX66" s="2149">
        <f t="shared" si="178"/>
        <v>20810258</v>
      </c>
      <c r="BY66" s="2149">
        <f t="shared" si="178"/>
        <v>20810258</v>
      </c>
      <c r="BZ66" s="2149">
        <f t="shared" si="178"/>
        <v>20810258</v>
      </c>
      <c r="CA66" s="2149">
        <f t="shared" si="178"/>
        <v>20810266</v>
      </c>
      <c r="CB66" s="2149">
        <f t="shared" si="178"/>
        <v>20228370</v>
      </c>
      <c r="CC66" s="2149">
        <f t="shared" si="178"/>
        <v>20228370</v>
      </c>
      <c r="CD66" s="2143">
        <f t="shared" si="178"/>
        <v>20228370</v>
      </c>
      <c r="CE66" s="1002" t="s">
        <v>486</v>
      </c>
      <c r="CF66" s="2149">
        <f>CF25+CF32</f>
        <v>20228370</v>
      </c>
      <c r="CG66" s="2149">
        <f t="shared" ref="CG66:CH66" si="179">CG25+CG32</f>
        <v>20228370</v>
      </c>
      <c r="CH66" s="2149">
        <f t="shared" si="179"/>
        <v>20228370</v>
      </c>
      <c r="CI66" s="2149">
        <f>CI25+CI32</f>
        <v>25228370</v>
      </c>
      <c r="CJ66" s="2149">
        <f t="shared" ref="CJ66:CQ66" si="180">CJ25+CJ32</f>
        <v>25228370</v>
      </c>
      <c r="CK66" s="2149">
        <f t="shared" si="180"/>
        <v>25228370</v>
      </c>
      <c r="CL66" s="2149">
        <f t="shared" si="180"/>
        <v>25228370</v>
      </c>
      <c r="CM66" s="2149">
        <f t="shared" si="180"/>
        <v>25228370</v>
      </c>
      <c r="CN66" s="2149">
        <f t="shared" si="180"/>
        <v>41895036.666666664</v>
      </c>
      <c r="CO66" s="2149">
        <f t="shared" si="180"/>
        <v>68389255.333333313</v>
      </c>
      <c r="CP66" s="2149">
        <f t="shared" si="180"/>
        <v>68389255.333333313</v>
      </c>
      <c r="CQ66" s="2143">
        <f t="shared" si="180"/>
        <v>68389255.333333313</v>
      </c>
    </row>
    <row r="67" spans="8:95" hidden="1" outlineLevel="1">
      <c r="AQ67" s="1002" t="s">
        <v>483</v>
      </c>
      <c r="AR67" s="998">
        <f t="shared" ref="AR67" si="181">SUM(AS67:BD67)</f>
        <v>0</v>
      </c>
      <c r="AS67" s="1003">
        <f>AS66-AS65</f>
        <v>0</v>
      </c>
      <c r="AT67" s="1003">
        <f t="shared" ref="AT67:BD67" si="182">AT66-AT65</f>
        <v>0</v>
      </c>
      <c r="AU67" s="1003">
        <f t="shared" si="182"/>
        <v>0</v>
      </c>
      <c r="AV67" s="1003">
        <f t="shared" si="182"/>
        <v>0</v>
      </c>
      <c r="AW67" s="1003">
        <f t="shared" si="182"/>
        <v>0</v>
      </c>
      <c r="AX67" s="1003">
        <f t="shared" si="182"/>
        <v>0</v>
      </c>
      <c r="AY67" s="1003">
        <f t="shared" si="182"/>
        <v>0</v>
      </c>
      <c r="AZ67" s="1003">
        <f t="shared" si="182"/>
        <v>0</v>
      </c>
      <c r="BA67" s="1003">
        <f t="shared" si="182"/>
        <v>0</v>
      </c>
      <c r="BB67" s="1003">
        <f t="shared" si="182"/>
        <v>0</v>
      </c>
      <c r="BC67" s="1003">
        <f t="shared" si="182"/>
        <v>0</v>
      </c>
      <c r="BD67" s="1004">
        <f t="shared" si="182"/>
        <v>0</v>
      </c>
      <c r="BE67" s="1002" t="s">
        <v>483</v>
      </c>
      <c r="BF67" s="1003">
        <f>BF66-BF65</f>
        <v>0</v>
      </c>
      <c r="BG67" s="1003">
        <f t="shared" ref="BG67" si="183">BG66-BG65</f>
        <v>0</v>
      </c>
      <c r="BH67" s="1003">
        <f t="shared" ref="BH67" si="184">BH66-BH65</f>
        <v>0</v>
      </c>
      <c r="BI67" s="1003">
        <f t="shared" ref="BI67" si="185">BI66-BI65</f>
        <v>0</v>
      </c>
      <c r="BJ67" s="1003">
        <f t="shared" ref="BJ67" si="186">BJ66-BJ65</f>
        <v>0</v>
      </c>
      <c r="BK67" s="1003">
        <f t="shared" ref="BK67" si="187">BK66-BK65</f>
        <v>0</v>
      </c>
      <c r="BL67" s="1003">
        <f t="shared" ref="BL67" si="188">BL66-BL65</f>
        <v>0</v>
      </c>
      <c r="BM67" s="1003">
        <f t="shared" ref="BM67" si="189">BM66-BM65</f>
        <v>0</v>
      </c>
      <c r="BN67" s="1003">
        <f t="shared" ref="BN67" si="190">BN66-BN65</f>
        <v>0</v>
      </c>
      <c r="BO67" s="1003">
        <f t="shared" ref="BO67" si="191">BO66-BO65</f>
        <v>0</v>
      </c>
      <c r="BP67" s="1003">
        <f t="shared" ref="BP67" si="192">BP66-BP65</f>
        <v>0</v>
      </c>
      <c r="BQ67" s="1004">
        <f t="shared" ref="BQ67" si="193">BQ66-BQ65</f>
        <v>0</v>
      </c>
      <c r="BR67" s="1002" t="s">
        <v>483</v>
      </c>
      <c r="BS67" s="2149">
        <f>BS66-BS65</f>
        <v>0</v>
      </c>
      <c r="BT67" s="2149">
        <f t="shared" ref="BT67:CD67" si="194">BT66-BT65</f>
        <v>0</v>
      </c>
      <c r="BU67" s="2149">
        <f t="shared" si="194"/>
        <v>0</v>
      </c>
      <c r="BV67" s="2149">
        <f t="shared" si="194"/>
        <v>0</v>
      </c>
      <c r="BW67" s="2149">
        <f t="shared" si="194"/>
        <v>0</v>
      </c>
      <c r="BX67" s="2149">
        <f t="shared" si="194"/>
        <v>0</v>
      </c>
      <c r="BY67" s="2149">
        <f t="shared" si="194"/>
        <v>0</v>
      </c>
      <c r="BZ67" s="2149">
        <f t="shared" si="194"/>
        <v>0</v>
      </c>
      <c r="CA67" s="2149">
        <f t="shared" si="194"/>
        <v>0</v>
      </c>
      <c r="CB67" s="2149">
        <f t="shared" si="194"/>
        <v>0</v>
      </c>
      <c r="CC67" s="2149">
        <f t="shared" si="194"/>
        <v>0</v>
      </c>
      <c r="CD67" s="2143">
        <f t="shared" si="194"/>
        <v>0</v>
      </c>
      <c r="CE67" s="1002" t="s">
        <v>483</v>
      </c>
      <c r="CF67" s="2149">
        <f>CF66-CF65</f>
        <v>0</v>
      </c>
      <c r="CG67" s="2149">
        <f t="shared" ref="CG67:CQ67" si="195">CG66-CG65</f>
        <v>0</v>
      </c>
      <c r="CH67" s="2149">
        <f t="shared" si="195"/>
        <v>0</v>
      </c>
      <c r="CI67" s="2149">
        <f t="shared" si="195"/>
        <v>0</v>
      </c>
      <c r="CJ67" s="2149">
        <f t="shared" si="195"/>
        <v>0</v>
      </c>
      <c r="CK67" s="2149">
        <f t="shared" si="195"/>
        <v>0</v>
      </c>
      <c r="CL67" s="2149">
        <f t="shared" si="195"/>
        <v>0</v>
      </c>
      <c r="CM67" s="2149">
        <f t="shared" si="195"/>
        <v>0</v>
      </c>
      <c r="CN67" s="2149">
        <f t="shared" si="195"/>
        <v>0</v>
      </c>
      <c r="CO67" s="2149">
        <f t="shared" si="195"/>
        <v>0</v>
      </c>
      <c r="CP67" s="2149">
        <f t="shared" si="195"/>
        <v>0</v>
      </c>
      <c r="CQ67" s="2143">
        <f t="shared" si="195"/>
        <v>0</v>
      </c>
    </row>
    <row r="68" spans="8:95" hidden="1" outlineLevel="1">
      <c r="AQ68" s="1005"/>
      <c r="AR68" s="998"/>
      <c r="AS68" s="1006">
        <f>AS67/1000000</f>
        <v>0</v>
      </c>
      <c r="AT68" s="1006">
        <f t="shared" ref="AT68" si="196">AT67/1000000</f>
        <v>0</v>
      </c>
      <c r="AU68" s="1006">
        <f t="shared" ref="AU68" si="197">AU67/1000000</f>
        <v>0</v>
      </c>
      <c r="AV68" s="1006">
        <f t="shared" ref="AV68" si="198">AV67/1000000</f>
        <v>0</v>
      </c>
      <c r="AW68" s="1006">
        <f t="shared" ref="AW68" si="199">AW67/1000000</f>
        <v>0</v>
      </c>
      <c r="AX68" s="1006">
        <f t="shared" ref="AX68" si="200">AX67/1000000</f>
        <v>0</v>
      </c>
      <c r="AY68" s="1006">
        <f t="shared" ref="AY68" si="201">AY67/1000000</f>
        <v>0</v>
      </c>
      <c r="AZ68" s="1006">
        <f t="shared" ref="AZ68" si="202">AZ67/1000000</f>
        <v>0</v>
      </c>
      <c r="BA68" s="1007">
        <f t="shared" ref="BA68" si="203">BA67/1000000</f>
        <v>0</v>
      </c>
      <c r="BB68" s="1006">
        <f t="shared" ref="BB68" si="204">BB67/1000000</f>
        <v>0</v>
      </c>
      <c r="BC68" s="1006">
        <f t="shared" ref="BC68" si="205">BC67/1000000</f>
        <v>0</v>
      </c>
      <c r="BD68" s="1008">
        <f t="shared" ref="BD68" si="206">BD67/1000000</f>
        <v>0</v>
      </c>
      <c r="BE68" s="1005"/>
      <c r="BF68" s="1080">
        <f>BF67/1000000</f>
        <v>0</v>
      </c>
      <c r="BG68" s="1080">
        <f t="shared" ref="BG68" si="207">BG67/1000000</f>
        <v>0</v>
      </c>
      <c r="BH68" s="1080">
        <f t="shared" ref="BH68" si="208">BH67/1000000</f>
        <v>0</v>
      </c>
      <c r="BI68" s="1080">
        <f t="shared" ref="BI68" si="209">BI67/1000000</f>
        <v>0</v>
      </c>
      <c r="BJ68" s="1080">
        <f t="shared" ref="BJ68" si="210">BJ67/1000000</f>
        <v>0</v>
      </c>
      <c r="BK68" s="1080">
        <f t="shared" ref="BK68" si="211">BK67/1000000</f>
        <v>0</v>
      </c>
      <c r="BL68" s="1080">
        <f t="shared" ref="BL68" si="212">BL67/1000000</f>
        <v>0</v>
      </c>
      <c r="BM68" s="1080">
        <f t="shared" ref="BM68" si="213">BM67/1000000</f>
        <v>0</v>
      </c>
      <c r="BN68" s="1081">
        <f t="shared" ref="BN68" si="214">BN67/1000000</f>
        <v>0</v>
      </c>
      <c r="BO68" s="1080">
        <f t="shared" ref="BO68" si="215">BO67/1000000</f>
        <v>0</v>
      </c>
      <c r="BP68" s="1080">
        <f t="shared" ref="BP68" si="216">BP67/1000000</f>
        <v>0</v>
      </c>
      <c r="BQ68" s="1082">
        <f t="shared" ref="BQ68" si="217">BQ67/1000000</f>
        <v>0</v>
      </c>
      <c r="BR68" s="2144"/>
      <c r="BS68" s="1080">
        <f>BS67/1000000</f>
        <v>0</v>
      </c>
      <c r="BT68" s="1080">
        <f t="shared" ref="BT68:CD68" si="218">BT67/1000000</f>
        <v>0</v>
      </c>
      <c r="BU68" s="1080">
        <f t="shared" si="218"/>
        <v>0</v>
      </c>
      <c r="BV68" s="1080">
        <f t="shared" si="218"/>
        <v>0</v>
      </c>
      <c r="BW68" s="1080">
        <f t="shared" si="218"/>
        <v>0</v>
      </c>
      <c r="BX68" s="1080">
        <f t="shared" si="218"/>
        <v>0</v>
      </c>
      <c r="BY68" s="1080">
        <f t="shared" si="218"/>
        <v>0</v>
      </c>
      <c r="BZ68" s="1080">
        <f t="shared" si="218"/>
        <v>0</v>
      </c>
      <c r="CA68" s="1081">
        <f t="shared" si="218"/>
        <v>0</v>
      </c>
      <c r="CB68" s="1080">
        <f t="shared" si="218"/>
        <v>0</v>
      </c>
      <c r="CC68" s="1080">
        <f t="shared" si="218"/>
        <v>0</v>
      </c>
      <c r="CD68" s="1082">
        <f t="shared" si="218"/>
        <v>0</v>
      </c>
      <c r="CE68" s="2144"/>
      <c r="CF68" s="1080">
        <f>CF67/1000000</f>
        <v>0</v>
      </c>
      <c r="CG68" s="1080">
        <f t="shared" ref="CG68:CQ68" si="219">CG67/1000000</f>
        <v>0</v>
      </c>
      <c r="CH68" s="1080">
        <f t="shared" si="219"/>
        <v>0</v>
      </c>
      <c r="CI68" s="1080">
        <f t="shared" si="219"/>
        <v>0</v>
      </c>
      <c r="CJ68" s="1080">
        <f t="shared" si="219"/>
        <v>0</v>
      </c>
      <c r="CK68" s="1080">
        <f t="shared" si="219"/>
        <v>0</v>
      </c>
      <c r="CL68" s="1080">
        <f t="shared" si="219"/>
        <v>0</v>
      </c>
      <c r="CM68" s="1080">
        <f t="shared" si="219"/>
        <v>0</v>
      </c>
      <c r="CN68" s="1081">
        <f t="shared" si="219"/>
        <v>0</v>
      </c>
      <c r="CO68" s="1080">
        <f t="shared" si="219"/>
        <v>0</v>
      </c>
      <c r="CP68" s="1080">
        <f t="shared" si="219"/>
        <v>0</v>
      </c>
      <c r="CQ68" s="1082">
        <f t="shared" si="219"/>
        <v>0</v>
      </c>
    </row>
    <row r="69" spans="8:95" hidden="1" outlineLevel="1">
      <c r="AP69" s="602" t="b">
        <f>AR69=AR65</f>
        <v>1</v>
      </c>
      <c r="AQ69" s="1002" t="s">
        <v>481</v>
      </c>
      <c r="AR69" s="998">
        <f t="shared" ref="AR69:AR70" si="220">SUM(AS69:BD69)</f>
        <v>578898859</v>
      </c>
      <c r="AS69" s="998">
        <f t="shared" ref="AS69:BD69" si="221">AS66-AS67</f>
        <v>51101980</v>
      </c>
      <c r="AT69" s="998">
        <f t="shared" si="221"/>
        <v>53601980</v>
      </c>
      <c r="AU69" s="998">
        <f t="shared" si="221"/>
        <v>55210732</v>
      </c>
      <c r="AV69" s="998">
        <f t="shared" si="221"/>
        <v>55447764</v>
      </c>
      <c r="AW69" s="998">
        <f t="shared" si="221"/>
        <v>55447767</v>
      </c>
      <c r="AX69" s="998">
        <f t="shared" si="221"/>
        <v>46554025</v>
      </c>
      <c r="AY69" s="998">
        <f t="shared" si="221"/>
        <v>46554031</v>
      </c>
      <c r="AZ69" s="998">
        <f t="shared" si="221"/>
        <v>45041505</v>
      </c>
      <c r="BA69" s="998">
        <f t="shared" si="221"/>
        <v>43793294</v>
      </c>
      <c r="BB69" s="998">
        <f t="shared" si="221"/>
        <v>43793301</v>
      </c>
      <c r="BC69" s="998">
        <f t="shared" si="221"/>
        <v>41176728</v>
      </c>
      <c r="BD69" s="1009">
        <f t="shared" si="221"/>
        <v>41175752</v>
      </c>
      <c r="BE69" s="1002" t="s">
        <v>481</v>
      </c>
      <c r="BF69" s="998">
        <f t="shared" ref="BF69:BQ69" si="222">BF66-BF67</f>
        <v>41175004</v>
      </c>
      <c r="BG69" s="998">
        <f t="shared" si="222"/>
        <v>22342670</v>
      </c>
      <c r="BH69" s="998">
        <f t="shared" si="222"/>
        <v>22342672</v>
      </c>
      <c r="BI69" s="998">
        <f t="shared" si="222"/>
        <v>22579704</v>
      </c>
      <c r="BJ69" s="998">
        <f t="shared" si="222"/>
        <v>22579704</v>
      </c>
      <c r="BK69" s="998">
        <f t="shared" si="222"/>
        <v>21884904</v>
      </c>
      <c r="BL69" s="998">
        <f t="shared" si="222"/>
        <v>21884904</v>
      </c>
      <c r="BM69" s="998">
        <f t="shared" si="222"/>
        <v>21884904</v>
      </c>
      <c r="BN69" s="998">
        <f t="shared" si="222"/>
        <v>21884904</v>
      </c>
      <c r="BO69" s="998">
        <f t="shared" si="222"/>
        <v>21884908</v>
      </c>
      <c r="BP69" s="998">
        <f t="shared" si="222"/>
        <v>21386680</v>
      </c>
      <c r="BQ69" s="1009">
        <f t="shared" si="222"/>
        <v>20820104</v>
      </c>
      <c r="BR69" s="1002" t="s">
        <v>481</v>
      </c>
      <c r="BS69" s="2150">
        <f t="shared" ref="BS69:CD69" si="223">BS66-BS67</f>
        <v>20819317</v>
      </c>
      <c r="BT69" s="2150">
        <f t="shared" si="223"/>
        <v>20819317</v>
      </c>
      <c r="BU69" s="2150">
        <f>BU66-BU67</f>
        <v>20819320</v>
      </c>
      <c r="BV69" s="2150">
        <f t="shared" si="223"/>
        <v>20810258</v>
      </c>
      <c r="BW69" s="2150">
        <f t="shared" si="223"/>
        <v>20810258</v>
      </c>
      <c r="BX69" s="2150">
        <f t="shared" si="223"/>
        <v>20810258</v>
      </c>
      <c r="BY69" s="2150">
        <f t="shared" si="223"/>
        <v>20810258</v>
      </c>
      <c r="BZ69" s="2150">
        <f t="shared" si="223"/>
        <v>20810258</v>
      </c>
      <c r="CA69" s="2150">
        <f t="shared" si="223"/>
        <v>20810266</v>
      </c>
      <c r="CB69" s="2150">
        <f t="shared" si="223"/>
        <v>20228370</v>
      </c>
      <c r="CC69" s="2150">
        <f t="shared" si="223"/>
        <v>20228370</v>
      </c>
      <c r="CD69" s="2147">
        <f t="shared" si="223"/>
        <v>20228370</v>
      </c>
      <c r="CE69" s="1002" t="s">
        <v>481</v>
      </c>
      <c r="CF69" s="2150">
        <f t="shared" ref="CF69:CG69" si="224">CF66-CF67</f>
        <v>20228370</v>
      </c>
      <c r="CG69" s="2150">
        <f t="shared" si="224"/>
        <v>20228370</v>
      </c>
      <c r="CH69" s="2150">
        <f>CH66-CH67</f>
        <v>20228370</v>
      </c>
      <c r="CI69" s="2150">
        <f t="shared" ref="CI69:CQ69" si="225">CI66-CI67</f>
        <v>25228370</v>
      </c>
      <c r="CJ69" s="2150">
        <f t="shared" si="225"/>
        <v>25228370</v>
      </c>
      <c r="CK69" s="2150">
        <f t="shared" si="225"/>
        <v>25228370</v>
      </c>
      <c r="CL69" s="2150">
        <f t="shared" si="225"/>
        <v>25228370</v>
      </c>
      <c r="CM69" s="2150">
        <f t="shared" si="225"/>
        <v>25228370</v>
      </c>
      <c r="CN69" s="2150">
        <f t="shared" si="225"/>
        <v>41895036.666666664</v>
      </c>
      <c r="CO69" s="2150">
        <f t="shared" si="225"/>
        <v>68389255.333333313</v>
      </c>
      <c r="CP69" s="2150">
        <f t="shared" si="225"/>
        <v>68389255.333333313</v>
      </c>
      <c r="CQ69" s="2147">
        <f t="shared" si="225"/>
        <v>68389255.333333313</v>
      </c>
    </row>
    <row r="70" spans="8:95" ht="17.5" hidden="1" outlineLevel="1" thickBot="1">
      <c r="AQ70" s="1092"/>
      <c r="AR70" s="1012">
        <f t="shared" si="220"/>
        <v>578.89885900000002</v>
      </c>
      <c r="AS70" s="1010">
        <f>AS69/1000000</f>
        <v>51.101979999999998</v>
      </c>
      <c r="AT70" s="1010">
        <f t="shared" ref="AT70" si="226">AT69/1000000</f>
        <v>53.601979999999998</v>
      </c>
      <c r="AU70" s="1010">
        <f t="shared" ref="AU70" si="227">AU69/1000000</f>
        <v>55.210732</v>
      </c>
      <c r="AV70" s="1010">
        <f t="shared" ref="AV70" si="228">AV69/1000000</f>
        <v>55.447763999999999</v>
      </c>
      <c r="AW70" s="1010">
        <f t="shared" ref="AW70" si="229">AW69/1000000</f>
        <v>55.447766999999999</v>
      </c>
      <c r="AX70" s="1010">
        <f t="shared" ref="AX70" si="230">AX69/1000000</f>
        <v>46.554025000000003</v>
      </c>
      <c r="AY70" s="1010">
        <f t="shared" ref="AY70" si="231">AY69/1000000</f>
        <v>46.554031000000002</v>
      </c>
      <c r="AZ70" s="1010">
        <f t="shared" ref="AZ70" si="232">AZ69/1000000</f>
        <v>45.041505000000001</v>
      </c>
      <c r="BA70" s="1466">
        <f t="shared" ref="BA70" si="233">BA69/1000000</f>
        <v>43.793294000000003</v>
      </c>
      <c r="BB70" s="1010">
        <f t="shared" ref="BB70" si="234">BB69/1000000</f>
        <v>43.793301</v>
      </c>
      <c r="BC70" s="1010">
        <f t="shared" ref="BC70" si="235">BC69/1000000</f>
        <v>41.176727999999997</v>
      </c>
      <c r="BD70" s="1467">
        <f t="shared" ref="BD70" si="236">BD69/1000000</f>
        <v>41.175752000000003</v>
      </c>
      <c r="BE70" s="1089">
        <f t="shared" ref="BE70" si="237">SUM(BF70:BQ70)</f>
        <v>282.65106200000002</v>
      </c>
      <c r="BF70" s="1083">
        <f>BF69/1000000</f>
        <v>41.175004000000001</v>
      </c>
      <c r="BG70" s="1083">
        <f t="shared" ref="BG70" si="238">BG69/1000000</f>
        <v>22.342669999999998</v>
      </c>
      <c r="BH70" s="1083">
        <f t="shared" ref="BH70" si="239">BH69/1000000</f>
        <v>22.342672</v>
      </c>
      <c r="BI70" s="1083">
        <f t="shared" ref="BI70" si="240">BI69/1000000</f>
        <v>22.579704</v>
      </c>
      <c r="BJ70" s="1083">
        <f t="shared" ref="BJ70" si="241">BJ69/1000000</f>
        <v>22.579704</v>
      </c>
      <c r="BK70" s="1083">
        <f t="shared" ref="BK70" si="242">BK69/1000000</f>
        <v>21.884903999999999</v>
      </c>
      <c r="BL70" s="1083">
        <f t="shared" ref="BL70" si="243">BL69/1000000</f>
        <v>21.884903999999999</v>
      </c>
      <c r="BM70" s="1083">
        <f t="shared" ref="BM70" si="244">BM69/1000000</f>
        <v>21.884903999999999</v>
      </c>
      <c r="BN70" s="1084">
        <f t="shared" ref="BN70" si="245">BN69/1000000</f>
        <v>21.884903999999999</v>
      </c>
      <c r="BO70" s="1083">
        <f t="shared" ref="BO70" si="246">BO69/1000000</f>
        <v>21.884907999999999</v>
      </c>
      <c r="BP70" s="1083">
        <f t="shared" ref="BP70" si="247">BP69/1000000</f>
        <v>21.386679999999998</v>
      </c>
      <c r="BQ70" s="1085">
        <f t="shared" ref="BQ70" si="248">BQ69/1000000</f>
        <v>20.820104000000001</v>
      </c>
      <c r="BR70" s="2146">
        <f>SUM(BS70:CD70)</f>
        <v>248.00462000000007</v>
      </c>
      <c r="BS70" s="1083">
        <f>BS69/1000000</f>
        <v>20.819317000000002</v>
      </c>
      <c r="BT70" s="1083">
        <f t="shared" ref="BT70:CD70" si="249">BT69/1000000</f>
        <v>20.819317000000002</v>
      </c>
      <c r="BU70" s="1083">
        <f t="shared" si="249"/>
        <v>20.819320000000001</v>
      </c>
      <c r="BV70" s="1083">
        <f t="shared" si="249"/>
        <v>20.810258000000001</v>
      </c>
      <c r="BW70" s="1083">
        <f t="shared" si="249"/>
        <v>20.810258000000001</v>
      </c>
      <c r="BX70" s="1083">
        <f t="shared" si="249"/>
        <v>20.810258000000001</v>
      </c>
      <c r="BY70" s="1083">
        <f t="shared" si="249"/>
        <v>20.810258000000001</v>
      </c>
      <c r="BZ70" s="1083">
        <f t="shared" si="249"/>
        <v>20.810258000000001</v>
      </c>
      <c r="CA70" s="1084">
        <f t="shared" si="249"/>
        <v>20.810265999999999</v>
      </c>
      <c r="CB70" s="1083">
        <f t="shared" si="249"/>
        <v>20.228370000000002</v>
      </c>
      <c r="CC70" s="1083">
        <f t="shared" si="249"/>
        <v>20.228370000000002</v>
      </c>
      <c r="CD70" s="1085">
        <f t="shared" si="249"/>
        <v>20.228370000000002</v>
      </c>
      <c r="CE70" s="2146">
        <f>SUM(CF70:CQ70)</f>
        <v>433.88976266666668</v>
      </c>
      <c r="CF70" s="1083">
        <f>CF69/1000000</f>
        <v>20.228370000000002</v>
      </c>
      <c r="CG70" s="1083">
        <f t="shared" ref="CG70:CQ70" si="250">CG69/1000000</f>
        <v>20.228370000000002</v>
      </c>
      <c r="CH70" s="1083">
        <f t="shared" si="250"/>
        <v>20.228370000000002</v>
      </c>
      <c r="CI70" s="1083">
        <f t="shared" si="250"/>
        <v>25.228370000000002</v>
      </c>
      <c r="CJ70" s="1083">
        <f t="shared" si="250"/>
        <v>25.228370000000002</v>
      </c>
      <c r="CK70" s="1083">
        <f t="shared" si="250"/>
        <v>25.228370000000002</v>
      </c>
      <c r="CL70" s="1083">
        <f t="shared" si="250"/>
        <v>25.228370000000002</v>
      </c>
      <c r="CM70" s="1083">
        <f t="shared" si="250"/>
        <v>25.228370000000002</v>
      </c>
      <c r="CN70" s="1084">
        <f t="shared" si="250"/>
        <v>41.895036666666662</v>
      </c>
      <c r="CO70" s="1083">
        <f t="shared" si="250"/>
        <v>68.38925533333331</v>
      </c>
      <c r="CP70" s="1083">
        <f t="shared" si="250"/>
        <v>68.38925533333331</v>
      </c>
      <c r="CQ70" s="1085">
        <f t="shared" si="250"/>
        <v>68.38925533333331</v>
      </c>
    </row>
    <row r="71" spans="8:95" collapsed="1"/>
    <row r="72" spans="8:95">
      <c r="U72" s="313">
        <f>S27+T27+U27</f>
        <v>185085600</v>
      </c>
      <c r="X72" s="313">
        <f>V27+W27+X27</f>
        <v>0</v>
      </c>
      <c r="AA72" s="313">
        <f>Y27+Z27+AA27</f>
        <v>0</v>
      </c>
    </row>
    <row r="73" spans="8:95">
      <c r="U73" s="313">
        <f>S20+T20+U20</f>
        <v>0</v>
      </c>
      <c r="X73" s="313">
        <f>V20+W20+X20</f>
        <v>0</v>
      </c>
      <c r="AA73" s="313">
        <f>Y20+Z20+AA20</f>
        <v>0</v>
      </c>
      <c r="BA73" s="313"/>
    </row>
    <row r="74" spans="8:95">
      <c r="BA74" s="313"/>
    </row>
    <row r="75" spans="8:95"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F75" s="128"/>
      <c r="CG75" s="128"/>
      <c r="CH75" s="128"/>
      <c r="CI75" s="128"/>
      <c r="CJ75" s="128"/>
      <c r="CK75" s="128"/>
      <c r="CL75" s="128"/>
      <c r="CM75" s="128"/>
      <c r="CN75" s="128"/>
      <c r="CO75" s="128"/>
      <c r="CP75" s="128"/>
      <c r="CQ75" s="128"/>
    </row>
  </sheetData>
  <mergeCells count="20">
    <mergeCell ref="AR3:BD3"/>
    <mergeCell ref="B44:D44"/>
    <mergeCell ref="BE3:BQ3"/>
    <mergeCell ref="CE3:CQ3"/>
    <mergeCell ref="BR3:CD3"/>
    <mergeCell ref="B45:D45"/>
    <mergeCell ref="B41:D41"/>
    <mergeCell ref="AE3:AQ3"/>
    <mergeCell ref="R3:AD3"/>
    <mergeCell ref="E3:Q3"/>
    <mergeCell ref="B40:D40"/>
    <mergeCell ref="C33:C39"/>
    <mergeCell ref="B3:D4"/>
    <mergeCell ref="B5:B18"/>
    <mergeCell ref="B19:B32"/>
    <mergeCell ref="B33:B39"/>
    <mergeCell ref="C5:C11"/>
    <mergeCell ref="C12:C18"/>
    <mergeCell ref="C19:C25"/>
    <mergeCell ref="C26:C32"/>
  </mergeCells>
  <phoneticPr fontId="2" type="noConversion"/>
  <pageMargins left="0.7" right="0.7" top="0.75" bottom="0.75" header="0.3" footer="0.3"/>
  <pageSetup paperSize="9" orientation="portrait" r:id="rId1"/>
  <ignoredErrors>
    <ignoredError sqref="AR49 AS62:BD63 AS69:BD70 BR40:BR42 AR40:BE41 CE18:CE41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">
    <tabColor theme="8" tint="0.39997558519241921"/>
    <pageSetUpPr fitToPage="1"/>
  </sheetPr>
  <dimension ref="B1:T44"/>
  <sheetViews>
    <sheetView showGridLines="0" workbookViewId="0">
      <selection activeCell="B2" sqref="B2:D3"/>
    </sheetView>
  </sheetViews>
  <sheetFormatPr defaultColWidth="8.75" defaultRowHeight="16"/>
  <cols>
    <col min="1" max="1" width="5.08203125" style="786" customWidth="1"/>
    <col min="2" max="2" width="13.25" style="786" customWidth="1"/>
    <col min="3" max="3" width="8.75" style="786"/>
    <col min="4" max="4" width="8.25" style="786" customWidth="1"/>
    <col min="5" max="16" width="8.75" style="786"/>
    <col min="17" max="17" width="12.75" style="786" customWidth="1"/>
    <col min="18" max="19" width="8.75" style="786"/>
    <col min="20" max="20" width="16.4140625" style="786" bestFit="1" customWidth="1"/>
    <col min="21" max="16384" width="8.75" style="786"/>
  </cols>
  <sheetData>
    <row r="1" spans="2:20" ht="16" customHeight="1" thickBot="1"/>
    <row r="2" spans="2:20" ht="17.5" customHeight="1">
      <c r="B2" s="3471" t="s">
        <v>0</v>
      </c>
      <c r="C2" s="3471"/>
      <c r="D2" s="3472"/>
      <c r="E2" s="3469" t="s">
        <v>850</v>
      </c>
      <c r="F2" s="3470"/>
      <c r="G2" s="3470"/>
      <c r="H2" s="3470"/>
      <c r="I2" s="3470"/>
      <c r="J2" s="3470"/>
      <c r="K2" s="3470"/>
      <c r="L2" s="3470"/>
      <c r="M2" s="3470"/>
      <c r="N2" s="3470"/>
      <c r="O2" s="3470"/>
      <c r="P2" s="3470"/>
    </row>
    <row r="3" spans="2:20" ht="17.5" customHeight="1">
      <c r="B3" s="3473"/>
      <c r="C3" s="3473"/>
      <c r="D3" s="3474"/>
      <c r="E3" s="2585" t="s">
        <v>573</v>
      </c>
      <c r="F3" s="2583" t="s">
        <v>440</v>
      </c>
      <c r="G3" s="2586" t="s">
        <v>4</v>
      </c>
      <c r="H3" s="2586" t="s">
        <v>5</v>
      </c>
      <c r="I3" s="2583" t="s">
        <v>6</v>
      </c>
      <c r="J3" s="2586" t="s">
        <v>7</v>
      </c>
      <c r="K3" s="2583" t="s">
        <v>847</v>
      </c>
      <c r="L3" s="2586" t="s">
        <v>848</v>
      </c>
      <c r="M3" s="2583" t="s">
        <v>506</v>
      </c>
      <c r="N3" s="2586" t="s">
        <v>505</v>
      </c>
      <c r="O3" s="2586" t="s">
        <v>441</v>
      </c>
      <c r="P3" s="2586" t="s">
        <v>442</v>
      </c>
      <c r="Q3" s="823" t="s">
        <v>469</v>
      </c>
    </row>
    <row r="4" spans="2:20" ht="18.649999999999999" customHeight="1">
      <c r="B4" s="3456" t="s">
        <v>744</v>
      </c>
      <c r="C4" s="3459" t="s">
        <v>460</v>
      </c>
      <c r="D4" s="3460"/>
      <c r="E4" s="2174">
        <f>E5+E7+E8+E12+E6</f>
        <v>33725</v>
      </c>
      <c r="F4" s="2175">
        <f t="shared" ref="F4:P4" si="0">F5+F7+F8+F12+F6</f>
        <v>67573</v>
      </c>
      <c r="G4" s="2175">
        <f t="shared" si="0"/>
        <v>43042</v>
      </c>
      <c r="H4" s="2176">
        <f t="shared" si="0"/>
        <v>46783</v>
      </c>
      <c r="I4" s="2176">
        <f t="shared" si="0"/>
        <v>63245</v>
      </c>
      <c r="J4" s="2175">
        <f t="shared" si="0"/>
        <v>51217</v>
      </c>
      <c r="K4" s="2175">
        <f t="shared" si="0"/>
        <v>68808</v>
      </c>
      <c r="L4" s="2175">
        <f t="shared" si="0"/>
        <v>49766</v>
      </c>
      <c r="M4" s="2175">
        <f t="shared" si="0"/>
        <v>69431</v>
      </c>
      <c r="N4" s="2175">
        <f t="shared" si="0"/>
        <v>56294</v>
      </c>
      <c r="O4" s="2175">
        <f t="shared" si="0"/>
        <v>46695</v>
      </c>
      <c r="P4" s="2176">
        <f t="shared" si="0"/>
        <v>46355</v>
      </c>
      <c r="Q4" s="824">
        <f>SUM(E4:P4)</f>
        <v>642934</v>
      </c>
    </row>
    <row r="5" spans="2:20">
      <c r="B5" s="3457"/>
      <c r="C5" s="3461" t="s">
        <v>44</v>
      </c>
      <c r="D5" s="3462"/>
      <c r="E5" s="2130">
        <f>무선!BS10+무선!BS18</f>
        <v>10617</v>
      </c>
      <c r="F5" s="2131">
        <f>무선!BT10+무선!BT18</f>
        <v>23153</v>
      </c>
      <c r="G5" s="2131">
        <f>무선!BU10+무선!BU18</f>
        <v>15414</v>
      </c>
      <c r="H5" s="2132">
        <f>무선!BV10+무선!BV18</f>
        <v>16126</v>
      </c>
      <c r="I5" s="2132">
        <f>무선!BW10+무선!BW18</f>
        <v>19052</v>
      </c>
      <c r="J5" s="2131">
        <f>무선!BX10+무선!BX18</f>
        <v>15091.999999999998</v>
      </c>
      <c r="K5" s="2131">
        <f>무선!BY10+무선!BY18</f>
        <v>23066</v>
      </c>
      <c r="L5" s="2131">
        <f>무선!BZ10+무선!BZ18</f>
        <v>15610</v>
      </c>
      <c r="M5" s="2131">
        <f>무선!CA10+무선!CA18</f>
        <v>21456</v>
      </c>
      <c r="N5" s="2131">
        <f>무선!CB10+무선!CB18</f>
        <v>13847</v>
      </c>
      <c r="O5" s="2131">
        <f>무선!CC10+무선!CC18</f>
        <v>12205</v>
      </c>
      <c r="P5" s="2132">
        <f>무선!CD10+무선!CD18</f>
        <v>11262</v>
      </c>
      <c r="Q5" s="824">
        <f t="shared" ref="Q5:Q12" si="1">SUM(E5:P5)</f>
        <v>196900</v>
      </c>
    </row>
    <row r="6" spans="2:20" ht="17" customHeight="1">
      <c r="B6" s="3457"/>
      <c r="C6" s="3463" t="s">
        <v>575</v>
      </c>
      <c r="D6" s="3464"/>
      <c r="E6" s="806">
        <f>무선!BS11</f>
        <v>111.00000000000001</v>
      </c>
      <c r="F6" s="807">
        <f>무선!BT11</f>
        <v>343</v>
      </c>
      <c r="G6" s="807">
        <f>무선!BU11</f>
        <v>117</v>
      </c>
      <c r="H6" s="808">
        <f>무선!BV11</f>
        <v>122</v>
      </c>
      <c r="I6" s="808">
        <f>무선!BW11</f>
        <v>171</v>
      </c>
      <c r="J6" s="807">
        <f>무선!BX11</f>
        <v>123</v>
      </c>
      <c r="K6" s="807">
        <f>무선!BY11</f>
        <v>268</v>
      </c>
      <c r="L6" s="807">
        <f>무선!BZ11</f>
        <v>95</v>
      </c>
      <c r="M6" s="807">
        <f>무선!CA11</f>
        <v>198</v>
      </c>
      <c r="N6" s="807">
        <f>무선!CB11</f>
        <v>186</v>
      </c>
      <c r="O6" s="807">
        <f>무선!CC11</f>
        <v>130</v>
      </c>
      <c r="P6" s="808">
        <f>무선!CD11</f>
        <v>74</v>
      </c>
      <c r="Q6" s="824">
        <f t="shared" si="1"/>
        <v>1938</v>
      </c>
      <c r="T6" s="2898"/>
    </row>
    <row r="7" spans="2:20">
      <c r="B7" s="3457"/>
      <c r="C7" s="3463" t="s">
        <v>15</v>
      </c>
      <c r="D7" s="3464"/>
      <c r="E7" s="806">
        <f>무선!BS9</f>
        <v>16386</v>
      </c>
      <c r="F7" s="807">
        <f>무선!BT9</f>
        <v>24943</v>
      </c>
      <c r="G7" s="807">
        <f>무선!BU9</f>
        <v>18218</v>
      </c>
      <c r="H7" s="808">
        <f>무선!BV9</f>
        <v>21598</v>
      </c>
      <c r="I7" s="808">
        <f>무선!BW9</f>
        <v>32548</v>
      </c>
      <c r="J7" s="807">
        <f>무선!BX9</f>
        <v>27162</v>
      </c>
      <c r="K7" s="807">
        <f>무선!BY9</f>
        <v>29379.999999999996</v>
      </c>
      <c r="L7" s="807">
        <f>무선!BZ9</f>
        <v>23534</v>
      </c>
      <c r="M7" s="807">
        <f>무선!CA9</f>
        <v>26146</v>
      </c>
      <c r="N7" s="807">
        <f>무선!CB9</f>
        <v>25966</v>
      </c>
      <c r="O7" s="807">
        <f>무선!CC9</f>
        <v>21706</v>
      </c>
      <c r="P7" s="808">
        <f>무선!CD9</f>
        <v>23268</v>
      </c>
      <c r="Q7" s="824">
        <f t="shared" si="1"/>
        <v>290855</v>
      </c>
    </row>
    <row r="8" spans="2:20">
      <c r="B8" s="3457"/>
      <c r="C8" s="3465" t="s">
        <v>577</v>
      </c>
      <c r="D8" s="3466"/>
      <c r="E8" s="806">
        <f>무선!BS14+무선!BS15</f>
        <v>5384</v>
      </c>
      <c r="F8" s="807">
        <f>무선!BT14+무선!BT15</f>
        <v>16915</v>
      </c>
      <c r="G8" s="807">
        <f>무선!BU14+무선!BU15</f>
        <v>7408</v>
      </c>
      <c r="H8" s="808">
        <f>무선!BV14+무선!BV15</f>
        <v>7813</v>
      </c>
      <c r="I8" s="808">
        <f>무선!BW14+무선!BW15</f>
        <v>9792</v>
      </c>
      <c r="J8" s="807">
        <f>무선!BX14+무선!BX15</f>
        <v>7562</v>
      </c>
      <c r="K8" s="807">
        <f>무선!BY14+무선!BY15</f>
        <v>12735</v>
      </c>
      <c r="L8" s="807">
        <f>무선!BZ14+무선!BZ15</f>
        <v>9472</v>
      </c>
      <c r="M8" s="807">
        <f>무선!CA14+무선!CA15</f>
        <v>19886</v>
      </c>
      <c r="N8" s="807">
        <f>무선!CB14+무선!CB15</f>
        <v>11925</v>
      </c>
      <c r="O8" s="807">
        <f>무선!CC14+무선!CC15</f>
        <v>8605</v>
      </c>
      <c r="P8" s="808">
        <f>무선!CD14+무선!CD15</f>
        <v>8793</v>
      </c>
      <c r="Q8" s="824">
        <f t="shared" si="1"/>
        <v>126290</v>
      </c>
      <c r="T8" s="2898"/>
    </row>
    <row r="9" spans="2:20" hidden="1">
      <c r="B9" s="3457"/>
      <c r="C9" s="805"/>
      <c r="D9" s="2036" t="s">
        <v>556</v>
      </c>
      <c r="E9" s="806">
        <f>무선!BS14</f>
        <v>5268</v>
      </c>
      <c r="F9" s="807">
        <f>무선!BT14</f>
        <v>16880</v>
      </c>
      <c r="G9" s="807">
        <f>무선!BU14</f>
        <v>7402</v>
      </c>
      <c r="H9" s="808">
        <f>무선!BV14</f>
        <v>7722</v>
      </c>
      <c r="I9" s="808">
        <f>무선!BW14</f>
        <v>9478</v>
      </c>
      <c r="J9" s="807">
        <f>무선!BX14</f>
        <v>7562</v>
      </c>
      <c r="K9" s="807">
        <f>무선!BY14</f>
        <v>12735</v>
      </c>
      <c r="L9" s="807">
        <f>무선!BZ14</f>
        <v>9472</v>
      </c>
      <c r="M9" s="807">
        <f>무선!CA14</f>
        <v>19886</v>
      </c>
      <c r="N9" s="807">
        <f>무선!CB14</f>
        <v>11925</v>
      </c>
      <c r="O9" s="807">
        <f>무선!CC14</f>
        <v>8605</v>
      </c>
      <c r="P9" s="808">
        <f>무선!CD14</f>
        <v>8793</v>
      </c>
      <c r="Q9" s="824">
        <f t="shared" si="1"/>
        <v>125728</v>
      </c>
    </row>
    <row r="10" spans="2:20" hidden="1">
      <c r="B10" s="3457"/>
      <c r="C10" s="805"/>
      <c r="D10" s="2036" t="s">
        <v>742</v>
      </c>
      <c r="E10" s="806">
        <f>무선!BS15</f>
        <v>116</v>
      </c>
      <c r="F10" s="807">
        <f>무선!BT15</f>
        <v>35</v>
      </c>
      <c r="G10" s="807">
        <f>무선!BU15</f>
        <v>6</v>
      </c>
      <c r="H10" s="808">
        <f>무선!BV15</f>
        <v>91</v>
      </c>
      <c r="I10" s="808">
        <f>무선!BW15</f>
        <v>314</v>
      </c>
      <c r="J10" s="807">
        <f>무선!BX15</f>
        <v>0</v>
      </c>
      <c r="K10" s="807">
        <f>무선!BY15</f>
        <v>0</v>
      </c>
      <c r="L10" s="807">
        <f>무선!BZ15</f>
        <v>0</v>
      </c>
      <c r="M10" s="807">
        <f>무선!CA15</f>
        <v>0</v>
      </c>
      <c r="N10" s="807">
        <f>무선!CB15</f>
        <v>0</v>
      </c>
      <c r="O10" s="807">
        <f>무선!CC15</f>
        <v>0</v>
      </c>
      <c r="P10" s="808">
        <f>무선!CD15</f>
        <v>0</v>
      </c>
      <c r="Q10" s="824">
        <f t="shared" si="1"/>
        <v>562</v>
      </c>
    </row>
    <row r="11" spans="2:20" hidden="1">
      <c r="B11" s="3457"/>
      <c r="C11" s="2035"/>
      <c r="D11" s="2036" t="s">
        <v>462</v>
      </c>
      <c r="E11" s="806">
        <f>무선!BS18</f>
        <v>0</v>
      </c>
      <c r="F11" s="807">
        <f>무선!BT18</f>
        <v>0</v>
      </c>
      <c r="G11" s="807">
        <f>무선!BU18</f>
        <v>0</v>
      </c>
      <c r="H11" s="808">
        <f>무선!BV18</f>
        <v>2</v>
      </c>
      <c r="I11" s="808">
        <f>무선!BW18</f>
        <v>0</v>
      </c>
      <c r="J11" s="807">
        <f>무선!BX18</f>
        <v>0</v>
      </c>
      <c r="K11" s="807">
        <f>무선!BY18</f>
        <v>0</v>
      </c>
      <c r="L11" s="807">
        <f>무선!BZ18</f>
        <v>0</v>
      </c>
      <c r="M11" s="807">
        <f>무선!CA18</f>
        <v>0</v>
      </c>
      <c r="N11" s="807">
        <f>무선!CB18</f>
        <v>0</v>
      </c>
      <c r="O11" s="807">
        <f>무선!CC18</f>
        <v>0</v>
      </c>
      <c r="P11" s="808">
        <f>무선!CD18</f>
        <v>0</v>
      </c>
      <c r="Q11" s="824">
        <f t="shared" si="1"/>
        <v>2</v>
      </c>
    </row>
    <row r="12" spans="2:20" ht="16.5" thickBot="1">
      <c r="B12" s="3458"/>
      <c r="C12" s="3467" t="s">
        <v>741</v>
      </c>
      <c r="D12" s="3468"/>
      <c r="E12" s="2031">
        <f>무선!BS16+무선!BS17</f>
        <v>1227</v>
      </c>
      <c r="F12" s="2032">
        <f>무선!BT16+무선!BT17</f>
        <v>2219</v>
      </c>
      <c r="G12" s="2032">
        <f>무선!BU16+무선!BU17</f>
        <v>1885</v>
      </c>
      <c r="H12" s="2033">
        <f>무선!BV16+무선!BV17</f>
        <v>1124</v>
      </c>
      <c r="I12" s="2033">
        <f>무선!BW16+무선!BW17</f>
        <v>1682</v>
      </c>
      <c r="J12" s="2032">
        <f>무선!BX16+무선!BX17</f>
        <v>1278</v>
      </c>
      <c r="K12" s="2032">
        <f>무선!BY16+무선!BY17</f>
        <v>3359</v>
      </c>
      <c r="L12" s="2032">
        <f>무선!BZ16+무선!BZ17</f>
        <v>1055</v>
      </c>
      <c r="M12" s="2032">
        <f>무선!CA16+무선!CA17</f>
        <v>1745</v>
      </c>
      <c r="N12" s="2032">
        <f>무선!CB16+무선!CB17</f>
        <v>4370</v>
      </c>
      <c r="O12" s="2032">
        <f>무선!CC16+무선!CC17</f>
        <v>4049</v>
      </c>
      <c r="P12" s="2033">
        <f>무선!CD16+무선!CD17</f>
        <v>2958</v>
      </c>
      <c r="Q12" s="824">
        <f t="shared" si="1"/>
        <v>26951</v>
      </c>
      <c r="T12" s="2898"/>
    </row>
    <row r="13" spans="2:20" ht="10.5" customHeight="1"/>
    <row r="14" spans="2:20">
      <c r="D14" s="812" t="s">
        <v>504</v>
      </c>
      <c r="E14" s="813">
        <f>E4/$Q$4</f>
        <v>5.2454839843592033E-2</v>
      </c>
      <c r="F14" s="2030">
        <f t="shared" ref="F14:P14" si="2">F4/$Q$4</f>
        <v>0.10510099014828894</v>
      </c>
      <c r="G14" s="813">
        <f t="shared" si="2"/>
        <v>6.694621842988549E-2</v>
      </c>
      <c r="H14" s="813">
        <f t="shared" si="2"/>
        <v>7.276485611275807E-2</v>
      </c>
      <c r="I14" s="2030">
        <f t="shared" si="2"/>
        <v>9.8369350508761402E-2</v>
      </c>
      <c r="J14" s="813">
        <f t="shared" si="2"/>
        <v>7.9661364930148346E-2</v>
      </c>
      <c r="K14" s="2030">
        <f t="shared" si="2"/>
        <v>0.10702187160735005</v>
      </c>
      <c r="L14" s="813">
        <f t="shared" si="2"/>
        <v>7.7404523636951855E-2</v>
      </c>
      <c r="M14" s="2030">
        <f t="shared" si="2"/>
        <v>0.10799086686969425</v>
      </c>
      <c r="N14" s="813">
        <f t="shared" si="2"/>
        <v>8.7557976401932386E-2</v>
      </c>
      <c r="O14" s="813">
        <f t="shared" si="2"/>
        <v>7.2627983587739961E-2</v>
      </c>
      <c r="P14" s="813">
        <f t="shared" si="2"/>
        <v>7.2099157922897214E-2</v>
      </c>
    </row>
    <row r="15" spans="2:20">
      <c r="D15" s="812" t="s">
        <v>44</v>
      </c>
      <c r="E15" s="813">
        <f>E5/$Q$5</f>
        <v>5.3920771965464701E-2</v>
      </c>
      <c r="F15" s="813">
        <f t="shared" ref="F15:P15" si="3">F5/$Q$5</f>
        <v>0.11758760792280346</v>
      </c>
      <c r="G15" s="813">
        <f t="shared" si="3"/>
        <v>7.8283392585068556E-2</v>
      </c>
      <c r="H15" s="813">
        <f t="shared" si="3"/>
        <v>8.1899441340782128E-2</v>
      </c>
      <c r="I15" s="813">
        <f t="shared" si="3"/>
        <v>9.6759776536312847E-2</v>
      </c>
      <c r="J15" s="813">
        <f t="shared" si="3"/>
        <v>7.6648044692737421E-2</v>
      </c>
      <c r="K15" s="813">
        <f t="shared" si="3"/>
        <v>0.1171457592686643</v>
      </c>
      <c r="L15" s="813">
        <f t="shared" si="3"/>
        <v>7.92788217369223E-2</v>
      </c>
      <c r="M15" s="813">
        <f t="shared" si="3"/>
        <v>0.10896901980700863</v>
      </c>
      <c r="N15" s="813">
        <f t="shared" si="3"/>
        <v>7.0325038090401221E-2</v>
      </c>
      <c r="O15" s="813">
        <f t="shared" si="3"/>
        <v>6.1985779583544946E-2</v>
      </c>
      <c r="P15" s="813">
        <f t="shared" si="3"/>
        <v>5.7196546470289489E-2</v>
      </c>
      <c r="T15" s="2899"/>
    </row>
    <row r="16" spans="2:20">
      <c r="D16" s="812" t="s">
        <v>575</v>
      </c>
      <c r="E16" s="813">
        <f>E6/$Q$6</f>
        <v>5.7275541795665644E-2</v>
      </c>
      <c r="F16" s="813">
        <f t="shared" ref="F16:P16" si="4">F6/$Q$6</f>
        <v>0.17698658410732715</v>
      </c>
      <c r="G16" s="813">
        <f t="shared" si="4"/>
        <v>6.037151702786378E-2</v>
      </c>
      <c r="H16" s="813">
        <f t="shared" si="4"/>
        <v>6.2951496388028896E-2</v>
      </c>
      <c r="I16" s="813">
        <f t="shared" si="4"/>
        <v>8.8235294117647065E-2</v>
      </c>
      <c r="J16" s="813">
        <f t="shared" si="4"/>
        <v>6.3467492260061917E-2</v>
      </c>
      <c r="K16" s="813">
        <f t="shared" si="4"/>
        <v>0.13828689370485037</v>
      </c>
      <c r="L16" s="813">
        <f t="shared" si="4"/>
        <v>4.9019607843137254E-2</v>
      </c>
      <c r="M16" s="813">
        <f t="shared" si="4"/>
        <v>0.1021671826625387</v>
      </c>
      <c r="N16" s="813">
        <f t="shared" si="4"/>
        <v>9.5975232198142413E-2</v>
      </c>
      <c r="O16" s="813">
        <f t="shared" si="4"/>
        <v>6.7079463364293088E-2</v>
      </c>
      <c r="P16" s="813">
        <f t="shared" si="4"/>
        <v>3.8183694530443756E-2</v>
      </c>
    </row>
    <row r="17" spans="2:20">
      <c r="D17" s="812" t="s">
        <v>464</v>
      </c>
      <c r="E17" s="813">
        <f t="shared" ref="E17" si="5">E7/$Q$7</f>
        <v>5.633735022605766E-2</v>
      </c>
      <c r="F17" s="813">
        <f t="shared" ref="F17:P17" si="6">F7/$Q$7</f>
        <v>8.5757508036650568E-2</v>
      </c>
      <c r="G17" s="813">
        <f t="shared" si="6"/>
        <v>6.2636021385226309E-2</v>
      </c>
      <c r="H17" s="813">
        <f t="shared" si="6"/>
        <v>7.4256932148321325E-2</v>
      </c>
      <c r="I17" s="813">
        <f t="shared" si="6"/>
        <v>0.11190455725361434</v>
      </c>
      <c r="J17" s="813">
        <f t="shared" si="6"/>
        <v>9.3386739096800814E-2</v>
      </c>
      <c r="K17" s="813">
        <f t="shared" si="6"/>
        <v>0.10101253201767202</v>
      </c>
      <c r="L17" s="813">
        <f t="shared" si="6"/>
        <v>8.0913169792508288E-2</v>
      </c>
      <c r="M17" s="813">
        <f t="shared" si="6"/>
        <v>8.989358958931426E-2</v>
      </c>
      <c r="N17" s="813">
        <f t="shared" si="6"/>
        <v>8.9274724519090271E-2</v>
      </c>
      <c r="O17" s="813">
        <f t="shared" si="6"/>
        <v>7.4628251190455727E-2</v>
      </c>
      <c r="P17" s="813">
        <f t="shared" si="6"/>
        <v>7.9998624744288385E-2</v>
      </c>
    </row>
    <row r="18" spans="2:20">
      <c r="D18" s="812" t="s">
        <v>577</v>
      </c>
      <c r="E18" s="813">
        <f>E8/$Q$8</f>
        <v>4.2632037374297251E-2</v>
      </c>
      <c r="F18" s="813">
        <f t="shared" ref="F18:P18" si="7">F8/$Q$8</f>
        <v>0.13393776229313484</v>
      </c>
      <c r="G18" s="813">
        <f t="shared" si="7"/>
        <v>5.8658642806239607E-2</v>
      </c>
      <c r="H18" s="813">
        <f t="shared" si="7"/>
        <v>6.1865547549291314E-2</v>
      </c>
      <c r="I18" s="813">
        <f t="shared" si="7"/>
        <v>7.7535830232005706E-2</v>
      </c>
      <c r="J18" s="813">
        <f t="shared" si="7"/>
        <v>5.9878058436930871E-2</v>
      </c>
      <c r="K18" s="813">
        <f t="shared" si="7"/>
        <v>0.10083933803151476</v>
      </c>
      <c r="L18" s="813">
        <f t="shared" si="7"/>
        <v>7.5001979570829047E-2</v>
      </c>
      <c r="M18" s="813">
        <f t="shared" si="7"/>
        <v>0.15746298202549688</v>
      </c>
      <c r="N18" s="813">
        <f t="shared" si="7"/>
        <v>9.442552854541135E-2</v>
      </c>
      <c r="O18" s="813">
        <f t="shared" si="7"/>
        <v>6.8136827935703539E-2</v>
      </c>
      <c r="P18" s="813">
        <f t="shared" si="7"/>
        <v>6.9625465199144823E-2</v>
      </c>
    </row>
    <row r="19" spans="2:20" hidden="1">
      <c r="D19" s="812" t="s">
        <v>465</v>
      </c>
      <c r="E19" s="813">
        <f t="shared" ref="E19" si="8">E9/$Q$9</f>
        <v>4.1899974548231099E-2</v>
      </c>
      <c r="F19" s="813">
        <f t="shared" ref="F19:P19" si="9">F9/$Q$9</f>
        <v>0.13425808093662508</v>
      </c>
      <c r="G19" s="813">
        <f t="shared" si="9"/>
        <v>5.8873122932043775E-2</v>
      </c>
      <c r="H19" s="813">
        <f t="shared" si="9"/>
        <v>6.1418299821837614E-2</v>
      </c>
      <c r="I19" s="813">
        <f t="shared" si="9"/>
        <v>7.5384958004581323E-2</v>
      </c>
      <c r="J19" s="813">
        <f t="shared" si="9"/>
        <v>6.0145711376940698E-2</v>
      </c>
      <c r="K19" s="813">
        <f t="shared" si="9"/>
        <v>0.10129008653601425</v>
      </c>
      <c r="L19" s="813">
        <f t="shared" si="9"/>
        <v>7.5337235937897679E-2</v>
      </c>
      <c r="M19" s="813">
        <f t="shared" si="9"/>
        <v>0.15816683634512599</v>
      </c>
      <c r="N19" s="813">
        <f t="shared" si="9"/>
        <v>9.4847607533723594E-2</v>
      </c>
      <c r="O19" s="813">
        <f t="shared" si="9"/>
        <v>6.8441397302112503E-2</v>
      </c>
      <c r="P19" s="813">
        <f t="shared" si="9"/>
        <v>6.9936688724866372E-2</v>
      </c>
    </row>
    <row r="20" spans="2:20" hidden="1">
      <c r="D20" s="812" t="s">
        <v>463</v>
      </c>
      <c r="E20" s="813">
        <f t="shared" ref="E20" si="10">E10/$Q$10</f>
        <v>0.20640569395017794</v>
      </c>
      <c r="F20" s="813">
        <f t="shared" ref="F20:P20" si="11">F10/$Q$10</f>
        <v>6.2277580071174378E-2</v>
      </c>
      <c r="G20" s="813">
        <f t="shared" si="11"/>
        <v>1.0676156583629894E-2</v>
      </c>
      <c r="H20" s="813">
        <f t="shared" si="11"/>
        <v>0.16192170818505339</v>
      </c>
      <c r="I20" s="813">
        <f t="shared" si="11"/>
        <v>0.55871886120996439</v>
      </c>
      <c r="J20" s="813">
        <f t="shared" si="11"/>
        <v>0</v>
      </c>
      <c r="K20" s="813">
        <f t="shared" si="11"/>
        <v>0</v>
      </c>
      <c r="L20" s="813">
        <f t="shared" si="11"/>
        <v>0</v>
      </c>
      <c r="M20" s="813">
        <f t="shared" si="11"/>
        <v>0</v>
      </c>
      <c r="N20" s="813">
        <f t="shared" si="11"/>
        <v>0</v>
      </c>
      <c r="O20" s="813">
        <f t="shared" si="11"/>
        <v>0</v>
      </c>
      <c r="P20" s="813">
        <f t="shared" si="11"/>
        <v>0</v>
      </c>
    </row>
    <row r="21" spans="2:20" hidden="1">
      <c r="D21" s="812" t="s">
        <v>462</v>
      </c>
      <c r="E21" s="813">
        <f t="shared" ref="E21" si="12">E11/$Q$11</f>
        <v>0</v>
      </c>
      <c r="F21" s="813">
        <f t="shared" ref="F21:P21" si="13">F11/$Q$11</f>
        <v>0</v>
      </c>
      <c r="G21" s="813">
        <f t="shared" si="13"/>
        <v>0</v>
      </c>
      <c r="H21" s="813">
        <f t="shared" si="13"/>
        <v>1</v>
      </c>
      <c r="I21" s="813">
        <f t="shared" si="13"/>
        <v>0</v>
      </c>
      <c r="J21" s="813">
        <f t="shared" si="13"/>
        <v>0</v>
      </c>
      <c r="K21" s="813">
        <f t="shared" si="13"/>
        <v>0</v>
      </c>
      <c r="L21" s="813">
        <f t="shared" si="13"/>
        <v>0</v>
      </c>
      <c r="M21" s="813">
        <f t="shared" si="13"/>
        <v>0</v>
      </c>
      <c r="N21" s="813">
        <f t="shared" si="13"/>
        <v>0</v>
      </c>
      <c r="O21" s="813">
        <f t="shared" si="13"/>
        <v>0</v>
      </c>
      <c r="P21" s="813">
        <f t="shared" si="13"/>
        <v>0</v>
      </c>
    </row>
    <row r="22" spans="2:20">
      <c r="D22" s="2034" t="s">
        <v>748</v>
      </c>
      <c r="E22" s="813">
        <f>E12/$Q$12</f>
        <v>4.5527067641274906E-2</v>
      </c>
      <c r="F22" s="813">
        <f t="shared" ref="F22:P22" si="14">F12/$Q$12</f>
        <v>8.23346072501948E-2</v>
      </c>
      <c r="G22" s="813">
        <f t="shared" si="14"/>
        <v>6.9941746131868945E-2</v>
      </c>
      <c r="H22" s="813">
        <f t="shared" si="14"/>
        <v>4.1705317056881006E-2</v>
      </c>
      <c r="I22" s="813">
        <f t="shared" si="14"/>
        <v>6.2409558086898444E-2</v>
      </c>
      <c r="J22" s="813">
        <f t="shared" si="14"/>
        <v>4.7419390746168973E-2</v>
      </c>
      <c r="K22" s="813">
        <f t="shared" si="14"/>
        <v>0.12463359430076806</v>
      </c>
      <c r="L22" s="813">
        <f t="shared" si="14"/>
        <v>3.9145115209083148E-2</v>
      </c>
      <c r="M22" s="813">
        <f t="shared" si="14"/>
        <v>6.4747133687061711E-2</v>
      </c>
      <c r="N22" s="813">
        <f t="shared" si="14"/>
        <v>0.1621461170271975</v>
      </c>
      <c r="O22" s="813">
        <f t="shared" si="14"/>
        <v>0.15023561277874661</v>
      </c>
      <c r="P22" s="813">
        <f t="shared" si="14"/>
        <v>0.10975474008385588</v>
      </c>
    </row>
    <row r="23" spans="2:20" ht="16.5" thickBot="1"/>
    <row r="24" spans="2:20" ht="17.5" customHeight="1">
      <c r="B24" s="3450" t="s">
        <v>0</v>
      </c>
      <c r="C24" s="3450"/>
      <c r="D24" s="3451"/>
      <c r="E24" s="3454" t="s">
        <v>834</v>
      </c>
      <c r="F24" s="3455"/>
      <c r="G24" s="3455"/>
      <c r="H24" s="3455"/>
      <c r="I24" s="3455"/>
      <c r="J24" s="3455"/>
      <c r="K24" s="3455"/>
      <c r="L24" s="3455"/>
      <c r="M24" s="3455"/>
      <c r="N24" s="3455"/>
      <c r="O24" s="3455"/>
      <c r="P24" s="3455"/>
    </row>
    <row r="25" spans="2:20" ht="17.5" customHeight="1">
      <c r="B25" s="3452"/>
      <c r="C25" s="3452"/>
      <c r="D25" s="3453"/>
      <c r="E25" s="2996" t="s">
        <v>745</v>
      </c>
      <c r="F25" s="2584" t="s">
        <v>746</v>
      </c>
      <c r="G25" s="2583" t="s">
        <v>747</v>
      </c>
      <c r="H25" s="2584" t="s">
        <v>705</v>
      </c>
      <c r="I25" s="2584" t="s">
        <v>703</v>
      </c>
      <c r="J25" s="2584" t="s">
        <v>701</v>
      </c>
      <c r="K25" s="2583" t="s">
        <v>687</v>
      </c>
      <c r="L25" s="2584" t="s">
        <v>689</v>
      </c>
      <c r="M25" s="2583" t="s">
        <v>691</v>
      </c>
      <c r="N25" s="2584" t="s">
        <v>693</v>
      </c>
      <c r="O25" s="2584" t="s">
        <v>695</v>
      </c>
      <c r="P25" s="2584" t="s">
        <v>697</v>
      </c>
      <c r="Q25" s="823" t="s">
        <v>123</v>
      </c>
    </row>
    <row r="26" spans="2:20" ht="16" customHeight="1">
      <c r="B26" s="3456" t="s">
        <v>743</v>
      </c>
      <c r="C26" s="3459" t="s">
        <v>460</v>
      </c>
      <c r="D26" s="3460"/>
      <c r="E26" s="2174">
        <f>E27+E29+E30+E34+E28</f>
        <v>58967.316964582125</v>
      </c>
      <c r="F26" s="2175">
        <f t="shared" ref="F26:P26" si="15">F27+F29+F30+F34+F28</f>
        <v>48000.171381720662</v>
      </c>
      <c r="G26" s="2175">
        <f t="shared" si="15"/>
        <v>63707.181395704567</v>
      </c>
      <c r="H26" s="2176">
        <f t="shared" si="15"/>
        <v>51132.050496747579</v>
      </c>
      <c r="I26" s="2176">
        <f t="shared" si="15"/>
        <v>51074.399350943771</v>
      </c>
      <c r="J26" s="2175">
        <f t="shared" si="15"/>
        <v>50463.68282564931</v>
      </c>
      <c r="K26" s="2175">
        <f t="shared" si="15"/>
        <v>66509.988375232235</v>
      </c>
      <c r="L26" s="2175">
        <f t="shared" si="15"/>
        <v>52643.600975027068</v>
      </c>
      <c r="M26" s="2175">
        <f t="shared" si="15"/>
        <v>70415.594657419992</v>
      </c>
      <c r="N26" s="2175">
        <f t="shared" si="15"/>
        <v>57272.418810577583</v>
      </c>
      <c r="O26" s="2175">
        <f t="shared" si="15"/>
        <v>53295.916234386146</v>
      </c>
      <c r="P26" s="2176">
        <f t="shared" si="15"/>
        <v>46517.929484372879</v>
      </c>
      <c r="Q26" s="824">
        <f>SUM(E26:P26)</f>
        <v>670000.25095236395</v>
      </c>
      <c r="T26" s="2898"/>
    </row>
    <row r="27" spans="2:20">
      <c r="B27" s="3457"/>
      <c r="C27" s="3461" t="s">
        <v>44</v>
      </c>
      <c r="D27" s="3462"/>
      <c r="E27" s="2130">
        <f>무선!CF10</f>
        <v>18070.277251893101</v>
      </c>
      <c r="F27" s="2131">
        <f>무선!CG10</f>
        <v>14605.130716793701</v>
      </c>
      <c r="G27" s="2131">
        <f>무선!CH10</f>
        <v>21966.103392152301</v>
      </c>
      <c r="H27" s="2132">
        <f>무선!CI10</f>
        <v>16105.944435656022</v>
      </c>
      <c r="I27" s="2132">
        <f>무선!CJ10</f>
        <v>16333.874325461229</v>
      </c>
      <c r="J27" s="2131">
        <f>무선!CK10</f>
        <v>14744.97176029738</v>
      </c>
      <c r="K27" s="2131">
        <f>무선!CL10</f>
        <v>22498.992455989577</v>
      </c>
      <c r="L27" s="2131">
        <f>무선!CM10</f>
        <v>16402.143181344916</v>
      </c>
      <c r="M27" s="2131">
        <f>무선!CN10</f>
        <v>21173.255319151547</v>
      </c>
      <c r="N27" s="2131">
        <f>무선!CO10</f>
        <v>15405.4465130812</v>
      </c>
      <c r="O27" s="2131">
        <f>무선!CP10</f>
        <v>14958.587212578592</v>
      </c>
      <c r="P27" s="2132">
        <f>무선!CQ10</f>
        <v>13994.2059400545</v>
      </c>
      <c r="Q27" s="824">
        <f t="shared" ref="Q27:Q34" si="16">SUM(E27:P27)</f>
        <v>206258.93250445407</v>
      </c>
      <c r="T27" s="2898"/>
    </row>
    <row r="28" spans="2:20">
      <c r="B28" s="3457"/>
      <c r="C28" s="3463" t="s">
        <v>575</v>
      </c>
      <c r="D28" s="3464"/>
      <c r="E28" s="806">
        <f>무선!CF11</f>
        <v>200</v>
      </c>
      <c r="F28" s="807">
        <f>무선!CG11</f>
        <v>141.59216340604672</v>
      </c>
      <c r="G28" s="807">
        <f>무선!CH11</f>
        <v>342.63858905316903</v>
      </c>
      <c r="H28" s="808">
        <f>무선!CI11</f>
        <v>139.65570805972791</v>
      </c>
      <c r="I28" s="808">
        <f>무선!CJ11</f>
        <v>156.74693506732399</v>
      </c>
      <c r="J28" s="807">
        <f>무선!CK11</f>
        <v>148.80042697824999</v>
      </c>
      <c r="K28" s="807">
        <f>무선!CL11</f>
        <v>306.78467016399242</v>
      </c>
      <c r="L28" s="807">
        <f>무선!CM11</f>
        <v>141.59216340604672</v>
      </c>
      <c r="M28" s="807">
        <f>무선!CN11</f>
        <v>173.05708860739</v>
      </c>
      <c r="N28" s="807">
        <f>무선!CO11</f>
        <v>141.59216340604672</v>
      </c>
      <c r="O28" s="807">
        <f>무선!CP11</f>
        <v>104.33106777287649</v>
      </c>
      <c r="P28" s="808">
        <f>무선!CQ11</f>
        <v>76.581989978199957</v>
      </c>
      <c r="Q28" s="824">
        <f t="shared" si="16"/>
        <v>2073.3729658990696</v>
      </c>
    </row>
    <row r="29" spans="2:20">
      <c r="B29" s="3457"/>
      <c r="C29" s="3463" t="s">
        <v>15</v>
      </c>
      <c r="D29" s="3464"/>
      <c r="E29" s="806">
        <f>무선!CF9</f>
        <v>28419</v>
      </c>
      <c r="F29" s="807">
        <f>무선!CG9</f>
        <v>20844.17181187019</v>
      </c>
      <c r="G29" s="807">
        <f>무선!CH9</f>
        <v>25287.556374346335</v>
      </c>
      <c r="H29" s="808">
        <f>무선!CI9</f>
        <v>23082.587891403622</v>
      </c>
      <c r="I29" s="808">
        <f>무선!CJ9</f>
        <v>23018.265590267609</v>
      </c>
      <c r="J29" s="807">
        <f>무선!CK9</f>
        <v>23334.73131185682</v>
      </c>
      <c r="K29" s="807">
        <f>무선!CL9</f>
        <v>27926.057166945804</v>
      </c>
      <c r="L29" s="807">
        <f>무선!CM9</f>
        <v>22308.147385725966</v>
      </c>
      <c r="M29" s="807">
        <f>무선!CN9</f>
        <v>26660.625720935201</v>
      </c>
      <c r="N29" s="807">
        <f>무선!CO9</f>
        <v>25081.725010711078</v>
      </c>
      <c r="O29" s="807">
        <f>무선!CP9</f>
        <v>25524.262442526884</v>
      </c>
      <c r="P29" s="808">
        <f>무선!CQ9</f>
        <v>20244.256524936201</v>
      </c>
      <c r="Q29" s="824">
        <f t="shared" si="16"/>
        <v>291731.38723152567</v>
      </c>
    </row>
    <row r="30" spans="2:20">
      <c r="B30" s="3457"/>
      <c r="C30" s="3465" t="s">
        <v>577</v>
      </c>
      <c r="D30" s="3466"/>
      <c r="E30" s="806">
        <f>무선!CF14+무선!CF15+무선!CF18</f>
        <v>9644.3980460223502</v>
      </c>
      <c r="F30" s="807">
        <f>무선!CG14+무선!CG15+무선!CG18</f>
        <v>9775.63502298407</v>
      </c>
      <c r="G30" s="807">
        <f>무선!CH14+무선!CH15+무선!CH18</f>
        <v>13727.2413734861</v>
      </c>
      <c r="H30" s="808">
        <f>무선!CI14+무선!CI15+무선!CI18</f>
        <v>9420.2207949615495</v>
      </c>
      <c r="I30" s="808">
        <f>무선!CJ14+무선!CJ15+무선!CJ18</f>
        <v>9181.8708334809417</v>
      </c>
      <c r="J30" s="807">
        <f>무선!CK14+무선!CK15+무선!CK18</f>
        <v>9851.5376598502007</v>
      </c>
      <c r="K30" s="807">
        <f>무선!CL14+무선!CL15+무선!CL18</f>
        <v>13144.512415466201</v>
      </c>
      <c r="L30" s="807">
        <f>무선!CM14+무선!CM15+무선!CM18</f>
        <v>11408.076577883474</v>
      </c>
      <c r="M30" s="807">
        <f>무선!CN14+무선!CN15+무선!CN18</f>
        <v>18994.514862059201</v>
      </c>
      <c r="N30" s="807">
        <f>무선!CO14+무선!CO15+무선!CO18</f>
        <v>12679.513456712601</v>
      </c>
      <c r="O30" s="807">
        <f>무선!CP14+무선!CP15+무선!CP18</f>
        <v>10325.093844841131</v>
      </c>
      <c r="P30" s="808">
        <f>무선!CQ14+무선!CQ15+무선!CQ18</f>
        <v>9819.2433627373102</v>
      </c>
      <c r="Q30" s="824">
        <f t="shared" si="16"/>
        <v>137971.85825048512</v>
      </c>
    </row>
    <row r="31" spans="2:20" ht="16" hidden="1" customHeight="1">
      <c r="B31" s="3457"/>
      <c r="C31" s="805"/>
      <c r="D31" s="2036" t="s">
        <v>556</v>
      </c>
      <c r="E31" s="806">
        <f>무선!CF14</f>
        <v>9644.3980460223502</v>
      </c>
      <c r="F31" s="807">
        <f>무선!CG14</f>
        <v>9775.63502298407</v>
      </c>
      <c r="G31" s="807">
        <f>무선!CH14</f>
        <v>13727.2413734861</v>
      </c>
      <c r="H31" s="808">
        <f>무선!CI14</f>
        <v>9420.2207949615495</v>
      </c>
      <c r="I31" s="808">
        <f>무선!CJ14</f>
        <v>9181.8708334809417</v>
      </c>
      <c r="J31" s="807">
        <f>무선!CK14</f>
        <v>9851.5376598502007</v>
      </c>
      <c r="K31" s="807">
        <f>무선!CL14</f>
        <v>13144.512415466201</v>
      </c>
      <c r="L31" s="807">
        <f>무선!CM14</f>
        <v>11408.076577883474</v>
      </c>
      <c r="M31" s="807">
        <f>무선!CN14</f>
        <v>18994.514862059201</v>
      </c>
      <c r="N31" s="807">
        <f>무선!CO14</f>
        <v>12679.513456712601</v>
      </c>
      <c r="O31" s="807">
        <f>무선!CP14</f>
        <v>10325.093844841131</v>
      </c>
      <c r="P31" s="808">
        <f>무선!CQ14</f>
        <v>9819.2433627373102</v>
      </c>
      <c r="Q31" s="824">
        <f t="shared" si="16"/>
        <v>137971.85825048512</v>
      </c>
    </row>
    <row r="32" spans="2:20" ht="16" hidden="1" customHeight="1">
      <c r="B32" s="3457"/>
      <c r="C32" s="805"/>
      <c r="D32" s="2036" t="s">
        <v>17</v>
      </c>
      <c r="E32" s="806">
        <f>무선!CF15</f>
        <v>0</v>
      </c>
      <c r="F32" s="807">
        <f>무선!CG15</f>
        <v>0</v>
      </c>
      <c r="G32" s="807">
        <f>무선!CH15</f>
        <v>0</v>
      </c>
      <c r="H32" s="808">
        <f>무선!CI15</f>
        <v>0</v>
      </c>
      <c r="I32" s="808">
        <f>무선!CJ15</f>
        <v>0</v>
      </c>
      <c r="J32" s="807">
        <f>무선!CK15</f>
        <v>0</v>
      </c>
      <c r="K32" s="807">
        <f>무선!CL15</f>
        <v>0</v>
      </c>
      <c r="L32" s="807">
        <f>무선!CM15</f>
        <v>0</v>
      </c>
      <c r="M32" s="807">
        <f>무선!CN15</f>
        <v>0</v>
      </c>
      <c r="N32" s="807">
        <f>무선!CO15</f>
        <v>0</v>
      </c>
      <c r="O32" s="807">
        <f>무선!CP15</f>
        <v>0</v>
      </c>
      <c r="P32" s="808">
        <f>무선!CQ15</f>
        <v>0</v>
      </c>
      <c r="Q32" s="824">
        <f t="shared" si="16"/>
        <v>0</v>
      </c>
    </row>
    <row r="33" spans="2:17" ht="16" hidden="1" customHeight="1">
      <c r="B33" s="3457"/>
      <c r="C33" s="2035"/>
      <c r="D33" s="2036" t="s">
        <v>462</v>
      </c>
      <c r="E33" s="806">
        <f>무선!CF18</f>
        <v>0</v>
      </c>
      <c r="F33" s="807">
        <f>무선!CG18</f>
        <v>0</v>
      </c>
      <c r="G33" s="807">
        <f>무선!CH18</f>
        <v>0</v>
      </c>
      <c r="H33" s="808">
        <f>무선!CI18</f>
        <v>0</v>
      </c>
      <c r="I33" s="808">
        <f>무선!CJ18</f>
        <v>0</v>
      </c>
      <c r="J33" s="807">
        <f>무선!CK18</f>
        <v>0</v>
      </c>
      <c r="K33" s="807">
        <f>무선!CL18</f>
        <v>0</v>
      </c>
      <c r="L33" s="807">
        <f>무선!CM18</f>
        <v>0</v>
      </c>
      <c r="M33" s="807">
        <f>무선!CN18</f>
        <v>0</v>
      </c>
      <c r="N33" s="807">
        <f>무선!CO18</f>
        <v>0</v>
      </c>
      <c r="O33" s="807">
        <f>무선!CP18</f>
        <v>0</v>
      </c>
      <c r="P33" s="808">
        <f>무선!CQ18</f>
        <v>0</v>
      </c>
      <c r="Q33" s="824">
        <f t="shared" si="16"/>
        <v>0</v>
      </c>
    </row>
    <row r="34" spans="2:17" ht="16.5" thickBot="1">
      <c r="B34" s="3458"/>
      <c r="C34" s="3467" t="s">
        <v>741</v>
      </c>
      <c r="D34" s="3468"/>
      <c r="E34" s="2031">
        <f>무선!CF16+무선!CF17</f>
        <v>2633.6416666666701</v>
      </c>
      <c r="F34" s="2032">
        <f>무선!CG16+무선!CG17</f>
        <v>2633.641666666666</v>
      </c>
      <c r="G34" s="2032">
        <f>무선!CH16+무선!CH17</f>
        <v>2383.641666666666</v>
      </c>
      <c r="H34" s="2033">
        <f>무선!CI16+무선!CI17</f>
        <v>2383.641666666666</v>
      </c>
      <c r="I34" s="2033">
        <f>무선!CJ16+무선!CJ17</f>
        <v>2383.641666666666</v>
      </c>
      <c r="J34" s="2032">
        <f>무선!CK16+무선!CK17</f>
        <v>2383.641666666666</v>
      </c>
      <c r="K34" s="2032">
        <f>무선!CL16+무선!CL17</f>
        <v>2633.641666666666</v>
      </c>
      <c r="L34" s="2032">
        <f>무선!CM16+무선!CM17</f>
        <v>2383.641666666666</v>
      </c>
      <c r="M34" s="2032">
        <f>무선!CN16+무선!CN17</f>
        <v>3414.1416666666664</v>
      </c>
      <c r="N34" s="2032">
        <f>무선!CO16+무선!CO17</f>
        <v>3964.141666666666</v>
      </c>
      <c r="O34" s="2032">
        <f>무선!CP16+무선!CP17</f>
        <v>2383.641666666666</v>
      </c>
      <c r="P34" s="2033">
        <f>무선!CQ16+무선!CQ17</f>
        <v>2383.641666666666</v>
      </c>
      <c r="Q34" s="824">
        <f t="shared" si="16"/>
        <v>31964.7</v>
      </c>
    </row>
    <row r="35" spans="2:17" ht="10.5" customHeight="1"/>
    <row r="36" spans="2:17">
      <c r="D36" s="812" t="s">
        <v>14</v>
      </c>
      <c r="E36" s="2537">
        <f>E26/$Q$4</f>
        <v>9.1715972346433888E-2</v>
      </c>
      <c r="F36" s="2537">
        <f t="shared" ref="F36:P36" si="17">F26/$Q$4</f>
        <v>7.465800748089331E-2</v>
      </c>
      <c r="G36" s="2030">
        <f t="shared" si="17"/>
        <v>9.9088213402471426E-2</v>
      </c>
      <c r="H36" s="813">
        <f t="shared" si="17"/>
        <v>7.9529237055043875E-2</v>
      </c>
      <c r="I36" s="813">
        <f t="shared" si="17"/>
        <v>7.9439568215312575E-2</v>
      </c>
      <c r="J36" s="813">
        <f t="shared" si="17"/>
        <v>7.8489678296138191E-2</v>
      </c>
      <c r="K36" s="2030">
        <f t="shared" si="17"/>
        <v>0.10344761418004372</v>
      </c>
      <c r="L36" s="813">
        <f t="shared" si="17"/>
        <v>8.1880256721571842E-2</v>
      </c>
      <c r="M36" s="2030">
        <f t="shared" si="17"/>
        <v>0.10952227547060817</v>
      </c>
      <c r="N36" s="813">
        <f t="shared" si="17"/>
        <v>8.9079779278398066E-2</v>
      </c>
      <c r="O36" s="813">
        <f t="shared" si="17"/>
        <v>8.2894848047211922E-2</v>
      </c>
      <c r="P36" s="813">
        <f t="shared" si="17"/>
        <v>7.2352573490238312E-2</v>
      </c>
    </row>
    <row r="37" spans="2:17">
      <c r="D37" s="812" t="s">
        <v>44</v>
      </c>
      <c r="E37" s="813">
        <f>E27/$Q$5</f>
        <v>9.177388142149874E-2</v>
      </c>
      <c r="F37" s="813">
        <f t="shared" ref="F37:P37" si="18">F27/$Q$5</f>
        <v>7.4175371847606406E-2</v>
      </c>
      <c r="G37" s="813">
        <f t="shared" si="18"/>
        <v>0.11155969218970188</v>
      </c>
      <c r="H37" s="813">
        <f t="shared" si="18"/>
        <v>8.179758474177766E-2</v>
      </c>
      <c r="I37" s="813">
        <f t="shared" si="18"/>
        <v>8.2955176868772115E-2</v>
      </c>
      <c r="J37" s="813">
        <f t="shared" si="18"/>
        <v>7.488558537479624E-2</v>
      </c>
      <c r="K37" s="813">
        <f t="shared" si="18"/>
        <v>0.11426608662259816</v>
      </c>
      <c r="L37" s="813">
        <f t="shared" si="18"/>
        <v>8.3301895283620697E-2</v>
      </c>
      <c r="M37" s="813">
        <f t="shared" si="18"/>
        <v>0.10753303869553858</v>
      </c>
      <c r="N37" s="813">
        <f t="shared" si="18"/>
        <v>7.8239951818594208E-2</v>
      </c>
      <c r="O37" s="813">
        <f t="shared" si="18"/>
        <v>7.5970478479322451E-2</v>
      </c>
      <c r="P37" s="813">
        <f t="shared" si="18"/>
        <v>7.1072655866198584E-2</v>
      </c>
    </row>
    <row r="38" spans="2:17">
      <c r="D38" s="812" t="s">
        <v>575</v>
      </c>
      <c r="E38" s="813">
        <f>E28/$Q$6</f>
        <v>0.10319917440660474</v>
      </c>
      <c r="F38" s="813">
        <f t="shared" ref="F38:P38" si="19">F28/$Q$6</f>
        <v>7.3060971829745469E-2</v>
      </c>
      <c r="G38" s="813">
        <f t="shared" si="19"/>
        <v>0.17680009755065482</v>
      </c>
      <c r="H38" s="813">
        <f t="shared" si="19"/>
        <v>7.2061768864668682E-2</v>
      </c>
      <c r="I38" s="813">
        <f t="shared" si="19"/>
        <v>8.088077144856759E-2</v>
      </c>
      <c r="J38" s="813">
        <f t="shared" si="19"/>
        <v>7.6780406077528368E-2</v>
      </c>
      <c r="K38" s="813">
        <f t="shared" si="19"/>
        <v>0.15829962340763282</v>
      </c>
      <c r="L38" s="813">
        <f t="shared" si="19"/>
        <v>7.3060971829745469E-2</v>
      </c>
      <c r="M38" s="813">
        <f t="shared" si="19"/>
        <v>8.9296743347466456E-2</v>
      </c>
      <c r="N38" s="813">
        <f t="shared" si="19"/>
        <v>7.3060971829745469E-2</v>
      </c>
      <c r="O38" s="813">
        <f t="shared" si="19"/>
        <v>5.3834400295601909E-2</v>
      </c>
      <c r="P38" s="813">
        <f t="shared" si="19"/>
        <v>3.9515990700825572E-2</v>
      </c>
    </row>
    <row r="39" spans="2:17">
      <c r="D39" s="812" t="s">
        <v>42</v>
      </c>
      <c r="E39" s="813">
        <f t="shared" ref="E39:P39" si="20">E29/$Q$7</f>
        <v>9.7708480170531714E-2</v>
      </c>
      <c r="F39" s="813">
        <f t="shared" si="20"/>
        <v>7.1665165845078094E-2</v>
      </c>
      <c r="G39" s="813">
        <f t="shared" si="20"/>
        <v>8.6942140841128168E-2</v>
      </c>
      <c r="H39" s="813">
        <f t="shared" si="20"/>
        <v>7.9361152090916862E-2</v>
      </c>
      <c r="I39" s="813">
        <f t="shared" si="20"/>
        <v>7.9140003060864036E-2</v>
      </c>
      <c r="J39" s="813">
        <f t="shared" si="20"/>
        <v>8.0228056288724009E-2</v>
      </c>
      <c r="K39" s="813">
        <f t="shared" si="20"/>
        <v>9.6013674053895603E-2</v>
      </c>
      <c r="L39" s="813">
        <f t="shared" si="20"/>
        <v>7.6698517769080696E-2</v>
      </c>
      <c r="M39" s="813">
        <f t="shared" si="20"/>
        <v>9.1662944494456694E-2</v>
      </c>
      <c r="N39" s="813">
        <f t="shared" si="20"/>
        <v>8.6234463944959094E-2</v>
      </c>
      <c r="O39" s="813">
        <f t="shared" si="20"/>
        <v>8.775596927172262E-2</v>
      </c>
      <c r="P39" s="813">
        <f t="shared" si="20"/>
        <v>6.9602573532984477E-2</v>
      </c>
    </row>
    <row r="40" spans="2:17">
      <c r="D40" s="812" t="s">
        <v>740</v>
      </c>
      <c r="E40" s="813">
        <f>E30/$Q$8</f>
        <v>7.6367076142389342E-2</v>
      </c>
      <c r="F40" s="813">
        <f t="shared" ref="F40:P40" si="21">F30/$Q$8</f>
        <v>7.7406247707530837E-2</v>
      </c>
      <c r="G40" s="813">
        <f t="shared" si="21"/>
        <v>0.10869618634481036</v>
      </c>
      <c r="H40" s="813">
        <f t="shared" si="21"/>
        <v>7.4591977155448172E-2</v>
      </c>
      <c r="I40" s="813">
        <f t="shared" si="21"/>
        <v>7.2704654632044827E-2</v>
      </c>
      <c r="J40" s="813">
        <f t="shared" si="21"/>
        <v>7.8007266290681776E-2</v>
      </c>
      <c r="K40" s="813">
        <f t="shared" si="21"/>
        <v>0.10408197335866815</v>
      </c>
      <c r="L40" s="813">
        <f t="shared" si="21"/>
        <v>9.0332382436324923E-2</v>
      </c>
      <c r="M40" s="813">
        <f t="shared" si="21"/>
        <v>0.15040395013112046</v>
      </c>
      <c r="N40" s="813">
        <f t="shared" si="21"/>
        <v>0.10039997986152982</v>
      </c>
      <c r="O40" s="813">
        <f t="shared" si="21"/>
        <v>8.1757018329567901E-2</v>
      </c>
      <c r="P40" s="813">
        <f t="shared" si="21"/>
        <v>7.7751550896645108E-2</v>
      </c>
    </row>
    <row r="41" spans="2:17" hidden="1">
      <c r="D41" s="812" t="s">
        <v>465</v>
      </c>
      <c r="E41" s="813">
        <f t="shared" ref="E41:P41" si="22">E31/$Q$9</f>
        <v>7.6708434445965493E-2</v>
      </c>
      <c r="F41" s="813">
        <f t="shared" si="22"/>
        <v>7.7752251073619799E-2</v>
      </c>
      <c r="G41" s="813">
        <f t="shared" si="22"/>
        <v>0.10918205470130839</v>
      </c>
      <c r="H41" s="813">
        <f t="shared" si="22"/>
        <v>7.4925400825285926E-2</v>
      </c>
      <c r="I41" s="813">
        <f t="shared" si="22"/>
        <v>7.3029642032649389E-2</v>
      </c>
      <c r="J41" s="813">
        <f t="shared" si="22"/>
        <v>7.8355956189951323E-2</v>
      </c>
      <c r="K41" s="813">
        <f t="shared" si="22"/>
        <v>0.10454721633578996</v>
      </c>
      <c r="L41" s="813">
        <f t="shared" si="22"/>
        <v>9.0736165196960691E-2</v>
      </c>
      <c r="M41" s="813">
        <f t="shared" si="22"/>
        <v>0.151076250811746</v>
      </c>
      <c r="N41" s="813">
        <f t="shared" si="22"/>
        <v>0.10084876444954664</v>
      </c>
      <c r="O41" s="813">
        <f t="shared" si="22"/>
        <v>8.2122469496382119E-2</v>
      </c>
      <c r="P41" s="813">
        <f t="shared" si="22"/>
        <v>7.8099097756564248E-2</v>
      </c>
    </row>
    <row r="42" spans="2:17" hidden="1">
      <c r="D42" s="812" t="s">
        <v>463</v>
      </c>
      <c r="E42" s="813">
        <f t="shared" ref="E42:P42" si="23">E32/$Q$10</f>
        <v>0</v>
      </c>
      <c r="F42" s="813">
        <f t="shared" si="23"/>
        <v>0</v>
      </c>
      <c r="G42" s="813">
        <f t="shared" si="23"/>
        <v>0</v>
      </c>
      <c r="H42" s="813">
        <f t="shared" si="23"/>
        <v>0</v>
      </c>
      <c r="I42" s="813">
        <f t="shared" si="23"/>
        <v>0</v>
      </c>
      <c r="J42" s="813">
        <f t="shared" si="23"/>
        <v>0</v>
      </c>
      <c r="K42" s="813">
        <f t="shared" si="23"/>
        <v>0</v>
      </c>
      <c r="L42" s="813">
        <f t="shared" si="23"/>
        <v>0</v>
      </c>
      <c r="M42" s="813">
        <f t="shared" si="23"/>
        <v>0</v>
      </c>
      <c r="N42" s="813">
        <f t="shared" si="23"/>
        <v>0</v>
      </c>
      <c r="O42" s="813">
        <f t="shared" si="23"/>
        <v>0</v>
      </c>
      <c r="P42" s="813">
        <f t="shared" si="23"/>
        <v>0</v>
      </c>
    </row>
    <row r="43" spans="2:17" hidden="1">
      <c r="D43" s="812" t="s">
        <v>462</v>
      </c>
      <c r="E43" s="813">
        <f t="shared" ref="E43:P43" si="24">E33/$Q$11</f>
        <v>0</v>
      </c>
      <c r="F43" s="813">
        <f t="shared" si="24"/>
        <v>0</v>
      </c>
      <c r="G43" s="813">
        <f t="shared" si="24"/>
        <v>0</v>
      </c>
      <c r="H43" s="813">
        <f t="shared" si="24"/>
        <v>0</v>
      </c>
      <c r="I43" s="813">
        <f t="shared" si="24"/>
        <v>0</v>
      </c>
      <c r="J43" s="813">
        <f t="shared" si="24"/>
        <v>0</v>
      </c>
      <c r="K43" s="813">
        <f t="shared" si="24"/>
        <v>0</v>
      </c>
      <c r="L43" s="813">
        <f t="shared" si="24"/>
        <v>0</v>
      </c>
      <c r="M43" s="813">
        <f t="shared" si="24"/>
        <v>0</v>
      </c>
      <c r="N43" s="813">
        <f t="shared" si="24"/>
        <v>0</v>
      </c>
      <c r="O43" s="813">
        <f t="shared" si="24"/>
        <v>0</v>
      </c>
      <c r="P43" s="813">
        <f t="shared" si="24"/>
        <v>0</v>
      </c>
    </row>
    <row r="44" spans="2:17">
      <c r="D44" s="2034" t="s">
        <v>748</v>
      </c>
      <c r="E44" s="813">
        <f>E34/$Q$12</f>
        <v>9.771962697735409E-2</v>
      </c>
      <c r="F44" s="813">
        <f t="shared" ref="F44:P44" si="25">F34/$Q$12</f>
        <v>9.7719626977353938E-2</v>
      </c>
      <c r="G44" s="813">
        <f t="shared" si="25"/>
        <v>8.8443533325912427E-2</v>
      </c>
      <c r="H44" s="813">
        <f t="shared" si="25"/>
        <v>8.8443533325912427E-2</v>
      </c>
      <c r="I44" s="813">
        <f t="shared" si="25"/>
        <v>8.8443533325912427E-2</v>
      </c>
      <c r="J44" s="813">
        <f t="shared" si="25"/>
        <v>8.8443533325912427E-2</v>
      </c>
      <c r="K44" s="813">
        <f t="shared" si="25"/>
        <v>9.7719626977353938E-2</v>
      </c>
      <c r="L44" s="813">
        <f t="shared" si="25"/>
        <v>8.8443533325912427E-2</v>
      </c>
      <c r="M44" s="813">
        <f t="shared" si="25"/>
        <v>0.12667959135715434</v>
      </c>
      <c r="N44" s="813">
        <f t="shared" si="25"/>
        <v>0.14708699739032563</v>
      </c>
      <c r="O44" s="813">
        <f t="shared" si="25"/>
        <v>8.8443533325912427E-2</v>
      </c>
      <c r="P44" s="813">
        <f t="shared" si="25"/>
        <v>8.8443533325912427E-2</v>
      </c>
    </row>
  </sheetData>
  <mergeCells count="18">
    <mergeCell ref="E2:P2"/>
    <mergeCell ref="B4:B12"/>
    <mergeCell ref="C4:D4"/>
    <mergeCell ref="C5:D5"/>
    <mergeCell ref="C7:D7"/>
    <mergeCell ref="C8:D8"/>
    <mergeCell ref="C12:D12"/>
    <mergeCell ref="B2:D3"/>
    <mergeCell ref="C6:D6"/>
    <mergeCell ref="B24:D25"/>
    <mergeCell ref="E24:P24"/>
    <mergeCell ref="B26:B34"/>
    <mergeCell ref="C26:D26"/>
    <mergeCell ref="C27:D27"/>
    <mergeCell ref="C28:D28"/>
    <mergeCell ref="C29:D29"/>
    <mergeCell ref="C30:D30"/>
    <mergeCell ref="C34:D34"/>
  </mergeCells>
  <phoneticPr fontId="2" type="noConversion"/>
  <pageMargins left="0.9055118110236221" right="0.70866141732283472" top="1.3385826771653544" bottom="0.74803149606299213" header="0.31496062992125984" footer="0.31496062992125984"/>
  <pageSetup paperSize="9" scale="8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0E609-5B21-473C-9B9A-3159B012B549}">
  <sheetPr>
    <tabColor theme="8" tint="0.79998168889431442"/>
    <pageSetUpPr fitToPage="1"/>
  </sheetPr>
  <dimension ref="A1:U38"/>
  <sheetViews>
    <sheetView showGridLines="0" zoomScaleNormal="100" workbookViewId="0">
      <selection activeCell="B3" sqref="B3:C3"/>
    </sheetView>
  </sheetViews>
  <sheetFormatPr defaultColWidth="8.75" defaultRowHeight="15" outlineLevelRow="1"/>
  <cols>
    <col min="1" max="1" width="4.4140625" style="777" customWidth="1"/>
    <col min="2" max="2" width="6.4140625" style="777" customWidth="1"/>
    <col min="3" max="3" width="13.58203125" style="777" customWidth="1"/>
    <col min="4" max="4" width="11" style="777" customWidth="1"/>
    <col min="5" max="6" width="11.83203125" style="777" customWidth="1"/>
    <col min="7" max="7" width="11.08203125" style="777" customWidth="1"/>
    <col min="8" max="9" width="8.9140625" style="777" customWidth="1"/>
    <col min="10" max="10" width="83.4140625" style="777" customWidth="1"/>
    <col min="11" max="12" width="5.33203125" style="777" customWidth="1"/>
    <col min="13" max="21" width="0" style="777" hidden="1" customWidth="1"/>
    <col min="22" max="16384" width="8.75" style="777"/>
  </cols>
  <sheetData>
    <row r="1" spans="2:21" ht="11.5" customHeight="1"/>
    <row r="2" spans="2:21" ht="27.75" customHeight="1">
      <c r="B2" s="2637" t="s">
        <v>795</v>
      </c>
      <c r="C2" s="2637"/>
      <c r="E2" s="2638"/>
      <c r="F2" s="2638"/>
      <c r="G2" s="2638"/>
      <c r="H2" s="2638"/>
      <c r="I2" s="2638"/>
      <c r="J2" s="2639"/>
    </row>
    <row r="3" spans="2:21" ht="28" customHeight="1">
      <c r="B3" s="3242" t="s">
        <v>0</v>
      </c>
      <c r="C3" s="3243"/>
      <c r="D3" s="2640" t="s">
        <v>799</v>
      </c>
      <c r="E3" s="2640" t="s">
        <v>857</v>
      </c>
      <c r="F3" s="2640" t="s">
        <v>775</v>
      </c>
      <c r="G3" s="2640" t="s">
        <v>796</v>
      </c>
      <c r="H3" s="2737" t="s">
        <v>821</v>
      </c>
      <c r="I3" s="2737" t="s">
        <v>822</v>
      </c>
      <c r="J3" s="2641" t="s">
        <v>779</v>
      </c>
      <c r="M3" s="2953"/>
      <c r="N3" s="2953"/>
      <c r="O3" s="2953"/>
      <c r="P3" s="2953"/>
      <c r="Q3" s="2953"/>
      <c r="R3" s="2953"/>
      <c r="S3" s="2953"/>
      <c r="T3" s="2953"/>
      <c r="U3" s="2953"/>
    </row>
    <row r="4" spans="2:21" ht="21.5" customHeight="1">
      <c r="B4" s="3244" t="s">
        <v>841</v>
      </c>
      <c r="C4" s="3245"/>
      <c r="D4" s="2740">
        <f>무선!BE8/10000</f>
        <v>54.9251</v>
      </c>
      <c r="E4" s="2740">
        <f>무선!BR8/10000</f>
        <v>64.293400000000005</v>
      </c>
      <c r="F4" s="2740">
        <f>무선!CE8/10000</f>
        <v>67.000025095236396</v>
      </c>
      <c r="G4" s="2740">
        <f>F4-E4</f>
        <v>2.7066250952363902</v>
      </c>
      <c r="H4" s="2741">
        <f>F4/E4-1</f>
        <v>4.2098023984365351E-2</v>
      </c>
      <c r="I4" s="2741">
        <f>F4/D4-1</f>
        <v>0.21984347948818295</v>
      </c>
      <c r="J4" s="3250" t="s">
        <v>861</v>
      </c>
      <c r="M4" s="2953"/>
      <c r="N4" s="2953"/>
      <c r="O4" s="2953"/>
      <c r="P4" s="2953"/>
      <c r="Q4" s="2953"/>
      <c r="R4" s="2953"/>
      <c r="S4" s="2953"/>
      <c r="T4" s="2953"/>
      <c r="U4" s="2953"/>
    </row>
    <row r="5" spans="2:21" ht="21.5" customHeight="1">
      <c r="B5" s="3246" t="s">
        <v>842</v>
      </c>
      <c r="C5" s="3247"/>
      <c r="D5" s="2740">
        <f>D4/12</f>
        <v>4.577091666666667</v>
      </c>
      <c r="E5" s="2740">
        <f>E4/12</f>
        <v>5.3577833333333338</v>
      </c>
      <c r="F5" s="2740">
        <f>F4/12</f>
        <v>5.5833354246030327</v>
      </c>
      <c r="G5" s="2740">
        <f>F5-E5</f>
        <v>0.22555209126969888</v>
      </c>
      <c r="H5" s="2741">
        <f>F5/E5-1</f>
        <v>4.2098023984365129E-2</v>
      </c>
      <c r="I5" s="2742">
        <f>F5/D5-1</f>
        <v>0.21984347948818272</v>
      </c>
      <c r="J5" s="3224"/>
      <c r="M5" s="2953"/>
      <c r="N5" s="2953"/>
      <c r="O5" s="2953"/>
      <c r="P5" s="2953"/>
      <c r="Q5" s="2953"/>
      <c r="R5" s="2953"/>
      <c r="S5" s="2953"/>
      <c r="T5" s="2953"/>
      <c r="U5" s="2953"/>
    </row>
    <row r="6" spans="2:21" ht="21.5" customHeight="1">
      <c r="B6" s="3244" t="s">
        <v>843</v>
      </c>
      <c r="C6" s="3245"/>
      <c r="D6" s="2740">
        <f>D7+D10+D11</f>
        <v>31.819399999999998</v>
      </c>
      <c r="E6" s="2740">
        <f>E7+E10+E11+E8</f>
        <v>35.20770000000001</v>
      </c>
      <c r="F6" s="2740">
        <f>F7+F10+F11+F8</f>
        <v>37.82688637208382</v>
      </c>
      <c r="G6" s="2740">
        <f>F6-E6</f>
        <v>2.61918637208381</v>
      </c>
      <c r="H6" s="2741">
        <f>F6/E6-1</f>
        <v>7.4392430408229071E-2</v>
      </c>
      <c r="I6" s="2742">
        <f>F6/D6-1</f>
        <v>0.1887994862280189</v>
      </c>
      <c r="J6" s="3251"/>
      <c r="M6" s="2953"/>
      <c r="N6" s="2953"/>
      <c r="O6" s="2953"/>
      <c r="P6" s="2953"/>
      <c r="Q6" s="2953"/>
      <c r="R6" s="2953"/>
      <c r="S6" s="2953"/>
      <c r="T6" s="2953"/>
      <c r="U6" s="2953"/>
    </row>
    <row r="7" spans="2:21" ht="17" hidden="1" customHeight="1" outlineLevel="1">
      <c r="B7" s="3248" t="s">
        <v>780</v>
      </c>
      <c r="C7" s="3249"/>
      <c r="D7" s="2723">
        <f>무선!BE10/10000</f>
        <v>18.982299999999999</v>
      </c>
      <c r="E7" s="2723">
        <f>무선!BR10/10000</f>
        <v>19.689800000000002</v>
      </c>
      <c r="F7" s="2723">
        <f>무선!CE10/10000</f>
        <v>20.625893250445408</v>
      </c>
      <c r="G7" s="2723">
        <f t="shared" ref="G7:G11" si="0">F7-E7</f>
        <v>0.93609325044540626</v>
      </c>
      <c r="H7" s="2724">
        <f t="shared" ref="H7:H11" si="1">F7/E7-1</f>
        <v>4.7542039555780402E-2</v>
      </c>
      <c r="I7" s="2739">
        <f>F7/D7-1</f>
        <v>8.6585569211602875E-2</v>
      </c>
      <c r="J7" s="3240" t="s">
        <v>815</v>
      </c>
      <c r="M7" s="2953"/>
      <c r="N7" s="2953"/>
      <c r="O7" s="2953"/>
      <c r="P7" s="2953"/>
      <c r="Q7" s="2953"/>
      <c r="R7" s="2953"/>
      <c r="S7" s="2953"/>
      <c r="T7" s="2953"/>
      <c r="U7" s="2953"/>
    </row>
    <row r="8" spans="2:21" ht="17" hidden="1" customHeight="1" outlineLevel="1">
      <c r="B8" s="3232" t="s">
        <v>809</v>
      </c>
      <c r="C8" s="3233"/>
      <c r="D8" s="2721" t="s">
        <v>656</v>
      </c>
      <c r="E8" s="2642">
        <f>무선!BR11/10000</f>
        <v>0.1938</v>
      </c>
      <c r="F8" s="2642">
        <f>무선!CE11/10000</f>
        <v>0.20733729658990696</v>
      </c>
      <c r="G8" s="2720">
        <f t="shared" ref="G8" si="2">F8-E8</f>
        <v>1.3537296589906961E-2</v>
      </c>
      <c r="H8" s="2643">
        <f t="shared" ref="H8" si="3">F8/E8-1</f>
        <v>6.9851891588787129E-2</v>
      </c>
      <c r="I8" s="2727" t="s">
        <v>656</v>
      </c>
      <c r="J8" s="3240"/>
      <c r="M8" s="2953"/>
      <c r="N8" s="2953"/>
      <c r="O8" s="2953"/>
      <c r="P8" s="2953"/>
      <c r="Q8" s="2953"/>
      <c r="R8" s="2953"/>
      <c r="S8" s="2953"/>
      <c r="T8" s="2953"/>
      <c r="U8" s="2953"/>
    </row>
    <row r="9" spans="2:21" ht="17" hidden="1" customHeight="1" outlineLevel="1">
      <c r="B9" s="3232" t="s">
        <v>781</v>
      </c>
      <c r="C9" s="3233"/>
      <c r="D9" s="2721">
        <f>무선!BE9/10000</f>
        <v>23.105699999999999</v>
      </c>
      <c r="E9" s="2721">
        <f>무선!BR9/10000</f>
        <v>29.0855</v>
      </c>
      <c r="F9" s="2721">
        <f>무선!CE9/10000</f>
        <v>29.173138723152569</v>
      </c>
      <c r="G9" s="2721">
        <f t="shared" si="0"/>
        <v>8.7638723152569042E-2</v>
      </c>
      <c r="H9" s="2643">
        <f t="shared" si="1"/>
        <v>3.0131413643419425E-3</v>
      </c>
      <c r="I9" s="2727">
        <f t="shared" ref="I9:I11" si="4">F9/D9-1</f>
        <v>0.26259488884355675</v>
      </c>
      <c r="J9" s="3240"/>
      <c r="M9" s="2953"/>
      <c r="N9" s="2953"/>
      <c r="O9" s="2953"/>
      <c r="P9" s="2953"/>
      <c r="Q9" s="2953"/>
      <c r="R9" s="2953"/>
      <c r="S9" s="2953"/>
      <c r="T9" s="2953"/>
      <c r="U9" s="2953"/>
    </row>
    <row r="10" spans="2:21" ht="17" hidden="1" customHeight="1" outlineLevel="1">
      <c r="B10" s="3232" t="s">
        <v>810</v>
      </c>
      <c r="C10" s="3233"/>
      <c r="D10" s="2721">
        <f>(무선!BE14+무선!BE15+무선!BE18)/10000</f>
        <v>10.451700000000001</v>
      </c>
      <c r="E10" s="2721">
        <f>(무선!BR14+무선!BR15)/10000</f>
        <v>12.629</v>
      </c>
      <c r="F10" s="2721">
        <f>(무선!CE14+무선!CE15)/10000</f>
        <v>13.797185825048512</v>
      </c>
      <c r="G10" s="2721">
        <f t="shared" si="0"/>
        <v>1.1681858250485124</v>
      </c>
      <c r="H10" s="2643">
        <f t="shared" si="1"/>
        <v>9.250026328676153E-2</v>
      </c>
      <c r="I10" s="2727">
        <f t="shared" si="4"/>
        <v>0.32009011213950944</v>
      </c>
      <c r="J10" s="3240"/>
      <c r="M10" s="2953"/>
      <c r="N10" s="2953"/>
      <c r="O10" s="2953"/>
      <c r="P10" s="2953"/>
      <c r="Q10" s="2953"/>
      <c r="R10" s="2953"/>
      <c r="S10" s="2953"/>
      <c r="T10" s="2953"/>
      <c r="U10" s="2953"/>
    </row>
    <row r="11" spans="2:21" ht="17" hidden="1" customHeight="1" outlineLevel="1">
      <c r="B11" s="3234" t="s">
        <v>782</v>
      </c>
      <c r="C11" s="3235"/>
      <c r="D11" s="2722">
        <f>(무선!BE17+무선!BE16)/10000</f>
        <v>2.3854000000000002</v>
      </c>
      <c r="E11" s="2722">
        <f>(무선!BR17+무선!BR16)/10000</f>
        <v>2.6951000000000001</v>
      </c>
      <c r="F11" s="2722">
        <f>(무선!CE17+무선!CE16)/10000</f>
        <v>3.1964699999999997</v>
      </c>
      <c r="G11" s="2722">
        <f t="shared" si="0"/>
        <v>0.50136999999999965</v>
      </c>
      <c r="H11" s="2644">
        <f t="shared" si="1"/>
        <v>0.18603020296092887</v>
      </c>
      <c r="I11" s="2728">
        <f t="shared" si="4"/>
        <v>0.34001425337469593</v>
      </c>
      <c r="J11" s="3241"/>
      <c r="M11" s="2953"/>
      <c r="N11" s="2953"/>
      <c r="O11" s="2953"/>
      <c r="P11" s="2953"/>
      <c r="Q11" s="2953"/>
      <c r="R11" s="2953"/>
      <c r="S11" s="2953"/>
      <c r="T11" s="2953"/>
      <c r="U11" s="2953"/>
    </row>
    <row r="12" spans="2:21" ht="25.5" customHeight="1" collapsed="1">
      <c r="B12" s="3236" t="s">
        <v>385</v>
      </c>
      <c r="C12" s="3237"/>
      <c r="D12" s="2645">
        <f>'전사 손익계산서'!BQ12/100</f>
        <v>8073.0767128400003</v>
      </c>
      <c r="E12" s="2645">
        <f>'전사 손익계산서'!CD12/100</f>
        <v>7534.5802946499989</v>
      </c>
      <c r="F12" s="2645">
        <f>'전사 손익계산서'!CQ12/100</f>
        <v>8162.8656771075703</v>
      </c>
      <c r="G12" s="2725">
        <f t="shared" ref="G12:G30" si="5">F12-E12</f>
        <v>628.28538245757136</v>
      </c>
      <c r="H12" s="2646">
        <f>F12/E12-1</f>
        <v>8.3386911797023622E-2</v>
      </c>
      <c r="I12" s="2729">
        <f t="shared" ref="I12:I21" si="6">F12/D12-1</f>
        <v>1.1122025401389291E-2</v>
      </c>
      <c r="J12" s="3224" t="s">
        <v>862</v>
      </c>
      <c r="M12" s="2953"/>
      <c r="N12" s="2953"/>
      <c r="O12" s="2953"/>
      <c r="P12" s="2953"/>
      <c r="Q12" s="2953"/>
      <c r="R12" s="2953"/>
      <c r="S12" s="2953"/>
      <c r="T12" s="2953"/>
      <c r="U12" s="2953"/>
    </row>
    <row r="13" spans="2:21" ht="25.5" customHeight="1">
      <c r="B13" s="3238" t="s">
        <v>349</v>
      </c>
      <c r="C13" s="3239"/>
      <c r="D13" s="2645">
        <f>'전사 손익계산서'!BQ52/100</f>
        <v>144.69036113999999</v>
      </c>
      <c r="E13" s="2645">
        <f>'전사 손익계산서'!CD52/100</f>
        <v>163.41415247999987</v>
      </c>
      <c r="F13" s="2645">
        <f>'전사 손익계산서'!CQ52/100</f>
        <v>171.51000000000292</v>
      </c>
      <c r="G13" s="2647">
        <f t="shared" si="5"/>
        <v>8.0958475200030477</v>
      </c>
      <c r="H13" s="2648">
        <f t="shared" ref="H13:H38" si="7">F13/E13-1</f>
        <v>4.9541899505882059E-2</v>
      </c>
      <c r="I13" s="2648">
        <f t="shared" si="6"/>
        <v>0.18535884939877012</v>
      </c>
      <c r="J13" s="3225"/>
      <c r="M13" s="2953" t="s">
        <v>826</v>
      </c>
      <c r="N13" s="2953"/>
      <c r="O13" s="2953"/>
      <c r="P13" s="2953"/>
      <c r="Q13" s="2953"/>
      <c r="R13" s="2953"/>
      <c r="S13" s="2953"/>
      <c r="T13" s="2953"/>
      <c r="U13" s="2953"/>
    </row>
    <row r="14" spans="2:21" ht="25.5" customHeight="1">
      <c r="B14" s="3230" t="s">
        <v>783</v>
      </c>
      <c r="C14" s="3231"/>
      <c r="D14" s="2743">
        <f>'전사 손익계산서'!BQ128/100</f>
        <v>126.22681691999988</v>
      </c>
      <c r="E14" s="2743">
        <f>'전사 손익계산서'!CD128/100</f>
        <v>107.46567970999995</v>
      </c>
      <c r="F14" s="2743">
        <f>'전사 손익계산서'!CQ128/100</f>
        <v>101.17283709473234</v>
      </c>
      <c r="G14" s="2744">
        <f t="shared" si="5"/>
        <v>-6.2928426152676025</v>
      </c>
      <c r="H14" s="2649">
        <f t="shared" si="7"/>
        <v>-5.855676558552525E-2</v>
      </c>
      <c r="I14" s="2745">
        <f t="shared" si="6"/>
        <v>-0.19848381220882927</v>
      </c>
      <c r="J14" s="2746" t="s">
        <v>863</v>
      </c>
      <c r="K14" s="2650"/>
      <c r="M14" s="2953"/>
      <c r="N14" s="2953"/>
      <c r="O14" s="2953"/>
      <c r="P14" s="2953"/>
      <c r="Q14" s="2953"/>
      <c r="R14" s="2953"/>
      <c r="S14" s="2953"/>
      <c r="T14" s="2953"/>
      <c r="U14" s="2953"/>
    </row>
    <row r="15" spans="2:21" ht="25.5" customHeight="1">
      <c r="B15" s="3220" t="s">
        <v>811</v>
      </c>
      <c r="C15" s="3221"/>
      <c r="D15" s="2743">
        <f>'전사 손익계산서'!BQ176/100</f>
        <v>18.46354422000012</v>
      </c>
      <c r="E15" s="2743">
        <f>'전사 손익계산서'!CD176/100</f>
        <v>55.948472769999917</v>
      </c>
      <c r="F15" s="2743">
        <f>'전사 손익계산서'!CQ176/100</f>
        <v>70.337162905270034</v>
      </c>
      <c r="G15" s="2743">
        <f t="shared" si="5"/>
        <v>14.388690135270117</v>
      </c>
      <c r="H15" s="2649">
        <f t="shared" si="7"/>
        <v>0.25717753180539837</v>
      </c>
      <c r="I15" s="2732">
        <f t="shared" si="6"/>
        <v>2.8095157715753869</v>
      </c>
      <c r="J15" s="2747" t="s">
        <v>812</v>
      </c>
      <c r="K15" s="2650"/>
      <c r="M15" s="2953"/>
      <c r="N15" s="2953"/>
      <c r="O15" s="2953"/>
      <c r="P15" s="2953"/>
      <c r="Q15" s="2953"/>
      <c r="R15" s="2953"/>
      <c r="S15" s="2953"/>
      <c r="T15" s="2953"/>
      <c r="U15" s="2953"/>
    </row>
    <row r="16" spans="2:21" ht="25.5" customHeight="1">
      <c r="B16" s="3222" t="s">
        <v>435</v>
      </c>
      <c r="C16" s="3223"/>
      <c r="D16" s="2651">
        <f>'전사 손익계산서'!BQ13/100</f>
        <v>5452.5105203400008</v>
      </c>
      <c r="E16" s="2651">
        <f>'전사 손익계산서'!CD13/100</f>
        <v>4676.9606741400003</v>
      </c>
      <c r="F16" s="2651">
        <f>'전사 손익계산서'!CQ13/100</f>
        <v>5300.9579584950197</v>
      </c>
      <c r="G16" s="2726">
        <f t="shared" si="5"/>
        <v>623.99728435501947</v>
      </c>
      <c r="H16" s="2652">
        <f>F16/E16-1</f>
        <v>0.1334193994414461</v>
      </c>
      <c r="I16" s="2730">
        <f t="shared" si="6"/>
        <v>-2.7795005856408816E-2</v>
      </c>
      <c r="J16" s="2910" t="s">
        <v>844</v>
      </c>
      <c r="K16" s="2653"/>
      <c r="M16" s="2953"/>
      <c r="N16" s="2953"/>
      <c r="O16" s="2953"/>
      <c r="P16" s="2953"/>
      <c r="Q16" s="2953"/>
      <c r="R16" s="2953"/>
      <c r="S16" s="2953"/>
      <c r="T16" s="2953"/>
      <c r="U16" s="2953"/>
    </row>
    <row r="17" spans="1:21" ht="25.5" customHeight="1">
      <c r="A17" s="2654"/>
      <c r="B17" s="3222" t="s">
        <v>784</v>
      </c>
      <c r="C17" s="3223"/>
      <c r="D17" s="2651">
        <f>'전사 손익계산서'!BQ14/100</f>
        <v>2620.5661925000004</v>
      </c>
      <c r="E17" s="2651">
        <f>'전사 손익계산서'!CD14/100</f>
        <v>2857.61962051</v>
      </c>
      <c r="F17" s="2651">
        <f>'전사 손익계산서'!CQ14/100</f>
        <v>2861.907718612551</v>
      </c>
      <c r="G17" s="2726">
        <f t="shared" si="5"/>
        <v>4.2880981025509755</v>
      </c>
      <c r="H17" s="2756">
        <f>F17/E17-1</f>
        <v>1.5005839376851515E-3</v>
      </c>
      <c r="I17" s="2759">
        <f t="shared" si="6"/>
        <v>9.209518416411866E-2</v>
      </c>
      <c r="J17" s="2655"/>
      <c r="K17" s="2653"/>
      <c r="M17" s="2953"/>
      <c r="N17" s="2953"/>
      <c r="O17" s="2953"/>
      <c r="P17" s="2953"/>
      <c r="Q17" s="2953"/>
      <c r="R17" s="2953"/>
      <c r="S17" s="2953"/>
      <c r="T17" s="2953"/>
      <c r="U17" s="2953"/>
    </row>
    <row r="18" spans="1:21" ht="34" customHeight="1">
      <c r="A18" s="2654"/>
      <c r="B18" s="3220" t="s">
        <v>785</v>
      </c>
      <c r="C18" s="3221"/>
      <c r="D18" s="2743">
        <f>'전사 손익계산서'!BQ15/100</f>
        <v>1421.0479356000003</v>
      </c>
      <c r="E18" s="2743">
        <f>'전사 손익계산서'!CD15/100</f>
        <v>1762.1778853399999</v>
      </c>
      <c r="F18" s="2743">
        <f>'전사 손익계산서'!CQ15/100</f>
        <v>1802.1546798443846</v>
      </c>
      <c r="G18" s="2748">
        <f t="shared" si="5"/>
        <v>39.97679450438477</v>
      </c>
      <c r="H18" s="2649">
        <f t="shared" si="7"/>
        <v>2.2686015320565467E-2</v>
      </c>
      <c r="I18" s="2749">
        <f t="shared" si="6"/>
        <v>0.26818711367640957</v>
      </c>
      <c r="J18" s="3217" t="s">
        <v>845</v>
      </c>
      <c r="K18" s="2653"/>
      <c r="L18" s="2328"/>
      <c r="M18" s="2953"/>
      <c r="N18" s="2953"/>
      <c r="O18" s="2953"/>
      <c r="P18" s="2953"/>
      <c r="Q18" s="2953"/>
      <c r="R18" s="2953"/>
      <c r="S18" s="2953"/>
      <c r="T18" s="2953"/>
      <c r="U18" s="2953"/>
    </row>
    <row r="19" spans="1:21" ht="25.5" hidden="1" customHeight="1" outlineLevel="1">
      <c r="A19" s="2654"/>
      <c r="B19" s="3230" t="s">
        <v>816</v>
      </c>
      <c r="C19" s="3231"/>
      <c r="D19" s="2750">
        <f>무선!BE268/10000</f>
        <v>38.58264616475369</v>
      </c>
      <c r="E19" s="2750">
        <f>무선!BR268/10000</f>
        <v>45.696560052804614</v>
      </c>
      <c r="F19" s="2750">
        <f>무선!CE268/10000</f>
        <v>43.526923454348513</v>
      </c>
      <c r="G19" s="2750">
        <f t="shared" si="5"/>
        <v>-2.1696365984561012</v>
      </c>
      <c r="H19" s="2649">
        <f t="shared" si="7"/>
        <v>-4.7479210600294253E-2</v>
      </c>
      <c r="I19" s="2649">
        <f t="shared" si="6"/>
        <v>0.12814769802159276</v>
      </c>
      <c r="J19" s="3225"/>
      <c r="K19" s="2653"/>
      <c r="M19" s="2953"/>
      <c r="N19" s="2953"/>
      <c r="O19" s="2953"/>
      <c r="P19" s="2953"/>
      <c r="Q19" s="2953"/>
      <c r="R19" s="2953"/>
      <c r="S19" s="2953"/>
      <c r="T19" s="2953"/>
      <c r="U19" s="2953"/>
    </row>
    <row r="20" spans="1:21" ht="54.5" customHeight="1" collapsed="1">
      <c r="B20" s="3220" t="s">
        <v>786</v>
      </c>
      <c r="C20" s="3221"/>
      <c r="D20" s="2743">
        <f>'전사 손익계산서'!BQ16/100</f>
        <v>685.32327232</v>
      </c>
      <c r="E20" s="2743">
        <f>'전사 손익계산서'!CD16/100</f>
        <v>615.64254750999999</v>
      </c>
      <c r="F20" s="2743">
        <f>'전사 손익계산서'!CQ16/100</f>
        <v>579.76257145533987</v>
      </c>
      <c r="G20" s="2751">
        <f t="shared" ref="G20" si="8">F20-E20</f>
        <v>-35.879976054660119</v>
      </c>
      <c r="H20" s="2649">
        <f t="shared" si="7"/>
        <v>-5.8280533403317625E-2</v>
      </c>
      <c r="I20" s="2757">
        <f t="shared" si="6"/>
        <v>-0.1540305212565003</v>
      </c>
      <c r="J20" s="3217" t="s">
        <v>864</v>
      </c>
      <c r="K20" s="2653"/>
      <c r="L20" s="2653"/>
      <c r="M20" s="2953"/>
      <c r="N20" s="2953"/>
      <c r="O20" s="2953"/>
      <c r="P20" s="2953"/>
      <c r="Q20" s="2953"/>
      <c r="R20" s="2953"/>
      <c r="S20" s="2953"/>
      <c r="T20" s="2953"/>
      <c r="U20" s="2953"/>
    </row>
    <row r="21" spans="1:21" ht="9" hidden="1" customHeight="1" outlineLevel="1">
      <c r="B21" s="3230" t="s">
        <v>817</v>
      </c>
      <c r="C21" s="3231"/>
      <c r="D21" s="2752">
        <f>무선!BE40/10000</f>
        <v>111.1846</v>
      </c>
      <c r="E21" s="2752">
        <f>무선!BR40/10000</f>
        <v>100.53056711857897</v>
      </c>
      <c r="F21" s="2752">
        <f>무선!CE40/10000</f>
        <v>98.41225377074089</v>
      </c>
      <c r="G21" s="2752">
        <f t="shared" si="5"/>
        <v>-2.1183133478380824</v>
      </c>
      <c r="H21" s="2649">
        <f t="shared" si="7"/>
        <v>-2.1071335898657173E-2</v>
      </c>
      <c r="I21" s="2731">
        <f t="shared" si="6"/>
        <v>-0.11487513764729207</v>
      </c>
      <c r="J21" s="3225"/>
      <c r="K21" s="2653"/>
      <c r="L21" s="2653"/>
      <c r="M21" s="2953"/>
      <c r="N21" s="2953"/>
      <c r="O21" s="2953"/>
      <c r="P21" s="2953"/>
      <c r="Q21" s="2953"/>
      <c r="R21" s="2953"/>
      <c r="S21" s="2953"/>
      <c r="T21" s="2953"/>
      <c r="U21" s="2953"/>
    </row>
    <row r="22" spans="1:21" ht="51.5" customHeight="1" collapsed="1">
      <c r="B22" s="3220" t="s">
        <v>787</v>
      </c>
      <c r="C22" s="3221"/>
      <c r="D22" s="2743">
        <f>'전사 손익계산서'!BQ17/100</f>
        <v>514.19498457999987</v>
      </c>
      <c r="E22" s="2743">
        <f>'전사 손익계산서'!CD17/100</f>
        <v>479.79918766000003</v>
      </c>
      <c r="F22" s="2743">
        <f>'전사 손익계산서'!CQ17/100</f>
        <v>479.99046731282664</v>
      </c>
      <c r="G22" s="2751">
        <f t="shared" si="5"/>
        <v>0.19127965282660853</v>
      </c>
      <c r="H22" s="2757">
        <f t="shared" si="7"/>
        <v>3.9866606227390022E-4</v>
      </c>
      <c r="I22" s="2649">
        <f>F22/D22-1</f>
        <v>-6.6520519050009552E-2</v>
      </c>
      <c r="J22" s="2753" t="s">
        <v>827</v>
      </c>
      <c r="K22" s="2653"/>
      <c r="L22" s="2653"/>
      <c r="M22" s="2953"/>
      <c r="N22" s="2953"/>
      <c r="O22" s="2953"/>
      <c r="P22" s="2953"/>
      <c r="Q22" s="2953"/>
      <c r="R22" s="2953"/>
      <c r="S22" s="2953"/>
      <c r="T22" s="2953"/>
      <c r="U22" s="2953"/>
    </row>
    <row r="23" spans="1:21" ht="22.5" customHeight="1">
      <c r="B23" s="3222" t="s">
        <v>422</v>
      </c>
      <c r="C23" s="3223"/>
      <c r="D23" s="2651">
        <f>'전사 손익계산서'!BQ21/100</f>
        <v>1271.1147254299999</v>
      </c>
      <c r="E23" s="2651">
        <f>'전사 손익계산서'!CD21/100</f>
        <v>1407.8440513200001</v>
      </c>
      <c r="F23" s="2651">
        <f>'전사 손익계산서'!CQ21/100</f>
        <v>1477.8513399853923</v>
      </c>
      <c r="G23" s="2651">
        <f t="shared" si="5"/>
        <v>70.007288665392252</v>
      </c>
      <c r="H23" s="2756">
        <f t="shared" si="7"/>
        <v>4.9726593367889871E-2</v>
      </c>
      <c r="I23" s="2756">
        <f>F23/D23-1</f>
        <v>0.16264197905933031</v>
      </c>
      <c r="J23" s="3217" t="s">
        <v>865</v>
      </c>
      <c r="K23" s="2653"/>
      <c r="L23" s="2653"/>
      <c r="M23" s="2954" t="s">
        <v>0</v>
      </c>
      <c r="N23" s="2954" t="s">
        <v>770</v>
      </c>
      <c r="O23" s="2954" t="s">
        <v>774</v>
      </c>
      <c r="P23" s="2954" t="s">
        <v>797</v>
      </c>
      <c r="Q23" s="2954" t="s">
        <v>798</v>
      </c>
      <c r="R23" s="2112"/>
      <c r="S23" s="2955"/>
      <c r="T23" s="2112"/>
      <c r="U23" s="2112"/>
    </row>
    <row r="24" spans="1:21" ht="22.5" customHeight="1">
      <c r="B24" s="3226" t="s">
        <v>788</v>
      </c>
      <c r="C24" s="3227"/>
      <c r="D24" s="2656">
        <f>인프라!BQ6</f>
        <v>272</v>
      </c>
      <c r="E24" s="2911">
        <f>인프라!CD6</f>
        <v>251</v>
      </c>
      <c r="F24" s="2656">
        <f>인프라!CQ6</f>
        <v>270</v>
      </c>
      <c r="G24" s="2911">
        <f t="shared" si="5"/>
        <v>19</v>
      </c>
      <c r="H24" s="2649">
        <f>F24/E24-1</f>
        <v>7.5697211155378419E-2</v>
      </c>
      <c r="I24" s="2732">
        <f>F24/D24-1</f>
        <v>-7.3529411764705621E-3</v>
      </c>
      <c r="J24" s="3224"/>
      <c r="K24" s="2653"/>
      <c r="L24" s="2653"/>
      <c r="M24" s="2954" t="s">
        <v>837</v>
      </c>
      <c r="N24" s="2956">
        <v>1920</v>
      </c>
      <c r="O24" s="2956">
        <v>1780</v>
      </c>
      <c r="P24" s="2956">
        <v>1650</v>
      </c>
      <c r="Q24" s="2956">
        <v>1500</v>
      </c>
      <c r="R24" s="2112"/>
      <c r="S24" s="2112"/>
      <c r="T24" s="2112"/>
      <c r="U24" s="2112"/>
    </row>
    <row r="25" spans="1:21" ht="22.5" customHeight="1">
      <c r="B25" s="3228" t="s">
        <v>789</v>
      </c>
      <c r="C25" s="3229"/>
      <c r="D25" s="2657">
        <f>인건비!BR15</f>
        <v>1117</v>
      </c>
      <c r="E25" s="2912">
        <f>인건비!CE15</f>
        <v>1075</v>
      </c>
      <c r="F25" s="2657">
        <f>인건비!CR15</f>
        <v>1134</v>
      </c>
      <c r="G25" s="2912">
        <f t="shared" si="5"/>
        <v>59</v>
      </c>
      <c r="H25" s="2649">
        <f>F25/E25-1</f>
        <v>5.4883720930232638E-2</v>
      </c>
      <c r="I25" s="2649">
        <f>F25/D25-1</f>
        <v>1.5219337511190645E-2</v>
      </c>
      <c r="J25" s="3224"/>
      <c r="K25" s="2653"/>
      <c r="L25" s="2653"/>
      <c r="M25" s="2954" t="s">
        <v>838</v>
      </c>
      <c r="N25" s="2956">
        <v>251</v>
      </c>
      <c r="O25" s="2956">
        <v>270</v>
      </c>
      <c r="P25" s="2956">
        <v>285</v>
      </c>
      <c r="Q25" s="2956">
        <v>300</v>
      </c>
      <c r="R25" s="2112"/>
      <c r="S25" s="2112"/>
      <c r="T25" s="2112"/>
      <c r="U25" s="2112"/>
    </row>
    <row r="26" spans="1:21" ht="22.5" customHeight="1">
      <c r="B26" s="3228" t="s">
        <v>818</v>
      </c>
      <c r="C26" s="3229"/>
      <c r="D26" s="2657">
        <f>인건비!BU16</f>
        <v>125</v>
      </c>
      <c r="E26" s="2912">
        <f>인건비!CE16</f>
        <v>58</v>
      </c>
      <c r="F26" s="2912">
        <f>인건비!CR16</f>
        <v>58</v>
      </c>
      <c r="G26" s="2912">
        <f t="shared" si="5"/>
        <v>0</v>
      </c>
      <c r="H26" s="2649">
        <f>F26/E26-1</f>
        <v>0</v>
      </c>
      <c r="I26" s="2649">
        <f>F26/D26-1</f>
        <v>-0.53600000000000003</v>
      </c>
      <c r="J26" s="3225"/>
      <c r="K26" s="2653"/>
      <c r="L26" s="2653"/>
      <c r="M26" s="2954" t="s">
        <v>839</v>
      </c>
      <c r="N26" s="2957">
        <f>N25/N24</f>
        <v>0.13072916666666667</v>
      </c>
      <c r="O26" s="2957">
        <f t="shared" ref="O26:Q26" si="9">O25/O24</f>
        <v>0.15168539325842698</v>
      </c>
      <c r="P26" s="2957">
        <f t="shared" si="9"/>
        <v>0.17272727272727273</v>
      </c>
      <c r="Q26" s="2957">
        <f t="shared" si="9"/>
        <v>0.2</v>
      </c>
      <c r="R26" s="2112"/>
      <c r="S26" s="2112"/>
      <c r="T26" s="2112"/>
      <c r="U26" s="2112"/>
    </row>
    <row r="27" spans="1:21" ht="22.5" customHeight="1">
      <c r="B27" s="3222" t="s">
        <v>790</v>
      </c>
      <c r="C27" s="3223"/>
      <c r="D27" s="2651">
        <f>'전사 손익계산서'!BQ28/100</f>
        <v>345.42212627999999</v>
      </c>
      <c r="E27" s="2651">
        <f>'전사 손익계산서'!CD28/100</f>
        <v>448.33970433999986</v>
      </c>
      <c r="F27" s="2651">
        <f>'전사 손익계산서'!CQ28/100</f>
        <v>455.872823157656</v>
      </c>
      <c r="G27" s="2726">
        <f t="shared" ref="G27" si="10">F27-E27</f>
        <v>7.5331188176561454</v>
      </c>
      <c r="H27" s="2787">
        <f t="shared" si="7"/>
        <v>1.6802256736876853E-2</v>
      </c>
      <c r="I27" s="2733">
        <f t="shared" ref="I27:I38" si="11">F27/D27-1</f>
        <v>0.3197557089557268</v>
      </c>
      <c r="J27" s="2754" t="s">
        <v>869</v>
      </c>
      <c r="K27" s="2653"/>
      <c r="L27" s="2653"/>
      <c r="M27" s="2954" t="s">
        <v>840</v>
      </c>
      <c r="N27" s="2956">
        <f>N24-N25</f>
        <v>1669</v>
      </c>
      <c r="O27" s="2956">
        <f t="shared" ref="O27:Q27" si="12">O24-O25</f>
        <v>1510</v>
      </c>
      <c r="P27" s="2956">
        <f t="shared" si="12"/>
        <v>1365</v>
      </c>
      <c r="Q27" s="2956">
        <f t="shared" si="12"/>
        <v>1200</v>
      </c>
      <c r="R27" s="2112"/>
      <c r="S27" s="2112"/>
      <c r="T27" s="2112"/>
      <c r="U27" s="2112"/>
    </row>
    <row r="28" spans="1:21" ht="22.5" customHeight="1">
      <c r="B28" s="3222" t="s">
        <v>791</v>
      </c>
      <c r="C28" s="3223"/>
      <c r="D28" s="2651">
        <f>'전사 손익계산서'!BQ32/100</f>
        <v>60.903768060000004</v>
      </c>
      <c r="E28" s="2651">
        <f>'전사 손익계산서'!CD32/100</f>
        <v>53.151673940000002</v>
      </c>
      <c r="F28" s="2651">
        <f>'전사 손익계산서'!CQ32/100</f>
        <v>54.74112437444159</v>
      </c>
      <c r="G28" s="2658">
        <f t="shared" si="5"/>
        <v>1.5894504344415878</v>
      </c>
      <c r="H28" s="2659">
        <f t="shared" si="7"/>
        <v>2.990405224557624E-2</v>
      </c>
      <c r="I28" s="2730">
        <f t="shared" si="11"/>
        <v>-0.10118657485177629</v>
      </c>
      <c r="J28" s="2753" t="s">
        <v>866</v>
      </c>
      <c r="K28" s="2653"/>
      <c r="M28" s="2953"/>
      <c r="N28" s="2953"/>
      <c r="O28" s="2953"/>
      <c r="P28" s="2953"/>
      <c r="Q28" s="2953"/>
      <c r="R28" s="2953"/>
      <c r="S28" s="2953"/>
      <c r="T28" s="2953"/>
      <c r="U28" s="2953"/>
    </row>
    <row r="29" spans="1:21" ht="33" customHeight="1">
      <c r="B29" s="3222" t="s">
        <v>451</v>
      </c>
      <c r="C29" s="3223"/>
      <c r="D29" s="2651">
        <f>'전사 손익계산서'!BQ35/100</f>
        <v>63.659271740000001</v>
      </c>
      <c r="E29" s="2651">
        <f>'전사 손익계산서'!CD35/100</f>
        <v>63.881613470000005</v>
      </c>
      <c r="F29" s="2651">
        <f>'전사 손익계산서'!CQ35/100</f>
        <v>60.357088926904886</v>
      </c>
      <c r="G29" s="2658">
        <f t="shared" si="5"/>
        <v>-3.5245245430951186</v>
      </c>
      <c r="H29" s="2659">
        <f t="shared" si="7"/>
        <v>-5.5172753968562471E-2</v>
      </c>
      <c r="I29" s="2730">
        <f t="shared" si="11"/>
        <v>-5.1872770813056635E-2</v>
      </c>
      <c r="J29" s="2753" t="s">
        <v>867</v>
      </c>
      <c r="K29" s="2653"/>
      <c r="M29" s="2953"/>
      <c r="N29" s="2953"/>
      <c r="O29" s="2953"/>
      <c r="P29" s="2953"/>
      <c r="Q29" s="2953"/>
      <c r="R29" s="2953"/>
      <c r="S29" s="2953"/>
      <c r="T29" s="2953"/>
      <c r="U29" s="2953"/>
    </row>
    <row r="30" spans="1:21" ht="27" customHeight="1">
      <c r="B30" s="3222" t="s">
        <v>515</v>
      </c>
      <c r="C30" s="3223"/>
      <c r="D30" s="2651">
        <f>'전사 손익계산서'!BQ38/100</f>
        <v>361.75307979999997</v>
      </c>
      <c r="E30" s="2651">
        <f>'전사 손익계산서'!CD38/100</f>
        <v>385.23757337000012</v>
      </c>
      <c r="F30" s="2651">
        <f>'전사 손익계산서'!CQ38/100</f>
        <v>387.91476973769335</v>
      </c>
      <c r="G30" s="2660">
        <f t="shared" si="5"/>
        <v>2.6771963676932273</v>
      </c>
      <c r="H30" s="2756">
        <f t="shared" si="7"/>
        <v>6.9494684650657224E-3</v>
      </c>
      <c r="I30" s="2758">
        <f t="shared" si="11"/>
        <v>7.2319190626261465E-2</v>
      </c>
      <c r="J30" s="2746" t="s">
        <v>868</v>
      </c>
      <c r="K30" s="2653"/>
      <c r="M30" s="2953"/>
      <c r="N30" s="2953"/>
      <c r="O30" s="2953"/>
      <c r="P30" s="2953"/>
      <c r="Q30" s="2953"/>
      <c r="R30" s="2953"/>
      <c r="S30" s="2953"/>
      <c r="T30" s="2953"/>
      <c r="U30" s="2953"/>
    </row>
    <row r="31" spans="1:21" ht="25.5" customHeight="1">
      <c r="B31" s="2661"/>
      <c r="C31" s="2662"/>
      <c r="D31" s="2662"/>
      <c r="E31" s="2662"/>
      <c r="F31" s="2662"/>
      <c r="G31" s="2662"/>
      <c r="H31" s="2662"/>
      <c r="I31" s="2662"/>
      <c r="J31" s="2663"/>
      <c r="K31" s="2664"/>
      <c r="L31" s="2665"/>
      <c r="M31" s="2953"/>
      <c r="N31" s="2953"/>
      <c r="O31" s="2953"/>
      <c r="P31" s="2953"/>
      <c r="Q31" s="2953"/>
      <c r="R31" s="2953"/>
      <c r="S31" s="2953"/>
      <c r="T31" s="2953"/>
      <c r="U31" s="2953"/>
    </row>
    <row r="32" spans="1:21" ht="25.5" customHeight="1" outlineLevel="1">
      <c r="B32" s="3214" t="s">
        <v>814</v>
      </c>
      <c r="C32" s="2666" t="s">
        <v>792</v>
      </c>
      <c r="D32" s="2667">
        <v>67700</v>
      </c>
      <c r="E32" s="2667">
        <f>'유통플랫폼 중기 최초 계획'!$F$27</f>
        <v>64205</v>
      </c>
      <c r="F32" s="2667">
        <f>'유통플랫폼 중기 최초 계획'!$G$27</f>
        <v>96000</v>
      </c>
      <c r="G32" s="2667">
        <f>F32-E32</f>
        <v>31795</v>
      </c>
      <c r="H32" s="2652">
        <f>F32/E32-1</f>
        <v>0.49521065337590531</v>
      </c>
      <c r="I32" s="2734">
        <f t="shared" si="11"/>
        <v>0.41802067946824217</v>
      </c>
      <c r="J32" s="2753" t="s">
        <v>828</v>
      </c>
      <c r="K32" s="2653"/>
      <c r="M32" s="2953"/>
      <c r="N32" s="2953"/>
      <c r="O32" s="2953"/>
      <c r="P32" s="2953"/>
      <c r="Q32" s="2953"/>
      <c r="R32" s="2953"/>
      <c r="S32" s="2953"/>
      <c r="T32" s="2953"/>
      <c r="U32" s="2953"/>
    </row>
    <row r="33" spans="2:21" ht="25.5" customHeight="1" outlineLevel="1">
      <c r="B33" s="3215"/>
      <c r="C33" s="2668" t="s">
        <v>813</v>
      </c>
      <c r="D33" s="2669">
        <v>54446</v>
      </c>
      <c r="E33" s="2669">
        <f>'유통플랫폼 중기 최초 계획'!$F$32</f>
        <v>56520</v>
      </c>
      <c r="F33" s="2669">
        <f>'유통플랫폼 중기 최초 계획'!$G$32</f>
        <v>111768</v>
      </c>
      <c r="G33" s="2669">
        <f t="shared" ref="G33:G37" si="13">F33-E33</f>
        <v>55248</v>
      </c>
      <c r="H33" s="2670">
        <f t="shared" si="7"/>
        <v>0.97749469214437368</v>
      </c>
      <c r="I33" s="2730">
        <f t="shared" si="11"/>
        <v>1.0528229805679024</v>
      </c>
      <c r="J33" s="3217" t="s">
        <v>829</v>
      </c>
      <c r="K33" s="2653"/>
      <c r="M33" s="2953"/>
      <c r="N33" s="2953"/>
      <c r="O33" s="2953"/>
      <c r="P33" s="2953"/>
      <c r="Q33" s="2953"/>
      <c r="R33" s="2953"/>
      <c r="S33" s="2953"/>
      <c r="T33" s="2953"/>
      <c r="U33" s="2953"/>
    </row>
    <row r="34" spans="2:21" ht="25.5" customHeight="1" outlineLevel="1">
      <c r="B34" s="3215"/>
      <c r="C34" s="2671" t="s">
        <v>824</v>
      </c>
      <c r="D34" s="2672">
        <v>52528</v>
      </c>
      <c r="E34" s="2672">
        <f>'유통플랫폼 중기 최초 계획'!$F$33</f>
        <v>50868</v>
      </c>
      <c r="F34" s="2672">
        <f>'유통플랫폼 중기 최초 계획'!$G$33</f>
        <v>100591.2</v>
      </c>
      <c r="G34" s="2672">
        <f t="shared" si="13"/>
        <v>49723.199999999997</v>
      </c>
      <c r="H34" s="2673">
        <f t="shared" si="7"/>
        <v>0.97749469214437368</v>
      </c>
      <c r="I34" s="2735">
        <f t="shared" si="11"/>
        <v>0.91500152299725857</v>
      </c>
      <c r="J34" s="3218"/>
      <c r="K34" s="2653"/>
      <c r="M34" s="2953"/>
      <c r="N34" s="2953"/>
      <c r="O34" s="2953"/>
      <c r="P34" s="2953"/>
      <c r="Q34" s="2953"/>
      <c r="R34" s="2953"/>
      <c r="S34" s="2953"/>
      <c r="T34" s="2953"/>
      <c r="U34" s="2953"/>
    </row>
    <row r="35" spans="2:21" ht="25.5" customHeight="1" outlineLevel="1">
      <c r="B35" s="3215"/>
      <c r="C35" s="2674" t="s">
        <v>615</v>
      </c>
      <c r="D35" s="2675">
        <v>48950</v>
      </c>
      <c r="E35" s="2675">
        <f>'유통플랫폼 중기 최초 계획'!$F$38</f>
        <v>46200</v>
      </c>
      <c r="F35" s="2675">
        <f>'유통플랫폼 중기 최초 계획'!$G$38</f>
        <v>46200</v>
      </c>
      <c r="G35" s="2675" t="s">
        <v>656</v>
      </c>
      <c r="H35" s="2676">
        <f t="shared" si="7"/>
        <v>0</v>
      </c>
      <c r="I35" s="2736">
        <f t="shared" si="11"/>
        <v>-5.6179775280898903E-2</v>
      </c>
      <c r="J35" s="3219" t="s">
        <v>819</v>
      </c>
      <c r="K35" s="2677"/>
      <c r="M35" s="2953"/>
      <c r="N35" s="2953"/>
      <c r="O35" s="2953"/>
      <c r="P35" s="2953"/>
      <c r="Q35" s="2953"/>
      <c r="R35" s="2953"/>
      <c r="S35" s="2953"/>
      <c r="T35" s="2953"/>
      <c r="U35" s="2953"/>
    </row>
    <row r="36" spans="2:21" ht="25.5" customHeight="1" outlineLevel="1">
      <c r="B36" s="3215"/>
      <c r="C36" s="2671" t="s">
        <v>616</v>
      </c>
      <c r="D36" s="2672">
        <v>24393</v>
      </c>
      <c r="E36" s="2672">
        <f>'유통플랫폼 중기 최초 계획'!$F$39</f>
        <v>36000</v>
      </c>
      <c r="F36" s="2672">
        <f>'유통플랫폼 중기 최초 계획'!$G$39</f>
        <v>40194</v>
      </c>
      <c r="G36" s="2672">
        <f t="shared" si="13"/>
        <v>4194</v>
      </c>
      <c r="H36" s="2673">
        <f t="shared" si="7"/>
        <v>0.11650000000000005</v>
      </c>
      <c r="I36" s="2735">
        <f t="shared" si="11"/>
        <v>0.64776780223834707</v>
      </c>
      <c r="J36" s="3218"/>
      <c r="K36" s="2677"/>
      <c r="M36" s="2953"/>
      <c r="N36" s="2953"/>
      <c r="O36" s="2953"/>
      <c r="P36" s="2953"/>
      <c r="Q36" s="2953"/>
      <c r="R36" s="2953"/>
      <c r="S36" s="2953"/>
      <c r="T36" s="2953"/>
      <c r="U36" s="2953"/>
    </row>
    <row r="37" spans="2:21" ht="25.5" customHeight="1" outlineLevel="1">
      <c r="B37" s="3215"/>
      <c r="C37" s="2678" t="s">
        <v>793</v>
      </c>
      <c r="D37" s="2679">
        <v>1100</v>
      </c>
      <c r="E37" s="2679">
        <f>'유통플랫폼 중기 최초 계획'!$F$42</f>
        <v>1200</v>
      </c>
      <c r="F37" s="2679">
        <f>'유통플랫폼 중기 최초 계획'!$G$42</f>
        <v>1300</v>
      </c>
      <c r="G37" s="2679">
        <f t="shared" si="13"/>
        <v>100</v>
      </c>
      <c r="H37" s="2680">
        <f t="shared" si="7"/>
        <v>8.3333333333333259E-2</v>
      </c>
      <c r="I37" s="2736">
        <f t="shared" si="11"/>
        <v>0.18181818181818188</v>
      </c>
      <c r="J37" s="3217" t="s">
        <v>823</v>
      </c>
      <c r="K37" s="2653"/>
      <c r="M37" s="2953"/>
      <c r="N37" s="2953"/>
      <c r="O37" s="2953"/>
      <c r="P37" s="2953"/>
      <c r="Q37" s="2953"/>
      <c r="R37" s="2953"/>
      <c r="S37" s="2953"/>
      <c r="T37" s="2953"/>
      <c r="U37" s="2953"/>
    </row>
    <row r="38" spans="2:21" ht="25.5" customHeight="1" outlineLevel="1">
      <c r="B38" s="3216"/>
      <c r="C38" s="2681" t="s">
        <v>794</v>
      </c>
      <c r="D38" s="2667">
        <v>3000</v>
      </c>
      <c r="E38" s="2667">
        <f>'유통플랫폼 중기 최초 계획'!$F$43</f>
        <v>3100</v>
      </c>
      <c r="F38" s="2667">
        <f>'유통플랫폼 중기 최초 계획'!$G$43</f>
        <v>3100</v>
      </c>
      <c r="G38" s="2667" t="s">
        <v>656</v>
      </c>
      <c r="H38" s="2652">
        <f t="shared" si="7"/>
        <v>0</v>
      </c>
      <c r="I38" s="2652">
        <f t="shared" si="11"/>
        <v>3.3333333333333437E-2</v>
      </c>
      <c r="J38" s="3218"/>
      <c r="M38" s="2953"/>
      <c r="N38" s="2953"/>
      <c r="O38" s="2953"/>
      <c r="P38" s="2953"/>
      <c r="Q38" s="2953"/>
      <c r="R38" s="2953"/>
      <c r="S38" s="2953"/>
      <c r="T38" s="2953"/>
      <c r="U38" s="2953"/>
    </row>
  </sheetData>
  <mergeCells count="38">
    <mergeCell ref="B9:C9"/>
    <mergeCell ref="B8:C8"/>
    <mergeCell ref="J7:J11"/>
    <mergeCell ref="B3:C3"/>
    <mergeCell ref="B4:C4"/>
    <mergeCell ref="B5:C5"/>
    <mergeCell ref="B7:C7"/>
    <mergeCell ref="B6:C6"/>
    <mergeCell ref="J4:J6"/>
    <mergeCell ref="J20:J21"/>
    <mergeCell ref="B21:C21"/>
    <mergeCell ref="B10:C10"/>
    <mergeCell ref="B11:C11"/>
    <mergeCell ref="B12:C12"/>
    <mergeCell ref="J12:J13"/>
    <mergeCell ref="B13:C13"/>
    <mergeCell ref="B14:C14"/>
    <mergeCell ref="B15:C15"/>
    <mergeCell ref="B16:C16"/>
    <mergeCell ref="B17:C17"/>
    <mergeCell ref="B18:C18"/>
    <mergeCell ref="J18:J19"/>
    <mergeCell ref="B19:C19"/>
    <mergeCell ref="B20:C20"/>
    <mergeCell ref="B32:B38"/>
    <mergeCell ref="J33:J34"/>
    <mergeCell ref="J35:J36"/>
    <mergeCell ref="J37:J38"/>
    <mergeCell ref="B22:C22"/>
    <mergeCell ref="B23:C23"/>
    <mergeCell ref="J23:J26"/>
    <mergeCell ref="B24:C24"/>
    <mergeCell ref="B25:C25"/>
    <mergeCell ref="B26:C26"/>
    <mergeCell ref="B27:C27"/>
    <mergeCell ref="B28:C28"/>
    <mergeCell ref="B29:C29"/>
    <mergeCell ref="B30:C30"/>
  </mergeCells>
  <phoneticPr fontId="2" type="noConversion"/>
  <conditionalFormatting sqref="F39:G39">
    <cfRule type="cellIs" dxfId="0" priority="1" operator="lessThan">
      <formula>0</formula>
    </cfRule>
  </conditionalFormatting>
  <pageMargins left="1.4173228346456694" right="0.23622047244094491" top="0.55118110236220474" bottom="0.55118110236220474" header="0.31496062992125984" footer="0.31496062992125984"/>
  <pageSetup paperSize="9" scale="64" orientation="landscape" r:id="rId1"/>
  <ignoredErrors>
    <ignoredError sqref="I33:I36" evalError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368C-D0EE-48A5-8E3E-E40C90259C5C}">
  <sheetPr>
    <tabColor theme="8" tint="0.79998168889431442"/>
    <pageSetUpPr fitToPage="1"/>
  </sheetPr>
  <dimension ref="B1:T94"/>
  <sheetViews>
    <sheetView showGridLines="0" workbookViewId="0">
      <selection activeCell="B3" sqref="B3:C3"/>
    </sheetView>
  </sheetViews>
  <sheetFormatPr defaultColWidth="8.6640625" defaultRowHeight="13.5"/>
  <cols>
    <col min="1" max="1" width="7.1640625" style="778" customWidth="1"/>
    <col min="2" max="2" width="10.83203125" style="778" customWidth="1"/>
    <col min="3" max="3" width="15.08203125" style="778" customWidth="1"/>
    <col min="4" max="5" width="11.33203125" style="778" customWidth="1"/>
    <col min="6" max="6" width="9.1640625" style="778" customWidth="1"/>
    <col min="7" max="7" width="8.83203125" style="2990" customWidth="1"/>
    <col min="8" max="9" width="8.08203125" style="778" customWidth="1"/>
    <col min="10" max="11" width="7.25" style="2112" hidden="1" customWidth="1"/>
    <col min="12" max="14" width="8.6640625" style="2112" hidden="1" customWidth="1"/>
    <col min="15" max="15" width="15.33203125" style="2112" hidden="1" customWidth="1"/>
    <col min="16" max="18" width="8.6640625" style="2112" hidden="1" customWidth="1"/>
    <col min="19" max="19" width="0" style="2112" hidden="1" customWidth="1"/>
    <col min="20" max="20" width="8.6640625" style="2112"/>
    <col min="21" max="16384" width="8.6640625" style="778"/>
  </cols>
  <sheetData>
    <row r="1" spans="2:7" ht="14.5" customHeight="1">
      <c r="B1" s="2388"/>
      <c r="D1" s="2961">
        <f>D11/D6</f>
        <v>1.0717882563020991</v>
      </c>
      <c r="E1" s="2961">
        <f>E11/E6</f>
        <v>1.0478518362938454</v>
      </c>
    </row>
    <row r="2" spans="2:7" ht="23.5" customHeight="1">
      <c r="B2" s="2682" t="s">
        <v>830</v>
      </c>
      <c r="C2" s="2683"/>
      <c r="F2" s="2684"/>
      <c r="G2" s="2991" t="s">
        <v>807</v>
      </c>
    </row>
    <row r="3" spans="2:7" ht="19.5" customHeight="1">
      <c r="B3" s="3252" t="s">
        <v>800</v>
      </c>
      <c r="C3" s="3253"/>
      <c r="D3" s="2685" t="s">
        <v>857</v>
      </c>
      <c r="E3" s="2686" t="s">
        <v>775</v>
      </c>
      <c r="F3" s="2687"/>
      <c r="G3" s="2992" t="s">
        <v>776</v>
      </c>
    </row>
    <row r="4" spans="2:7" ht="18.5" customHeight="1">
      <c r="B4" s="2688" t="s">
        <v>801</v>
      </c>
      <c r="C4" s="2689"/>
      <c r="D4" s="2690">
        <f>'전사 손익계산서'!CD12</f>
        <v>753458.02946499991</v>
      </c>
      <c r="E4" s="2691">
        <f>'전사 손익계산서'!CQ12</f>
        <v>816286.56771075702</v>
      </c>
      <c r="F4" s="2692"/>
      <c r="G4" s="2993">
        <f t="shared" ref="G4:G21" si="0">IFERROR(E4/D4-1,0)</f>
        <v>8.3386911797023622E-2</v>
      </c>
    </row>
    <row r="5" spans="2:7" ht="19.5" customHeight="1">
      <c r="B5" s="2693" t="s">
        <v>802</v>
      </c>
      <c r="C5" s="2694"/>
      <c r="D5" s="2695">
        <f>'전사 손익계산서'!CD52</f>
        <v>16341.415247999987</v>
      </c>
      <c r="E5" s="2696">
        <f>'전사 손익계산서'!CQ52</f>
        <v>17151.000000000291</v>
      </c>
      <c r="F5" s="2692"/>
      <c r="G5" s="2993">
        <f t="shared" si="0"/>
        <v>4.9541899505882059E-2</v>
      </c>
    </row>
    <row r="6" spans="2:7" ht="19.5" customHeight="1">
      <c r="B6" s="2697" t="s">
        <v>435</v>
      </c>
      <c r="C6" s="2698"/>
      <c r="D6" s="2699">
        <f>'전사 손익계산서'!CD13</f>
        <v>467696.06741399999</v>
      </c>
      <c r="E6" s="2700">
        <f>'전사 손익계산서'!CQ13</f>
        <v>530095.79584950197</v>
      </c>
      <c r="F6" s="2692"/>
      <c r="G6" s="2993">
        <f t="shared" si="0"/>
        <v>0.1334193994414461</v>
      </c>
    </row>
    <row r="7" spans="2:7" ht="19.5" customHeight="1">
      <c r="B7" s="2701" t="s">
        <v>803</v>
      </c>
      <c r="C7" s="2702"/>
      <c r="D7" s="2703">
        <f>'전사 손익계산서'!CD14</f>
        <v>285761.96205099998</v>
      </c>
      <c r="E7" s="2704">
        <f>'전사 손익계산서'!CQ14</f>
        <v>286190.77186125511</v>
      </c>
      <c r="F7" s="2705"/>
      <c r="G7" s="2993">
        <f t="shared" si="0"/>
        <v>1.5005839376851515E-3</v>
      </c>
    </row>
    <row r="8" spans="2:7" ht="19.5" customHeight="1">
      <c r="B8" s="2706" t="s">
        <v>120</v>
      </c>
      <c r="C8" s="2707"/>
      <c r="D8" s="2703">
        <f>'전사 손익계산서'!CD15</f>
        <v>176217.78853399999</v>
      </c>
      <c r="E8" s="2704">
        <f>'전사 손익계산서'!CQ15</f>
        <v>180215.46798443847</v>
      </c>
      <c r="F8" s="2705"/>
      <c r="G8" s="2993">
        <f t="shared" si="0"/>
        <v>2.2686015320565467E-2</v>
      </c>
    </row>
    <row r="9" spans="2:7" ht="19.5" customHeight="1">
      <c r="B9" s="2706" t="s">
        <v>121</v>
      </c>
      <c r="C9" s="2701"/>
      <c r="D9" s="2703">
        <f>'전사 손익계산서'!CD16</f>
        <v>61564.254750999993</v>
      </c>
      <c r="E9" s="2704">
        <f>'전사 손익계산서'!CQ16</f>
        <v>57976.257145533986</v>
      </c>
      <c r="F9" s="2705"/>
      <c r="G9" s="2993">
        <f t="shared" si="0"/>
        <v>-5.8280533403317514E-2</v>
      </c>
    </row>
    <row r="10" spans="2:7" ht="19.5" customHeight="1">
      <c r="B10" s="2706" t="s">
        <v>122</v>
      </c>
      <c r="C10" s="2707"/>
      <c r="D10" s="2703">
        <f>'전사 손익계산서'!CD17</f>
        <v>47979.918766000003</v>
      </c>
      <c r="E10" s="2704">
        <f>'전사 손익계산서'!CQ17</f>
        <v>47999.046731282666</v>
      </c>
      <c r="F10" s="2705"/>
      <c r="G10" s="2994">
        <f t="shared" si="0"/>
        <v>3.9866606227390022E-4</v>
      </c>
    </row>
    <row r="11" spans="2:7" ht="18.5" customHeight="1">
      <c r="B11" s="2688" t="s">
        <v>804</v>
      </c>
      <c r="C11" s="2689"/>
      <c r="D11" s="2690">
        <f>'전사 손익계산서'!CD18</f>
        <v>501271.152573</v>
      </c>
      <c r="E11" s="2691">
        <f>'전사 손익계산서'!CQ18</f>
        <v>555461.85309254797</v>
      </c>
      <c r="F11" s="2692"/>
      <c r="G11" s="2993">
        <f t="shared" si="0"/>
        <v>0.10810656117231132</v>
      </c>
    </row>
    <row r="12" spans="2:7" ht="18.5" customHeight="1">
      <c r="B12" s="2688" t="s">
        <v>805</v>
      </c>
      <c r="C12" s="2689"/>
      <c r="D12" s="2690">
        <f>'전사 손익계산서'!CD19</f>
        <v>252186.87689200003</v>
      </c>
      <c r="E12" s="2691">
        <f>'전사 손익계산서'!CQ19</f>
        <v>260824.71461820911</v>
      </c>
      <c r="F12" s="2692"/>
      <c r="G12" s="2993">
        <f t="shared" si="0"/>
        <v>3.4251733605901613E-2</v>
      </c>
    </row>
    <row r="13" spans="2:7" ht="18.5" customHeight="1">
      <c r="B13" s="2688" t="s">
        <v>806</v>
      </c>
      <c r="C13" s="2689"/>
      <c r="D13" s="2690">
        <f>'전사 손익계산서'!CD20</f>
        <v>235845.461644</v>
      </c>
      <c r="E13" s="2691">
        <f>'전사 손익계산서'!CQ20</f>
        <v>243673.71461820882</v>
      </c>
      <c r="F13" s="2692"/>
      <c r="G13" s="2993">
        <f t="shared" si="0"/>
        <v>3.3192298548552435E-2</v>
      </c>
    </row>
    <row r="14" spans="2:7" ht="18.5" customHeight="1">
      <c r="B14" s="2697" t="s">
        <v>66</v>
      </c>
      <c r="C14" s="2698"/>
      <c r="D14" s="2699">
        <f>'전사 손익계산서'!CD21</f>
        <v>140784.40513200001</v>
      </c>
      <c r="E14" s="2700">
        <f>'전사 손익계산서'!CQ21</f>
        <v>147785.13399853924</v>
      </c>
      <c r="F14" s="2692"/>
      <c r="G14" s="2994">
        <f t="shared" si="0"/>
        <v>4.9726593367889871E-2</v>
      </c>
    </row>
    <row r="15" spans="2:7" ht="18.5" customHeight="1">
      <c r="B15" s="2706" t="s">
        <v>67</v>
      </c>
      <c r="C15" s="2707"/>
      <c r="D15" s="2703">
        <f>'전사 손익계산서'!CD22</f>
        <v>17537.095530000002</v>
      </c>
      <c r="E15" s="2704">
        <f>'전사 손익계산서'!CQ22</f>
        <v>18912.697761681789</v>
      </c>
      <c r="F15" s="2705"/>
      <c r="G15" s="2994">
        <f t="shared" si="0"/>
        <v>7.8439569957784672E-2</v>
      </c>
    </row>
    <row r="16" spans="2:7" ht="18.5" customHeight="1">
      <c r="B16" s="2706" t="s">
        <v>68</v>
      </c>
      <c r="C16" s="2701"/>
      <c r="D16" s="2703">
        <f>'전사 손익계산서'!CD23</f>
        <v>75411.306813000003</v>
      </c>
      <c r="E16" s="2704">
        <f>'전사 손익계산서'!CQ23</f>
        <v>78841.411682754231</v>
      </c>
      <c r="F16" s="2705"/>
      <c r="G16" s="2994">
        <f t="shared" si="0"/>
        <v>4.5485286155562576E-2</v>
      </c>
    </row>
    <row r="17" spans="2:10" ht="18.5" customHeight="1">
      <c r="B17" s="2706" t="s">
        <v>438</v>
      </c>
      <c r="C17" s="2701"/>
      <c r="D17" s="2703">
        <f>'전사 손익계산서'!CD24</f>
        <v>2896.5</v>
      </c>
      <c r="E17" s="2704">
        <f>'전사 손익계산서'!CQ24</f>
        <v>3000</v>
      </c>
      <c r="F17" s="2705"/>
      <c r="G17" s="2994">
        <f t="shared" si="0"/>
        <v>3.5732780942516751E-2</v>
      </c>
    </row>
    <row r="18" spans="2:10" ht="18.5" customHeight="1">
      <c r="B18" s="2706" t="s">
        <v>69</v>
      </c>
      <c r="C18" s="2707"/>
      <c r="D18" s="2703">
        <f>'전사 손익계산서'!CD25</f>
        <v>699.44121100000007</v>
      </c>
      <c r="E18" s="2704">
        <f>'전사 손익계산서'!CQ25</f>
        <v>710.47573507999959</v>
      </c>
      <c r="F18" s="2705"/>
      <c r="G18" s="2994">
        <f t="shared" si="0"/>
        <v>1.5776199495341814E-2</v>
      </c>
    </row>
    <row r="19" spans="2:10" ht="18.5" customHeight="1">
      <c r="B19" s="2706" t="s">
        <v>70</v>
      </c>
      <c r="C19" s="2707"/>
      <c r="D19" s="2703">
        <f>'전사 손익계산서'!CD26</f>
        <v>10263.998377999998</v>
      </c>
      <c r="E19" s="2704">
        <f>'전사 손익계산서'!CQ26</f>
        <v>11914</v>
      </c>
      <c r="F19" s="2705"/>
      <c r="G19" s="2993">
        <f t="shared" si="0"/>
        <v>0.16075622396206124</v>
      </c>
    </row>
    <row r="20" spans="2:10" ht="18.5" customHeight="1">
      <c r="B20" s="2708" t="s">
        <v>71</v>
      </c>
      <c r="C20" s="2709"/>
      <c r="D20" s="2710">
        <f>'전사 손익계산서'!CD27</f>
        <v>33976.063200000004</v>
      </c>
      <c r="E20" s="2711">
        <f>'전사 손익계산서'!CQ27</f>
        <v>34406.548819023214</v>
      </c>
      <c r="F20" s="2705"/>
      <c r="G20" s="2993">
        <f t="shared" si="0"/>
        <v>1.2670261898477087E-2</v>
      </c>
      <c r="J20" s="2958"/>
    </row>
    <row r="21" spans="2:10" ht="18.5" customHeight="1">
      <c r="B21" s="2697" t="s">
        <v>72</v>
      </c>
      <c r="C21" s="2698"/>
      <c r="D21" s="2699">
        <f>'전사 손익계산서'!CD28</f>
        <v>44833.970433999988</v>
      </c>
      <c r="E21" s="2700">
        <f>'전사 손익계산서'!CQ28</f>
        <v>45587.282315765602</v>
      </c>
      <c r="F21" s="2692"/>
      <c r="G21" s="2993">
        <f t="shared" si="0"/>
        <v>1.6802256736876853E-2</v>
      </c>
    </row>
    <row r="22" spans="2:10" ht="18.5" customHeight="1">
      <c r="B22" s="2706" t="s">
        <v>73</v>
      </c>
      <c r="C22" s="2707"/>
      <c r="D22" s="2703">
        <f>'전사 손익계산서'!CD29</f>
        <v>15427.885715</v>
      </c>
      <c r="E22" s="2704">
        <f>'전사 손익계산서'!CQ29</f>
        <v>16897.313890955484</v>
      </c>
      <c r="F22" s="2705"/>
      <c r="G22" s="2993">
        <f>IFERROR(E22/D22-1,0)+0.05%</f>
        <v>9.5744948212625636E-2</v>
      </c>
      <c r="J22" s="2959" t="s">
        <v>836</v>
      </c>
    </row>
    <row r="23" spans="2:10" ht="18.5" customHeight="1">
      <c r="B23" s="2706" t="s">
        <v>74</v>
      </c>
      <c r="C23" s="2707"/>
      <c r="D23" s="2703">
        <f>'전사 손익계산서'!CD30</f>
        <v>28784.265983999987</v>
      </c>
      <c r="E23" s="2704">
        <f>'전사 손익계산서'!CQ30</f>
        <v>28059.803700810116</v>
      </c>
      <c r="F23" s="2705"/>
      <c r="G23" s="2993">
        <f t="shared" ref="G23:G44" si="1">IFERROR(E23/D23-1,0)</f>
        <v>-2.5168690547557104E-2</v>
      </c>
      <c r="J23" s="2958"/>
    </row>
    <row r="24" spans="2:10" ht="20" customHeight="1">
      <c r="B24" s="2901" t="s">
        <v>75</v>
      </c>
      <c r="C24" s="2902"/>
      <c r="D24" s="2903">
        <f>'전사 손익계산서'!CD31</f>
        <v>621.81873499999995</v>
      </c>
      <c r="E24" s="2904">
        <f>'전사 손익계산서'!CQ31</f>
        <v>630.16472400000009</v>
      </c>
      <c r="F24" s="2705"/>
      <c r="G24" s="2993">
        <f t="shared" si="1"/>
        <v>1.3421900194113823E-2</v>
      </c>
      <c r="H24" s="2712"/>
      <c r="I24" s="2712"/>
    </row>
    <row r="25" spans="2:10" ht="20" customHeight="1">
      <c r="B25" s="2697" t="s">
        <v>76</v>
      </c>
      <c r="C25" s="2698"/>
      <c r="D25" s="2699">
        <f>'전사 손익계산서'!CD32</f>
        <v>5315.1673940000001</v>
      </c>
      <c r="E25" s="2700">
        <f>'전사 손익계산서'!CQ32</f>
        <v>5474.1124374441588</v>
      </c>
      <c r="F25" s="2692"/>
      <c r="G25" s="2993">
        <f t="shared" si="1"/>
        <v>2.990405224557624E-2</v>
      </c>
    </row>
    <row r="26" spans="2:10" ht="20" customHeight="1">
      <c r="B26" s="2905" t="s">
        <v>77</v>
      </c>
      <c r="C26" s="2906"/>
      <c r="D26" s="2907">
        <f>'전사 손익계산서'!CD33</f>
        <v>4488.5558190000002</v>
      </c>
      <c r="E26" s="2908">
        <f>'전사 손익계산서'!CQ33</f>
        <v>4578.0936263155199</v>
      </c>
      <c r="F26" s="2705"/>
      <c r="G26" s="2993">
        <f t="shared" si="1"/>
        <v>1.9948021351657852E-2</v>
      </c>
      <c r="J26" s="2959" t="s">
        <v>859</v>
      </c>
    </row>
    <row r="27" spans="2:10" ht="19.75" customHeight="1">
      <c r="B27" s="2706" t="s">
        <v>78</v>
      </c>
      <c r="C27" s="2707"/>
      <c r="D27" s="2703">
        <f>'전사 손익계산서'!CD34</f>
        <v>826.61157500000002</v>
      </c>
      <c r="E27" s="2704">
        <f>'전사 손익계산서'!CQ34</f>
        <v>896.0188111286385</v>
      </c>
      <c r="F27" s="2705"/>
      <c r="G27" s="2993">
        <f t="shared" si="1"/>
        <v>8.3965962040440267E-2</v>
      </c>
    </row>
    <row r="28" spans="2:10" ht="19.75" customHeight="1">
      <c r="B28" s="2697" t="s">
        <v>384</v>
      </c>
      <c r="C28" s="2698"/>
      <c r="D28" s="2909">
        <f>'전사 손익계산서'!CD35</f>
        <v>6388.1613470000002</v>
      </c>
      <c r="E28" s="2700">
        <f>'전사 손익계산서'!CQ35</f>
        <v>6035.7088926904889</v>
      </c>
      <c r="F28" s="2692"/>
      <c r="G28" s="2993">
        <f t="shared" si="1"/>
        <v>-5.517275396856236E-2</v>
      </c>
    </row>
    <row r="29" spans="2:10" ht="19.75" customHeight="1">
      <c r="B29" s="2706" t="s">
        <v>79</v>
      </c>
      <c r="C29" s="2707"/>
      <c r="D29" s="2907">
        <f>'전사 손익계산서'!CD36</f>
        <v>6140.1567270000005</v>
      </c>
      <c r="E29" s="2704">
        <f>'전사 손익계산서'!CQ36</f>
        <v>5601.8191300238204</v>
      </c>
      <c r="F29" s="2705"/>
      <c r="G29" s="2993">
        <f t="shared" si="1"/>
        <v>-8.7674895106334638E-2</v>
      </c>
      <c r="J29" s="2959" t="s">
        <v>860</v>
      </c>
    </row>
    <row r="30" spans="2:10" ht="19.75" customHeight="1">
      <c r="B30" s="2708" t="s">
        <v>80</v>
      </c>
      <c r="C30" s="2709"/>
      <c r="D30" s="2710">
        <f>'전사 손익계산서'!CD37</f>
        <v>248.00462000000007</v>
      </c>
      <c r="E30" s="2711">
        <f>'전사 손익계산서'!CQ37</f>
        <v>433.88976266666668</v>
      </c>
      <c r="F30" s="2705"/>
      <c r="G30" s="2993">
        <f t="shared" si="1"/>
        <v>0.74952290270506472</v>
      </c>
      <c r="J30" s="2959" t="s">
        <v>808</v>
      </c>
    </row>
    <row r="31" spans="2:10" ht="19.75" customHeight="1">
      <c r="B31" s="2697" t="s">
        <v>81</v>
      </c>
      <c r="C31" s="2698"/>
      <c r="D31" s="2699">
        <f>'전사 손익계산서'!CD38</f>
        <v>38523.75733700001</v>
      </c>
      <c r="E31" s="2700">
        <f>'전사 손익계산서'!CQ38</f>
        <v>38791.476973769335</v>
      </c>
      <c r="F31" s="2692"/>
      <c r="G31" s="2993">
        <f t="shared" si="1"/>
        <v>6.9494684650657224E-3</v>
      </c>
    </row>
    <row r="32" spans="2:10" ht="20" customHeight="1">
      <c r="B32" s="2706" t="s">
        <v>82</v>
      </c>
      <c r="C32" s="2707"/>
      <c r="D32" s="2703">
        <f>'전사 손익계산서'!CD39</f>
        <v>20977.909091999998</v>
      </c>
      <c r="E32" s="2704">
        <f>'전사 손익계산서'!CQ39</f>
        <v>20598.844979372301</v>
      </c>
      <c r="F32" s="2705"/>
      <c r="G32" s="2993">
        <f t="shared" si="1"/>
        <v>-1.8069680394041443E-2</v>
      </c>
    </row>
    <row r="33" spans="2:15" ht="20" customHeight="1">
      <c r="B33" s="2706" t="s">
        <v>83</v>
      </c>
      <c r="C33" s="2707"/>
      <c r="D33" s="2703">
        <f>'전사 손익계산서'!CD40</f>
        <v>6253.1447559999997</v>
      </c>
      <c r="E33" s="2704">
        <f>'전사 손익계산서'!CQ40</f>
        <v>6414.9786007124985</v>
      </c>
      <c r="F33" s="2705"/>
      <c r="G33" s="2993">
        <f t="shared" si="1"/>
        <v>2.5880393150536918E-2</v>
      </c>
    </row>
    <row r="34" spans="2:15" ht="20" customHeight="1">
      <c r="B34" s="2706" t="s">
        <v>84</v>
      </c>
      <c r="C34" s="2707"/>
      <c r="D34" s="2703">
        <f>'전사 손익계산서'!CD41</f>
        <v>4731.2440649999999</v>
      </c>
      <c r="E34" s="2704">
        <f>'전사 손익계산서'!CQ41</f>
        <v>4873.0933142162203</v>
      </c>
      <c r="F34" s="2705"/>
      <c r="G34" s="2993">
        <f t="shared" si="1"/>
        <v>2.9981384867791672E-2</v>
      </c>
    </row>
    <row r="35" spans="2:15" ht="20" customHeight="1">
      <c r="B35" s="2706" t="s">
        <v>85</v>
      </c>
      <c r="C35" s="2707"/>
      <c r="D35" s="2907">
        <f>'전사 손익계산서'!CD42</f>
        <v>863.30343300000004</v>
      </c>
      <c r="E35" s="2704">
        <f>'전사 손익계산서'!CQ42</f>
        <v>929.91039487920705</v>
      </c>
      <c r="F35" s="2705"/>
      <c r="G35" s="2993">
        <f t="shared" si="1"/>
        <v>7.715359320157722E-2</v>
      </c>
    </row>
    <row r="36" spans="2:15" ht="18.5" customHeight="1">
      <c r="B36" s="2706" t="s">
        <v>86</v>
      </c>
      <c r="C36" s="2707"/>
      <c r="D36" s="2907">
        <f>'전사 손익계산서'!CD43</f>
        <v>945.07067800000004</v>
      </c>
      <c r="E36" s="2704">
        <f>'전사 손익계산서'!CQ43</f>
        <v>1010.5877658655576</v>
      </c>
      <c r="F36" s="2705"/>
      <c r="G36" s="2994">
        <f t="shared" si="1"/>
        <v>6.9325066781468214E-2</v>
      </c>
    </row>
    <row r="37" spans="2:15" ht="18.5" customHeight="1">
      <c r="B37" s="2706" t="s">
        <v>87</v>
      </c>
      <c r="C37" s="2707"/>
      <c r="D37" s="2907">
        <f>'전사 손익계산서'!CD44</f>
        <v>1449.4285559999998</v>
      </c>
      <c r="E37" s="2704">
        <f>'전사 손익계산서'!CQ44</f>
        <v>1481.6910502704052</v>
      </c>
      <c r="F37" s="2705"/>
      <c r="G37" s="2993">
        <f t="shared" si="1"/>
        <v>2.2258768213757607E-2</v>
      </c>
      <c r="H37" s="2713"/>
      <c r="I37" s="2713"/>
      <c r="O37" s="2960"/>
    </row>
    <row r="38" spans="2:15" ht="18.5" customHeight="1">
      <c r="B38" s="2706" t="s">
        <v>88</v>
      </c>
      <c r="C38" s="2707"/>
      <c r="D38" s="2703">
        <f>'전사 손익계산서'!CD45</f>
        <v>299.09793000000002</v>
      </c>
      <c r="E38" s="2704">
        <f>'전사 손익계산서'!CQ45</f>
        <v>322.42502000000002</v>
      </c>
      <c r="F38" s="2705"/>
      <c r="G38" s="2993">
        <f t="shared" si="1"/>
        <v>7.7991479245610229E-2</v>
      </c>
    </row>
    <row r="39" spans="2:15" ht="18.5" customHeight="1">
      <c r="B39" s="2706" t="s">
        <v>89</v>
      </c>
      <c r="C39" s="2707"/>
      <c r="D39" s="2703">
        <f>'전사 손익계산서'!CD46</f>
        <v>886.86351400000001</v>
      </c>
      <c r="E39" s="2704">
        <f>'전사 손익계산서'!CQ46</f>
        <v>933.75119464270119</v>
      </c>
      <c r="F39" s="2705"/>
      <c r="G39" s="2993">
        <f t="shared" si="1"/>
        <v>5.2869105451440523E-2</v>
      </c>
    </row>
    <row r="40" spans="2:15" ht="18.5" customHeight="1">
      <c r="B40" s="2706" t="s">
        <v>90</v>
      </c>
      <c r="C40" s="2707"/>
      <c r="D40" s="2703">
        <f>'전사 손익계산서'!CD47</f>
        <v>241.69809099999998</v>
      </c>
      <c r="E40" s="2704">
        <f>'전사 손익계산서'!CQ47</f>
        <v>258.92561399999994</v>
      </c>
      <c r="F40" s="2705"/>
      <c r="G40" s="2993">
        <f t="shared" si="1"/>
        <v>7.1277033793369693E-2</v>
      </c>
    </row>
    <row r="41" spans="2:15" ht="18.5" customHeight="1">
      <c r="B41" s="2706" t="s">
        <v>91</v>
      </c>
      <c r="C41" s="2707"/>
      <c r="D41" s="2703">
        <f>'전사 손익계산서'!CD48</f>
        <v>1287.7631480000002</v>
      </c>
      <c r="E41" s="2704">
        <f>'전사 손익계산서'!CQ48</f>
        <v>1346.6629519444871</v>
      </c>
      <c r="F41" s="2705"/>
      <c r="G41" s="2993">
        <f t="shared" si="1"/>
        <v>4.5738072281353181E-2</v>
      </c>
    </row>
    <row r="42" spans="2:15" ht="18.5" customHeight="1">
      <c r="B42" s="2706" t="s">
        <v>92</v>
      </c>
      <c r="C42" s="2707"/>
      <c r="D42" s="2703">
        <f>'전사 손익계산서'!CD49</f>
        <v>584.98419899999988</v>
      </c>
      <c r="E42" s="2704">
        <f>'전사 손익계산서'!CQ49</f>
        <v>616.6097422075851</v>
      </c>
      <c r="F42" s="2705"/>
      <c r="G42" s="2993">
        <f t="shared" si="1"/>
        <v>5.4062217854170092E-2</v>
      </c>
    </row>
    <row r="43" spans="2:15" ht="18.5" customHeight="1">
      <c r="B43" s="2706" t="s">
        <v>93</v>
      </c>
      <c r="C43" s="2707"/>
      <c r="D43" s="2703">
        <f>'전사 손익계산서'!CD50</f>
        <v>3.2498750000000003</v>
      </c>
      <c r="E43" s="2704">
        <f>'전사 손익계산서'!CQ50</f>
        <v>3.9963456583660477</v>
      </c>
      <c r="F43" s="2705"/>
      <c r="G43" s="2993">
        <f t="shared" si="1"/>
        <v>0.22969211380931487</v>
      </c>
    </row>
    <row r="44" spans="2:15" ht="18.5" customHeight="1">
      <c r="B44" s="2708" t="s">
        <v>94</v>
      </c>
      <c r="C44" s="2709"/>
      <c r="D44" s="2710">
        <f>'전사 손익계산서'!CD51</f>
        <v>0</v>
      </c>
      <c r="E44" s="2711">
        <f>'전사 손익계산서'!CQ51</f>
        <v>0</v>
      </c>
      <c r="F44" s="2705"/>
      <c r="G44" s="2993">
        <f t="shared" si="1"/>
        <v>0</v>
      </c>
    </row>
    <row r="45" spans="2:15" ht="18.5" customHeight="1">
      <c r="E45" s="2621"/>
      <c r="F45" s="2621"/>
    </row>
    <row r="46" spans="2:15" ht="18.5" customHeight="1"/>
    <row r="47" spans="2:15" ht="18.5" customHeight="1">
      <c r="G47" s="2995"/>
    </row>
    <row r="48" spans="2:15" ht="18.5" customHeight="1">
      <c r="G48" s="2995"/>
    </row>
    <row r="49" spans="7:7" ht="18.5" customHeight="1"/>
    <row r="50" spans="7:7" ht="18.5" customHeight="1">
      <c r="G50" s="2995"/>
    </row>
    <row r="51" spans="7:7" ht="18.5" customHeight="1">
      <c r="G51" s="2995"/>
    </row>
    <row r="52" spans="7:7" ht="18.5" customHeight="1">
      <c r="G52" s="2995"/>
    </row>
    <row r="53" spans="7:7" ht="18.5" customHeight="1"/>
    <row r="54" spans="7:7" ht="18.5" customHeight="1"/>
    <row r="55" spans="7:7" ht="18.5" customHeight="1"/>
    <row r="56" spans="7:7" ht="18.5" customHeight="1"/>
    <row r="57" spans="7:7" ht="18.5" customHeight="1"/>
    <row r="58" spans="7:7" ht="18.5" customHeight="1"/>
    <row r="59" spans="7:7" ht="18.5" customHeight="1"/>
    <row r="60" spans="7:7" ht="18.5" customHeight="1"/>
    <row r="94" spans="2:2" ht="14">
      <c r="B94" s="2714"/>
    </row>
  </sheetData>
  <mergeCells count="1">
    <mergeCell ref="B3:C3"/>
  </mergeCells>
  <phoneticPr fontId="2" type="noConversion"/>
  <pageMargins left="1.4960629921259843" right="0.70866141732283472" top="0.74803149606299213" bottom="0.74803149606299213" header="0.31496062992125984" footer="0.31496062992125984"/>
  <pageSetup paperSize="9" scale="90" orientation="portrait" r:id="rId1"/>
  <ignoredErrors>
    <ignoredError sqref="G22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A47BB-55FA-41B9-BD94-E8014D7A8B30}">
  <sheetPr>
    <tabColor theme="8" tint="0.79998168889431442"/>
  </sheetPr>
  <dimension ref="B5:N10"/>
  <sheetViews>
    <sheetView showGridLines="0" workbookViewId="0">
      <selection activeCell="B5" sqref="B5:B6"/>
    </sheetView>
  </sheetViews>
  <sheetFormatPr defaultRowHeight="17"/>
  <cols>
    <col min="2" max="2" width="11.33203125" customWidth="1"/>
  </cols>
  <sheetData>
    <row r="5" spans="2:14" ht="22" customHeight="1">
      <c r="B5" s="3514" t="s">
        <v>877</v>
      </c>
      <c r="C5" s="3504" t="s">
        <v>799</v>
      </c>
      <c r="D5" s="3504"/>
      <c r="E5" s="3504"/>
      <c r="F5" s="3504"/>
      <c r="G5" s="3504" t="s">
        <v>857</v>
      </c>
      <c r="H5" s="3504"/>
      <c r="I5" s="3504"/>
      <c r="J5" s="3504"/>
      <c r="K5" s="3504" t="s">
        <v>775</v>
      </c>
      <c r="L5" s="3504"/>
      <c r="M5" s="3504"/>
      <c r="N5" s="3505"/>
    </row>
    <row r="6" spans="2:14" ht="22" customHeight="1">
      <c r="B6" s="3507"/>
      <c r="C6" s="2940" t="s">
        <v>870</v>
      </c>
      <c r="D6" s="2940" t="s">
        <v>871</v>
      </c>
      <c r="E6" s="2940" t="s">
        <v>872</v>
      </c>
      <c r="F6" s="2940" t="s">
        <v>873</v>
      </c>
      <c r="G6" s="2940" t="s">
        <v>870</v>
      </c>
      <c r="H6" s="2940" t="s">
        <v>871</v>
      </c>
      <c r="I6" s="2940" t="s">
        <v>872</v>
      </c>
      <c r="J6" s="2940" t="s">
        <v>873</v>
      </c>
      <c r="K6" s="2940" t="s">
        <v>870</v>
      </c>
      <c r="L6" s="2940" t="s">
        <v>871</v>
      </c>
      <c r="M6" s="2940" t="s">
        <v>872</v>
      </c>
      <c r="N6" s="2941" t="s">
        <v>873</v>
      </c>
    </row>
    <row r="7" spans="2:14" ht="22" customHeight="1">
      <c r="B7" s="2924" t="s">
        <v>349</v>
      </c>
      <c r="C7" s="2942">
        <f>SUM('전사 손익계산서'!BR52:BT52)</f>
        <v>6597.3819060000187</v>
      </c>
      <c r="D7" s="2942">
        <f>SUM('전사 손익계산서'!BU52:BW52)</f>
        <v>4406.5439149999966</v>
      </c>
      <c r="E7" s="2942">
        <f>SUM('전사 손익계산서'!BX52:BZ52)</f>
        <v>4279.5494340000041</v>
      </c>
      <c r="F7" s="2942">
        <f>SUM('전사 손익계산서'!CA52:CC52)</f>
        <v>-814.43914100002075</v>
      </c>
      <c r="G7" s="2942">
        <f>SUM('전사 손익계산서'!CE52:CG52)</f>
        <v>6281.7005819999977</v>
      </c>
      <c r="H7" s="2942">
        <f>SUM('전사 손익계산서'!CH52:CJ52)</f>
        <v>8391.3730800000012</v>
      </c>
      <c r="I7" s="2942">
        <f>SUM('전사 손익계산서'!CK52:CM52)</f>
        <v>6510.2508109999908</v>
      </c>
      <c r="J7" s="2942">
        <f>SUM('전사 손익계산서'!CN52:CP52)</f>
        <v>-4841.9092250000031</v>
      </c>
      <c r="K7" s="2942">
        <f>SUM('전사 손익계산서'!CR52:CT52)</f>
        <v>7742.5886407984581</v>
      </c>
      <c r="L7" s="2942">
        <f>SUM('전사 손익계산서'!CU52:CW52)</f>
        <v>6162.2753665624732</v>
      </c>
      <c r="M7" s="2942">
        <f>SUM('전사 손익계산서'!CX52:CZ52)</f>
        <v>6186.6909125725324</v>
      </c>
      <c r="N7" s="2943">
        <f>SUM('전사 손익계산서'!DA52:DC52)</f>
        <v>-2940.5549199331836</v>
      </c>
    </row>
    <row r="8" spans="2:14" ht="22" customHeight="1">
      <c r="B8" s="3511" t="s">
        <v>874</v>
      </c>
      <c r="C8" s="3508">
        <f>C7+D7</f>
        <v>11003.925821000015</v>
      </c>
      <c r="D8" s="3509"/>
      <c r="E8" s="3508">
        <f>E7+F7</f>
        <v>3465.1102929999834</v>
      </c>
      <c r="F8" s="3509"/>
      <c r="G8" s="3508">
        <f>G7+H7</f>
        <v>14673.073661999999</v>
      </c>
      <c r="H8" s="3509"/>
      <c r="I8" s="3508">
        <f>I7+J7</f>
        <v>1668.3415859999877</v>
      </c>
      <c r="J8" s="3509"/>
      <c r="K8" s="3508">
        <f>K7+L7</f>
        <v>13904.864007360931</v>
      </c>
      <c r="L8" s="3509"/>
      <c r="M8" s="3508">
        <f>M7+N7</f>
        <v>3246.1359926393488</v>
      </c>
      <c r="N8" s="3510"/>
    </row>
    <row r="9" spans="2:14" ht="22" customHeight="1">
      <c r="B9" s="3512"/>
      <c r="C9" s="3506">
        <f>C7+D7+E7+F7</f>
        <v>14469.036113999999</v>
      </c>
      <c r="D9" s="3506"/>
      <c r="E9" s="3506"/>
      <c r="F9" s="3506"/>
      <c r="G9" s="3506">
        <f>G7+H7+I7+J7</f>
        <v>16341.415247999987</v>
      </c>
      <c r="H9" s="3506"/>
      <c r="I9" s="3506"/>
      <c r="J9" s="3506"/>
      <c r="K9" s="3506">
        <f>K7+L7+M7+N7</f>
        <v>17151.00000000028</v>
      </c>
      <c r="L9" s="3506"/>
      <c r="M9" s="3506"/>
      <c r="N9" s="3508"/>
    </row>
    <row r="10" spans="2:14" ht="22" customHeight="1">
      <c r="B10" s="2924" t="s">
        <v>875</v>
      </c>
      <c r="C10" s="2944">
        <f>C7/$C9</f>
        <v>0.45596554283367235</v>
      </c>
      <c r="D10" s="2944">
        <f t="shared" ref="D10:F10" si="0">D7/$C9</f>
        <v>0.30454992857031421</v>
      </c>
      <c r="E10" s="2944">
        <f t="shared" si="0"/>
        <v>0.29577294577758245</v>
      </c>
      <c r="F10" s="2944">
        <f t="shared" si="0"/>
        <v>-5.6288417181569059E-2</v>
      </c>
      <c r="G10" s="2944">
        <f>G7/$G9</f>
        <v>0.38440370596229784</v>
      </c>
      <c r="H10" s="2944">
        <f t="shared" ref="H10:J10" si="1">H7/$G9</f>
        <v>0.51350344830304795</v>
      </c>
      <c r="I10" s="2944">
        <f t="shared" si="1"/>
        <v>0.39838965672185433</v>
      </c>
      <c r="J10" s="2944">
        <f t="shared" si="1"/>
        <v>-0.29629681098720018</v>
      </c>
      <c r="K10" s="2944">
        <f>K7/$K9</f>
        <v>0.45143657167502371</v>
      </c>
      <c r="L10" s="2944">
        <f t="shared" ref="L10:N10" si="2">L7/$K9</f>
        <v>0.35929539773554736</v>
      </c>
      <c r="M10" s="2944">
        <f t="shared" si="2"/>
        <v>0.3607189617265717</v>
      </c>
      <c r="N10" s="2945">
        <f t="shared" si="2"/>
        <v>-0.17145093113714277</v>
      </c>
    </row>
  </sheetData>
  <mergeCells count="14">
    <mergeCell ref="C5:F5"/>
    <mergeCell ref="G5:J5"/>
    <mergeCell ref="K5:N5"/>
    <mergeCell ref="C9:F9"/>
    <mergeCell ref="B5:B6"/>
    <mergeCell ref="G9:J9"/>
    <mergeCell ref="K9:N9"/>
    <mergeCell ref="C8:D8"/>
    <mergeCell ref="E8:F8"/>
    <mergeCell ref="G8:H8"/>
    <mergeCell ref="I8:J8"/>
    <mergeCell ref="K8:L8"/>
    <mergeCell ref="M8:N8"/>
    <mergeCell ref="B8:B9"/>
  </mergeCells>
  <phoneticPr fontId="2" type="noConversion"/>
  <pageMargins left="1.0629921259842521" right="0.70866141732283472" top="1.9291338582677167" bottom="0.74803149606299213" header="0.31496062992125984" footer="0.31496062992125984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680B-9F7A-4512-B249-D9B6328A0BC1}">
  <sheetPr>
    <pageSetUpPr fitToPage="1"/>
  </sheetPr>
  <dimension ref="B1:AH85"/>
  <sheetViews>
    <sheetView showGridLines="0" zoomScale="85" zoomScaleNormal="85" workbookViewId="0">
      <selection activeCell="B3" sqref="B3:D3"/>
    </sheetView>
  </sheetViews>
  <sheetFormatPr defaultColWidth="8.58203125" defaultRowHeight="15" outlineLevelRow="2"/>
  <cols>
    <col min="1" max="1" width="3.6640625" style="777" customWidth="1"/>
    <col min="2" max="2" width="11.25" style="777" customWidth="1"/>
    <col min="3" max="3" width="10.4140625" style="777" customWidth="1"/>
    <col min="4" max="4" width="22.25" style="777" customWidth="1"/>
    <col min="5" max="5" width="12.08203125" style="777" hidden="1" customWidth="1"/>
    <col min="6" max="9" width="12.08203125" style="777" customWidth="1"/>
    <col min="10" max="11" width="12.08203125" style="777" hidden="1" customWidth="1"/>
    <col min="12" max="12" width="88.33203125" style="777" customWidth="1"/>
    <col min="13" max="13" width="8.58203125" style="777"/>
    <col min="14" max="14" width="10.6640625" style="777" customWidth="1"/>
    <col min="15" max="15" width="13" style="777" customWidth="1"/>
    <col min="16" max="18" width="8.58203125" style="777"/>
    <col min="19" max="19" width="13.6640625" style="777" customWidth="1"/>
    <col min="20" max="16384" width="8.58203125" style="777"/>
  </cols>
  <sheetData>
    <row r="1" spans="2:12" ht="16" customHeight="1"/>
    <row r="2" spans="2:12" ht="21.5">
      <c r="B2" s="2327" t="s">
        <v>587</v>
      </c>
      <c r="G2" s="2328"/>
      <c r="H2" s="2328"/>
      <c r="I2" s="2328"/>
      <c r="J2" s="2328"/>
      <c r="K2" s="2328"/>
    </row>
    <row r="3" spans="2:12" ht="20.149999999999999" customHeight="1">
      <c r="B3" s="3499" t="s">
        <v>588</v>
      </c>
      <c r="C3" s="3499"/>
      <c r="D3" s="3500"/>
      <c r="E3" s="2398" t="s">
        <v>589</v>
      </c>
      <c r="F3" s="2410" t="s">
        <v>645</v>
      </c>
      <c r="G3" s="2411" t="s">
        <v>590</v>
      </c>
      <c r="H3" s="2408" t="s">
        <v>591</v>
      </c>
      <c r="I3" s="2409" t="s">
        <v>592</v>
      </c>
      <c r="J3" s="2394" t="s">
        <v>593</v>
      </c>
      <c r="K3" s="2394" t="s">
        <v>594</v>
      </c>
      <c r="L3" s="2439" t="s">
        <v>595</v>
      </c>
    </row>
    <row r="4" spans="2:12" ht="18.649999999999999" customHeight="1">
      <c r="B4" s="3489" t="s">
        <v>596</v>
      </c>
      <c r="C4" s="3491" t="s">
        <v>597</v>
      </c>
      <c r="D4" s="3492"/>
      <c r="E4" s="2329">
        <f>+SUM(E5,E6,E9,E12)</f>
        <v>26785.084200000001</v>
      </c>
      <c r="F4" s="2330">
        <f t="shared" ref="F4:I4" si="0">+SUM(F5,F6,F9,F12)</f>
        <v>46510.92</v>
      </c>
      <c r="G4" s="2330">
        <f t="shared" si="0"/>
        <v>55864.328000000001</v>
      </c>
      <c r="H4" s="2331">
        <f t="shared" si="0"/>
        <v>85711.127999999997</v>
      </c>
      <c r="I4" s="2329">
        <f t="shared" si="0"/>
        <v>106568.32800000001</v>
      </c>
      <c r="J4" s="2329">
        <f>+SUM(J5,J6,J12)</f>
        <v>0</v>
      </c>
      <c r="K4" s="2329">
        <f>+SUM(K5,K6,K12)</f>
        <v>0</v>
      </c>
      <c r="L4" s="2415"/>
    </row>
    <row r="5" spans="2:12" ht="18.649999999999999" customHeight="1">
      <c r="B5" s="3501"/>
      <c r="C5" s="3493" t="s">
        <v>598</v>
      </c>
      <c r="D5" s="3494"/>
      <c r="E5" s="2332">
        <v>5721</v>
      </c>
      <c r="F5" s="2333">
        <f>+E5+(150*6)</f>
        <v>6621</v>
      </c>
      <c r="G5" s="2333">
        <f>(80+100)*12+(35*6)</f>
        <v>2370</v>
      </c>
      <c r="H5" s="2333">
        <f>(100+120+40)*12</f>
        <v>3120</v>
      </c>
      <c r="I5" s="2333">
        <f>(120+150+45)*12</f>
        <v>3780</v>
      </c>
      <c r="J5" s="2332"/>
      <c r="K5" s="2332"/>
      <c r="L5" s="2412" t="s">
        <v>726</v>
      </c>
    </row>
    <row r="6" spans="2:12" ht="18.649999999999999" customHeight="1">
      <c r="B6" s="3501"/>
      <c r="C6" s="3495" t="s">
        <v>660</v>
      </c>
      <c r="D6" s="2346"/>
      <c r="E6" s="2334">
        <f>SUM(E7:E8)</f>
        <v>20422.634515000002</v>
      </c>
      <c r="F6" s="2335">
        <f>SUM(F7:F8)</f>
        <v>38104.92</v>
      </c>
      <c r="G6" s="2335">
        <f t="shared" ref="G6:K6" si="1">SUM(G7:G8)</f>
        <v>47552.328000000001</v>
      </c>
      <c r="H6" s="2336">
        <f t="shared" si="1"/>
        <v>73510.127999999997</v>
      </c>
      <c r="I6" s="2334">
        <f t="shared" si="1"/>
        <v>90131.328000000009</v>
      </c>
      <c r="J6" s="2334">
        <f t="shared" si="1"/>
        <v>0</v>
      </c>
      <c r="K6" s="2334">
        <f t="shared" si="1"/>
        <v>0</v>
      </c>
      <c r="L6" s="2412"/>
    </row>
    <row r="7" spans="2:12" ht="18.649999999999999" customHeight="1">
      <c r="B7" s="3501"/>
      <c r="C7" s="3496"/>
      <c r="D7" s="2338" t="s">
        <v>658</v>
      </c>
      <c r="E7" s="2339">
        <v>3504.354519</v>
      </c>
      <c r="F7" s="2340">
        <v>9664.92</v>
      </c>
      <c r="G7" s="2340">
        <v>19112.328000000001</v>
      </c>
      <c r="H7" s="2341">
        <v>45070.127999999997</v>
      </c>
      <c r="I7" s="2339">
        <v>61691.328000000001</v>
      </c>
      <c r="J7" s="2339"/>
      <c r="K7" s="2339"/>
      <c r="L7" s="2412" t="s">
        <v>653</v>
      </c>
    </row>
    <row r="8" spans="2:12" ht="18.649999999999999" customHeight="1">
      <c r="B8" s="3501"/>
      <c r="C8" s="3497"/>
      <c r="D8" s="2342" t="s">
        <v>601</v>
      </c>
      <c r="E8" s="2343">
        <v>16918.279996000001</v>
      </c>
      <c r="F8" s="2344">
        <v>28440</v>
      </c>
      <c r="G8" s="2344">
        <v>28440</v>
      </c>
      <c r="H8" s="2345">
        <v>28440</v>
      </c>
      <c r="I8" s="2343">
        <v>28440</v>
      </c>
      <c r="J8" s="2343"/>
      <c r="K8" s="2343"/>
      <c r="L8" s="2445" t="s">
        <v>654</v>
      </c>
    </row>
    <row r="9" spans="2:12" ht="18.649999999999999" customHeight="1">
      <c r="B9" s="3501"/>
      <c r="C9" s="3502" t="s">
        <v>655</v>
      </c>
      <c r="D9" s="3503"/>
      <c r="E9" s="2334">
        <f t="shared" ref="E9:K9" si="2">SUM(E10:E11)</f>
        <v>244.39091100000002</v>
      </c>
      <c r="F9" s="2399">
        <f t="shared" si="2"/>
        <v>1140</v>
      </c>
      <c r="G9" s="2334">
        <f t="shared" si="2"/>
        <v>5292</v>
      </c>
      <c r="H9" s="2334">
        <f t="shared" si="2"/>
        <v>8421</v>
      </c>
      <c r="I9" s="2334">
        <f t="shared" si="2"/>
        <v>11987</v>
      </c>
      <c r="J9" s="2334">
        <f t="shared" si="2"/>
        <v>0</v>
      </c>
      <c r="K9" s="2334">
        <f t="shared" si="2"/>
        <v>0</v>
      </c>
      <c r="L9" s="2445" t="s">
        <v>666</v>
      </c>
    </row>
    <row r="10" spans="2:12" ht="18.649999999999999" hidden="1" customHeight="1" outlineLevel="2">
      <c r="B10" s="3501"/>
      <c r="C10" s="3496" t="s">
        <v>656</v>
      </c>
      <c r="D10" s="2347" t="s">
        <v>602</v>
      </c>
      <c r="E10" s="2348">
        <v>244.39091100000002</v>
      </c>
      <c r="F10" s="2400">
        <v>510</v>
      </c>
      <c r="G10" s="2349">
        <v>2457</v>
      </c>
      <c r="H10" s="2350">
        <v>4641</v>
      </c>
      <c r="I10" s="2348">
        <v>7262</v>
      </c>
      <c r="J10" s="2351"/>
      <c r="K10" s="2351"/>
      <c r="L10" s="2414"/>
    </row>
    <row r="11" spans="2:12" ht="18.649999999999999" hidden="1" customHeight="1" outlineLevel="2">
      <c r="B11" s="3501"/>
      <c r="C11" s="3497"/>
      <c r="D11" s="2352" t="s">
        <v>603</v>
      </c>
      <c r="E11" s="2353">
        <v>0</v>
      </c>
      <c r="F11" s="2401">
        <v>630</v>
      </c>
      <c r="G11" s="2354">
        <v>2835</v>
      </c>
      <c r="H11" s="2355">
        <v>3780</v>
      </c>
      <c r="I11" s="2353">
        <v>4725</v>
      </c>
      <c r="J11" s="2356"/>
      <c r="K11" s="2356"/>
      <c r="L11" s="2420" t="s">
        <v>663</v>
      </c>
    </row>
    <row r="12" spans="2:12" ht="18.649999999999999" customHeight="1" collapsed="1">
      <c r="B12" s="3501"/>
      <c r="C12" s="3495" t="s">
        <v>662</v>
      </c>
      <c r="D12" s="2346"/>
      <c r="E12" s="2334">
        <f t="shared" ref="E12:K12" si="3">SUM(E13:E14)</f>
        <v>397.05877399999997</v>
      </c>
      <c r="F12" s="2399">
        <f t="shared" si="3"/>
        <v>645</v>
      </c>
      <c r="G12" s="2334">
        <f t="shared" si="3"/>
        <v>650</v>
      </c>
      <c r="H12" s="2334">
        <f t="shared" si="3"/>
        <v>660</v>
      </c>
      <c r="I12" s="2334">
        <f t="shared" si="3"/>
        <v>670</v>
      </c>
      <c r="J12" s="2334">
        <f t="shared" si="3"/>
        <v>0</v>
      </c>
      <c r="K12" s="2334">
        <f t="shared" si="3"/>
        <v>0</v>
      </c>
      <c r="L12" s="2337"/>
    </row>
    <row r="13" spans="2:12" ht="18.649999999999999" customHeight="1">
      <c r="B13" s="3501"/>
      <c r="C13" s="3496"/>
      <c r="D13" s="2357" t="s">
        <v>474</v>
      </c>
      <c r="E13" s="2351">
        <v>177.11</v>
      </c>
      <c r="F13" s="2358">
        <v>357</v>
      </c>
      <c r="G13" s="2358">
        <v>360</v>
      </c>
      <c r="H13" s="2359">
        <v>365</v>
      </c>
      <c r="I13" s="2351">
        <v>370</v>
      </c>
      <c r="J13" s="2351"/>
      <c r="K13" s="2351"/>
      <c r="L13" s="2337"/>
    </row>
    <row r="14" spans="2:12" ht="18.649999999999999" customHeight="1">
      <c r="B14" s="3501"/>
      <c r="C14" s="3496"/>
      <c r="D14" s="2360" t="s">
        <v>604</v>
      </c>
      <c r="E14" s="2356">
        <v>219.94877399999999</v>
      </c>
      <c r="F14" s="2361">
        <v>288</v>
      </c>
      <c r="G14" s="2361">
        <v>290</v>
      </c>
      <c r="H14" s="2362">
        <v>295</v>
      </c>
      <c r="I14" s="2356">
        <v>300</v>
      </c>
      <c r="J14" s="2356"/>
      <c r="K14" s="2356"/>
      <c r="L14" s="2413"/>
    </row>
    <row r="15" spans="2:12" ht="18.649999999999999" customHeight="1">
      <c r="B15" s="3489" t="s">
        <v>668</v>
      </c>
      <c r="C15" s="3491" t="s">
        <v>605</v>
      </c>
      <c r="D15" s="3492"/>
      <c r="E15" s="2329">
        <f>+SUM(E16,E17,E20,E23,E26)</f>
        <v>2904.2141200000005</v>
      </c>
      <c r="F15" s="2402">
        <f t="shared" ref="F15:I15" si="4">+SUM(F16,F17,F20,F23,F26)</f>
        <v>5022.3968000000004</v>
      </c>
      <c r="G15" s="2329">
        <f t="shared" si="4"/>
        <v>6732.3163999999997</v>
      </c>
      <c r="H15" s="2329">
        <f t="shared" si="4"/>
        <v>8562.7063999999991</v>
      </c>
      <c r="I15" s="2329">
        <f t="shared" si="4"/>
        <v>10062.7664</v>
      </c>
      <c r="J15" s="2329">
        <f>+SUM(J16,J17,J23,J26)</f>
        <v>-10</v>
      </c>
      <c r="K15" s="2329">
        <f>+SUM(K16,K17,K23,K26)</f>
        <v>0</v>
      </c>
      <c r="L15" s="2337"/>
    </row>
    <row r="16" spans="2:12" ht="18.649999999999999" customHeight="1">
      <c r="B16" s="3490"/>
      <c r="C16" s="3493" t="s">
        <v>598</v>
      </c>
      <c r="D16" s="3494"/>
      <c r="E16" s="2363">
        <v>12</v>
      </c>
      <c r="F16" s="2364">
        <v>0</v>
      </c>
      <c r="G16" s="2364">
        <f>+G5*5%</f>
        <v>118.5</v>
      </c>
      <c r="H16" s="2364">
        <f>+H5*5%</f>
        <v>156</v>
      </c>
      <c r="I16" s="2364">
        <f>+I5*5%</f>
        <v>189</v>
      </c>
      <c r="J16" s="2363"/>
      <c r="K16" s="2363"/>
      <c r="L16" s="2337"/>
    </row>
    <row r="17" spans="2:21" ht="18.649999999999999" customHeight="1">
      <c r="B17" s="3490"/>
      <c r="C17" s="3495" t="s">
        <v>660</v>
      </c>
      <c r="D17" s="2346"/>
      <c r="E17" s="2365">
        <f>SUM(E18:E19)</f>
        <v>3114.0327440000001</v>
      </c>
      <c r="F17" s="2366">
        <f>SUM(F18:F19)</f>
        <v>5221.3968000000004</v>
      </c>
      <c r="G17" s="2366">
        <f t="shared" ref="G17:K17" si="5">SUM(G18:G19)</f>
        <v>6074.8163999999997</v>
      </c>
      <c r="H17" s="2367">
        <f t="shared" si="5"/>
        <v>7372.7063999999991</v>
      </c>
      <c r="I17" s="2365">
        <f t="shared" si="5"/>
        <v>8203.7664000000004</v>
      </c>
      <c r="J17" s="2365">
        <f t="shared" si="5"/>
        <v>0</v>
      </c>
      <c r="K17" s="2365">
        <f t="shared" si="5"/>
        <v>0</v>
      </c>
      <c r="L17" s="2337"/>
    </row>
    <row r="18" spans="2:21" ht="18.649999999999999" customHeight="1">
      <c r="B18" s="3490"/>
      <c r="C18" s="3496"/>
      <c r="D18" s="2338" t="s">
        <v>657</v>
      </c>
      <c r="E18" s="2368">
        <v>152.29073650000001</v>
      </c>
      <c r="F18" s="2403">
        <v>386.59680000000003</v>
      </c>
      <c r="G18" s="2340">
        <v>955.6164</v>
      </c>
      <c r="H18" s="2369">
        <v>2253.5063999999998</v>
      </c>
      <c r="I18" s="2368">
        <v>3084.5664000000002</v>
      </c>
      <c r="J18" s="2368"/>
      <c r="K18" s="2368"/>
      <c r="L18" s="2337"/>
    </row>
    <row r="19" spans="2:21" ht="18.649999999999999" customHeight="1">
      <c r="B19" s="3490"/>
      <c r="C19" s="3497"/>
      <c r="D19" s="2342" t="s">
        <v>601</v>
      </c>
      <c r="E19" s="2370">
        <v>2961.7420075</v>
      </c>
      <c r="F19" s="2404">
        <v>4834.8</v>
      </c>
      <c r="G19" s="2344">
        <v>5119.2</v>
      </c>
      <c r="H19" s="2371">
        <v>5119.2</v>
      </c>
      <c r="I19" s="2370">
        <v>5119.2</v>
      </c>
      <c r="J19" s="2370"/>
      <c r="K19" s="2370"/>
      <c r="L19" s="2337"/>
    </row>
    <row r="20" spans="2:21" ht="18.649999999999999" customHeight="1">
      <c r="B20" s="3490"/>
      <c r="C20" s="3495" t="s">
        <v>655</v>
      </c>
      <c r="D20" s="3498"/>
      <c r="E20" s="2334">
        <f t="shared" ref="E20:K20" si="6">SUM(E21:E22)</f>
        <v>-241.13589733333299</v>
      </c>
      <c r="F20" s="2399">
        <f t="shared" si="6"/>
        <v>-99</v>
      </c>
      <c r="G20" s="2334">
        <f>SUM(G21:G22)</f>
        <v>549</v>
      </c>
      <c r="H20" s="2334">
        <f t="shared" si="6"/>
        <v>1044</v>
      </c>
      <c r="I20" s="2334">
        <f t="shared" si="6"/>
        <v>1680</v>
      </c>
      <c r="J20" s="2334">
        <f t="shared" si="6"/>
        <v>0</v>
      </c>
      <c r="K20" s="2334">
        <f t="shared" si="6"/>
        <v>0</v>
      </c>
      <c r="L20" s="2337"/>
    </row>
    <row r="21" spans="2:21" ht="18.649999999999999" hidden="1" customHeight="1" outlineLevel="1">
      <c r="B21" s="3490"/>
      <c r="C21" s="3496" t="s">
        <v>656</v>
      </c>
      <c r="D21" s="2347" t="s">
        <v>602</v>
      </c>
      <c r="E21" s="2372">
        <f>-167.135897333333-74</f>
        <v>-241.13589733333299</v>
      </c>
      <c r="F21" s="2405">
        <f>-241-2</f>
        <v>-243</v>
      </c>
      <c r="G21" s="2373">
        <v>-99</v>
      </c>
      <c r="H21" s="2374">
        <v>180</v>
      </c>
      <c r="I21" s="2372">
        <v>600</v>
      </c>
      <c r="J21" s="2351"/>
      <c r="K21" s="2351"/>
      <c r="L21" s="2413" t="s">
        <v>659</v>
      </c>
    </row>
    <row r="22" spans="2:21" ht="18.649999999999999" hidden="1" customHeight="1" outlineLevel="1">
      <c r="B22" s="3490"/>
      <c r="C22" s="3497"/>
      <c r="D22" s="2352" t="s">
        <v>603</v>
      </c>
      <c r="E22" s="2375">
        <v>0</v>
      </c>
      <c r="F22" s="2406">
        <v>144</v>
      </c>
      <c r="G22" s="2376">
        <v>648</v>
      </c>
      <c r="H22" s="2377">
        <v>864</v>
      </c>
      <c r="I22" s="2375">
        <v>1080</v>
      </c>
      <c r="J22" s="2356"/>
      <c r="K22" s="2356"/>
      <c r="L22" s="2421"/>
    </row>
    <row r="23" spans="2:21" ht="18.649999999999999" customHeight="1" collapsed="1">
      <c r="B23" s="3490"/>
      <c r="C23" s="3495" t="s">
        <v>662</v>
      </c>
      <c r="D23" s="2346"/>
      <c r="E23" s="2334">
        <f t="shared" ref="E23:K23" si="7">SUM(E24:E25)</f>
        <v>24.317273333333404</v>
      </c>
      <c r="F23" s="2399">
        <f t="shared" si="7"/>
        <v>-90</v>
      </c>
      <c r="G23" s="2334">
        <f t="shared" si="7"/>
        <v>0</v>
      </c>
      <c r="H23" s="2334">
        <f t="shared" si="7"/>
        <v>0</v>
      </c>
      <c r="I23" s="2334">
        <f t="shared" si="7"/>
        <v>0</v>
      </c>
      <c r="J23" s="2334">
        <f t="shared" si="7"/>
        <v>0</v>
      </c>
      <c r="K23" s="2334">
        <f t="shared" si="7"/>
        <v>0</v>
      </c>
      <c r="L23" s="2337"/>
    </row>
    <row r="24" spans="2:21" ht="18.649999999999999" customHeight="1">
      <c r="B24" s="3490"/>
      <c r="C24" s="3496"/>
      <c r="D24" s="2378" t="s">
        <v>474</v>
      </c>
      <c r="E24" s="2351">
        <f>-83.8715953333333+37+30</f>
        <v>-16.871595333333303</v>
      </c>
      <c r="F24" s="2358">
        <f>-84-20+30</f>
        <v>-74</v>
      </c>
      <c r="G24" s="2358">
        <v>0</v>
      </c>
      <c r="H24" s="2359">
        <v>0</v>
      </c>
      <c r="I24" s="2351">
        <v>0</v>
      </c>
      <c r="J24" s="2351"/>
      <c r="K24" s="2351"/>
      <c r="L24" s="2412"/>
    </row>
    <row r="25" spans="2:21" ht="18.649999999999999" customHeight="1">
      <c r="B25" s="3490"/>
      <c r="C25" s="3497"/>
      <c r="D25" s="2379" t="s">
        <v>604</v>
      </c>
      <c r="E25" s="2380">
        <f>34.1888686666667+37-30</f>
        <v>41.188868666666707</v>
      </c>
      <c r="F25" s="2381">
        <f>34-20-30</f>
        <v>-16</v>
      </c>
      <c r="G25" s="2381">
        <v>0</v>
      </c>
      <c r="H25" s="2382">
        <v>0</v>
      </c>
      <c r="I25" s="2380">
        <v>0</v>
      </c>
      <c r="J25" s="2380"/>
      <c r="K25" s="2380"/>
      <c r="L25" s="2418"/>
    </row>
    <row r="26" spans="2:21" ht="18.649999999999999" hidden="1" customHeight="1" outlineLevel="1">
      <c r="B26" s="3490"/>
      <c r="C26" s="2383" t="s">
        <v>22</v>
      </c>
      <c r="D26" s="2384" t="s">
        <v>606</v>
      </c>
      <c r="E26" s="2385">
        <v>-5</v>
      </c>
      <c r="F26" s="2441">
        <f>E26*2</f>
        <v>-10</v>
      </c>
      <c r="G26" s="2442">
        <f>F26</f>
        <v>-10</v>
      </c>
      <c r="H26" s="2443">
        <f>G26</f>
        <v>-10</v>
      </c>
      <c r="I26" s="2385">
        <f>H26</f>
        <v>-10</v>
      </c>
      <c r="J26" s="2385">
        <f>I26</f>
        <v>-10</v>
      </c>
      <c r="K26" s="2385">
        <v>0</v>
      </c>
      <c r="L26" s="2419"/>
    </row>
    <row r="27" spans="2:21" ht="18.649999999999999" customHeight="1" collapsed="1">
      <c r="B27" s="3475" t="s">
        <v>669</v>
      </c>
      <c r="C27" s="3478" t="s">
        <v>598</v>
      </c>
      <c r="D27" s="2440" t="s">
        <v>607</v>
      </c>
      <c r="E27" s="2386">
        <v>34205</v>
      </c>
      <c r="F27" s="2386">
        <f>+E27+(5000*6)</f>
        <v>64205</v>
      </c>
      <c r="G27" s="2386">
        <f>8000*12</f>
        <v>96000</v>
      </c>
      <c r="H27" s="2386">
        <f>10000*12</f>
        <v>120000</v>
      </c>
      <c r="I27" s="2386">
        <f>12000*12</f>
        <v>144000</v>
      </c>
      <c r="J27" s="2386"/>
      <c r="K27" s="2386"/>
      <c r="L27" s="2444" t="s">
        <v>651</v>
      </c>
    </row>
    <row r="28" spans="2:21" ht="18.649999999999999" customHeight="1">
      <c r="B28" s="3476"/>
      <c r="C28" s="3479"/>
      <c r="D28" s="2440" t="s">
        <v>608</v>
      </c>
      <c r="E28" s="2386">
        <v>14000</v>
      </c>
      <c r="F28" s="2386">
        <v>14000</v>
      </c>
      <c r="G28" s="2386">
        <v>14000</v>
      </c>
      <c r="H28" s="2386">
        <v>14000</v>
      </c>
      <c r="I28" s="2386">
        <v>14000</v>
      </c>
      <c r="J28" s="2386"/>
      <c r="K28" s="2386"/>
      <c r="L28" s="2422" t="s">
        <v>649</v>
      </c>
    </row>
    <row r="29" spans="2:21" ht="18.649999999999999" customHeight="1">
      <c r="B29" s="3476"/>
      <c r="C29" s="3479"/>
      <c r="D29" s="2440" t="s">
        <v>609</v>
      </c>
      <c r="E29" s="2386">
        <v>1852</v>
      </c>
      <c r="F29" s="2386">
        <v>2000</v>
      </c>
      <c r="G29" s="2386">
        <v>3000</v>
      </c>
      <c r="H29" s="2386">
        <v>3500</v>
      </c>
      <c r="I29" s="2386">
        <v>4000</v>
      </c>
      <c r="J29" s="2386"/>
      <c r="K29" s="2386"/>
      <c r="L29" s="2416"/>
    </row>
    <row r="30" spans="2:21" ht="18.649999999999999" customHeight="1">
      <c r="B30" s="3476"/>
      <c r="C30" s="3479"/>
      <c r="D30" s="2440" t="s">
        <v>650</v>
      </c>
      <c r="E30" s="2386">
        <v>0</v>
      </c>
      <c r="F30" s="2386">
        <v>0</v>
      </c>
      <c r="G30" s="2386">
        <f>(30+((1000*5000))/1000000)*6</f>
        <v>210</v>
      </c>
      <c r="H30" s="2386">
        <f>(30+((2000*5000))/1000000)*12</f>
        <v>480</v>
      </c>
      <c r="I30" s="2386">
        <f>(30+((3000*5000))/1000000)*12</f>
        <v>540</v>
      </c>
      <c r="J30" s="2386"/>
      <c r="K30" s="2386"/>
      <c r="L30" s="2416" t="s">
        <v>670</v>
      </c>
    </row>
    <row r="31" spans="2:21" ht="18.649999999999999" customHeight="1">
      <c r="B31" s="3476"/>
      <c r="C31" s="3480"/>
      <c r="D31" s="2440" t="s">
        <v>665</v>
      </c>
      <c r="E31" s="2386">
        <v>4000</v>
      </c>
      <c r="F31" s="2386">
        <f>+E31+(6*50)</f>
        <v>4300</v>
      </c>
      <c r="G31" s="2386">
        <f>100*12</f>
        <v>1200</v>
      </c>
      <c r="H31" s="2386">
        <f>120*12</f>
        <v>1440</v>
      </c>
      <c r="I31" s="2386">
        <f>150*12</f>
        <v>1800</v>
      </c>
      <c r="J31" s="2386"/>
      <c r="K31" s="2386"/>
      <c r="L31" s="2417" t="s">
        <v>646</v>
      </c>
    </row>
    <row r="32" spans="2:21" ht="18.649999999999999" customHeight="1">
      <c r="B32" s="3476"/>
      <c r="C32" s="3481" t="s">
        <v>667</v>
      </c>
      <c r="D32" s="2387" t="s">
        <v>610</v>
      </c>
      <c r="E32" s="2341">
        <v>26323</v>
      </c>
      <c r="F32" s="2341">
        <f t="shared" ref="F32:I33" si="8">+F57</f>
        <v>56520</v>
      </c>
      <c r="G32" s="2339">
        <f t="shared" si="8"/>
        <v>111768</v>
      </c>
      <c r="H32" s="2339">
        <f t="shared" si="8"/>
        <v>263568</v>
      </c>
      <c r="I32" s="2341">
        <f t="shared" si="8"/>
        <v>360768</v>
      </c>
      <c r="J32" s="2339"/>
      <c r="K32" s="2341"/>
      <c r="L32" s="2423" t="s">
        <v>652</v>
      </c>
      <c r="O32" s="2388"/>
      <c r="P32" s="2388"/>
      <c r="Q32" s="2388"/>
      <c r="R32" s="2388"/>
      <c r="S32" s="2388"/>
      <c r="T32" s="2388"/>
      <c r="U32" s="2388"/>
    </row>
    <row r="33" spans="2:34" ht="18.649999999999999" customHeight="1">
      <c r="B33" s="3476"/>
      <c r="C33" s="3482"/>
      <c r="D33" s="2387" t="s">
        <v>611</v>
      </c>
      <c r="E33" s="2341">
        <v>18376</v>
      </c>
      <c r="F33" s="2341">
        <f t="shared" si="8"/>
        <v>50868</v>
      </c>
      <c r="G33" s="2341">
        <f t="shared" si="8"/>
        <v>100591.2</v>
      </c>
      <c r="H33" s="2341">
        <f t="shared" si="8"/>
        <v>237211.2</v>
      </c>
      <c r="I33" s="2341">
        <f t="shared" si="8"/>
        <v>324691.20000000001</v>
      </c>
      <c r="J33" s="2339"/>
      <c r="K33" s="2341"/>
      <c r="L33" s="2424"/>
      <c r="O33" s="2388"/>
      <c r="P33" s="2388"/>
      <c r="Q33" s="2388"/>
      <c r="R33" s="2388"/>
      <c r="S33" s="2388"/>
      <c r="T33" s="2388"/>
      <c r="U33" s="2388"/>
    </row>
    <row r="34" spans="2:34" ht="18.649999999999999" customHeight="1">
      <c r="B34" s="3476"/>
      <c r="C34" s="3482"/>
      <c r="D34" s="2387" t="s">
        <v>612</v>
      </c>
      <c r="E34" s="2341">
        <v>254</v>
      </c>
      <c r="F34" s="2341">
        <v>254</v>
      </c>
      <c r="G34" s="2341">
        <v>254</v>
      </c>
      <c r="H34" s="2341">
        <v>254</v>
      </c>
      <c r="I34" s="2341">
        <v>254</v>
      </c>
      <c r="J34" s="2341"/>
      <c r="K34" s="2341"/>
      <c r="L34" s="2416"/>
      <c r="O34" s="2388"/>
      <c r="P34" s="2388"/>
      <c r="Q34" s="2388"/>
      <c r="R34" s="2388"/>
      <c r="S34" s="2388"/>
      <c r="T34" s="2388"/>
      <c r="U34" s="2388"/>
    </row>
    <row r="35" spans="2:34" ht="18.649999999999999" customHeight="1">
      <c r="B35" s="3476"/>
      <c r="C35" s="3482"/>
      <c r="D35" s="2387" t="s">
        <v>664</v>
      </c>
      <c r="E35" s="2341">
        <v>0</v>
      </c>
      <c r="F35" s="2341">
        <v>0</v>
      </c>
      <c r="G35" s="2341">
        <v>750</v>
      </c>
      <c r="H35" s="2341">
        <v>1800</v>
      </c>
      <c r="I35" s="2341">
        <v>1800</v>
      </c>
      <c r="J35" s="2341"/>
      <c r="K35" s="2341"/>
      <c r="L35" s="2416" t="s">
        <v>648</v>
      </c>
      <c r="O35" s="2388"/>
      <c r="P35" s="2388"/>
      <c r="Q35" s="2388"/>
      <c r="R35" s="2388"/>
      <c r="S35" s="2388"/>
      <c r="T35" s="2388"/>
      <c r="U35" s="2388"/>
    </row>
    <row r="36" spans="2:34" ht="18.649999999999999" customHeight="1">
      <c r="B36" s="3476"/>
      <c r="C36" s="3482"/>
      <c r="D36" s="2387" t="s">
        <v>613</v>
      </c>
      <c r="E36" s="2341"/>
      <c r="F36" s="2341">
        <v>50</v>
      </c>
      <c r="G36" s="2341">
        <v>500</v>
      </c>
      <c r="H36" s="2341">
        <v>1000</v>
      </c>
      <c r="I36" s="2341">
        <v>1500</v>
      </c>
      <c r="J36" s="2341"/>
      <c r="K36" s="2341"/>
      <c r="L36" s="2416"/>
      <c r="O36" s="2388"/>
      <c r="P36" s="2388"/>
      <c r="Q36" s="2388"/>
      <c r="R36" s="2388"/>
      <c r="S36" s="2388"/>
      <c r="T36" s="2388"/>
      <c r="U36" s="2388"/>
    </row>
    <row r="37" spans="2:34" ht="18.649999999999999" customHeight="1">
      <c r="B37" s="3476"/>
      <c r="C37" s="3482"/>
      <c r="D37" s="2387" t="s">
        <v>614</v>
      </c>
      <c r="E37" s="2341">
        <v>176</v>
      </c>
      <c r="F37" s="2341">
        <v>500</v>
      </c>
      <c r="G37" s="2340">
        <v>500</v>
      </c>
      <c r="H37" s="2341">
        <v>500</v>
      </c>
      <c r="I37" s="2339">
        <v>500</v>
      </c>
      <c r="J37" s="2339"/>
      <c r="K37" s="2339"/>
      <c r="L37" s="2416" t="s">
        <v>647</v>
      </c>
      <c r="O37" s="2388"/>
      <c r="P37" s="2388"/>
      <c r="Q37" s="2388"/>
      <c r="R37" s="2388"/>
      <c r="S37" s="2388"/>
      <c r="T37" s="2388"/>
      <c r="U37" s="2388"/>
    </row>
    <row r="38" spans="2:34" ht="18.649999999999999" customHeight="1">
      <c r="B38" s="3476"/>
      <c r="C38" s="3483" t="s">
        <v>601</v>
      </c>
      <c r="D38" s="2389" t="s">
        <v>615</v>
      </c>
      <c r="E38" s="2345">
        <f>+E59</f>
        <v>18659</v>
      </c>
      <c r="F38" s="2345">
        <v>46200</v>
      </c>
      <c r="G38" s="2344">
        <v>46200</v>
      </c>
      <c r="H38" s="2345">
        <v>46200</v>
      </c>
      <c r="I38" s="2343">
        <v>46200</v>
      </c>
      <c r="J38" s="2343"/>
      <c r="K38" s="2343"/>
      <c r="L38" s="2416" t="s">
        <v>831</v>
      </c>
      <c r="O38" s="2388"/>
      <c r="P38" s="2388"/>
      <c r="Q38" s="2388"/>
      <c r="R38" s="2388"/>
      <c r="S38" s="2388"/>
      <c r="T38" s="2388"/>
      <c r="U38" s="2388"/>
    </row>
    <row r="39" spans="2:34" ht="18.649999999999999" customHeight="1">
      <c r="B39" s="3476"/>
      <c r="C39" s="3484"/>
      <c r="D39" s="2389" t="s">
        <v>616</v>
      </c>
      <c r="E39" s="2345">
        <f>+E60</f>
        <v>21483</v>
      </c>
      <c r="F39" s="2345">
        <v>36000</v>
      </c>
      <c r="G39" s="2344">
        <f>+G38*0.87</f>
        <v>40194</v>
      </c>
      <c r="H39" s="2344">
        <f t="shared" ref="H39:I39" si="9">+H38*0.87</f>
        <v>40194</v>
      </c>
      <c r="I39" s="2344">
        <f t="shared" si="9"/>
        <v>40194</v>
      </c>
      <c r="J39" s="2344"/>
      <c r="K39" s="2344"/>
      <c r="L39" s="2416"/>
      <c r="O39" s="2388"/>
      <c r="P39" s="2388"/>
      <c r="Q39" s="2388"/>
      <c r="R39" s="2388"/>
      <c r="S39" s="2388"/>
      <c r="T39" s="2388"/>
      <c r="U39" s="2388"/>
    </row>
    <row r="40" spans="2:34" ht="18.649999999999999" customHeight="1">
      <c r="B40" s="3476"/>
      <c r="C40" s="3485" t="s">
        <v>661</v>
      </c>
      <c r="D40" s="2446" t="s">
        <v>617</v>
      </c>
      <c r="E40" s="2447">
        <v>607</v>
      </c>
      <c r="F40" s="2447">
        <v>1327</v>
      </c>
      <c r="G40" s="2447">
        <v>5400</v>
      </c>
      <c r="H40" s="2447">
        <v>10200</v>
      </c>
      <c r="I40" s="2447">
        <v>15960</v>
      </c>
      <c r="J40" s="2350"/>
      <c r="K40" s="2350"/>
      <c r="L40" s="2416" t="s">
        <v>671</v>
      </c>
      <c r="O40" s="2388"/>
      <c r="P40" s="2388"/>
      <c r="Q40" s="2388"/>
      <c r="R40" s="2388"/>
      <c r="S40" s="2388"/>
      <c r="T40" s="2388"/>
      <c r="U40" s="2388"/>
    </row>
    <row r="41" spans="2:34" ht="18.649999999999999" customHeight="1">
      <c r="B41" s="3476"/>
      <c r="C41" s="3486"/>
      <c r="D41" s="2446" t="s">
        <v>618</v>
      </c>
      <c r="E41" s="2447">
        <v>0</v>
      </c>
      <c r="F41" s="2447">
        <v>1800</v>
      </c>
      <c r="G41" s="2447">
        <v>8100</v>
      </c>
      <c r="H41" s="2447">
        <v>10800</v>
      </c>
      <c r="I41" s="2447">
        <v>13500</v>
      </c>
      <c r="J41" s="2350"/>
      <c r="K41" s="2350"/>
      <c r="L41" s="2425" t="s">
        <v>672</v>
      </c>
      <c r="O41" s="2388"/>
      <c r="P41" s="2388"/>
      <c r="Q41" s="2388"/>
      <c r="R41" s="2388"/>
      <c r="S41" s="2388"/>
      <c r="T41" s="2388"/>
      <c r="U41" s="2388"/>
    </row>
    <row r="42" spans="2:34" ht="18.649999999999999" customHeight="1">
      <c r="B42" s="3476"/>
      <c r="C42" s="3487" t="s">
        <v>662</v>
      </c>
      <c r="D42" s="2390" t="s">
        <v>619</v>
      </c>
      <c r="E42" s="2359">
        <v>650</v>
      </c>
      <c r="F42" s="2359">
        <v>1200</v>
      </c>
      <c r="G42" s="2358">
        <v>1300</v>
      </c>
      <c r="H42" s="2359">
        <v>1300</v>
      </c>
      <c r="I42" s="2351">
        <v>1300</v>
      </c>
      <c r="J42" s="2351"/>
      <c r="K42" s="2351"/>
      <c r="L42" s="2416" t="s">
        <v>673</v>
      </c>
      <c r="O42" s="2388"/>
      <c r="P42" s="2388"/>
      <c r="Q42" s="2388"/>
      <c r="R42" s="2388"/>
      <c r="S42" s="2388"/>
      <c r="T42" s="2388"/>
      <c r="U42" s="2388"/>
    </row>
    <row r="43" spans="2:34" ht="18.649999999999999" customHeight="1">
      <c r="B43" s="3477"/>
      <c r="C43" s="3488"/>
      <c r="D43" s="2407" t="s">
        <v>620</v>
      </c>
      <c r="E43" s="2395">
        <v>2800</v>
      </c>
      <c r="F43" s="2395">
        <v>3100</v>
      </c>
      <c r="G43" s="2396">
        <v>3100</v>
      </c>
      <c r="H43" s="2395">
        <v>3100</v>
      </c>
      <c r="I43" s="2397">
        <v>3100</v>
      </c>
      <c r="J43" s="2397"/>
      <c r="K43" s="2397"/>
      <c r="L43" s="2426" t="s">
        <v>674</v>
      </c>
      <c r="O43" s="2388"/>
      <c r="P43" s="2388"/>
      <c r="Q43" s="2388"/>
      <c r="R43" s="2388"/>
      <c r="S43" s="2388"/>
      <c r="T43" s="2388"/>
      <c r="U43" s="2388"/>
    </row>
    <row r="44" spans="2:34" ht="17.5">
      <c r="M44" s="2388"/>
      <c r="N44" s="2388"/>
      <c r="O44" s="2388"/>
      <c r="P44" s="2388"/>
      <c r="Q44" s="2388"/>
      <c r="R44" s="2388"/>
      <c r="S44" s="2388"/>
      <c r="T44" s="2388"/>
    </row>
    <row r="45" spans="2:34">
      <c r="B45" s="2448"/>
      <c r="C45" s="2448" t="s">
        <v>621</v>
      </c>
      <c r="D45" s="2449" t="s">
        <v>599</v>
      </c>
      <c r="E45" s="2450">
        <f>E15/E4</f>
        <v>0.10842654435262146</v>
      </c>
      <c r="F45" s="2450">
        <f t="shared" ref="F45:I49" si="10">F15/F4</f>
        <v>0.10798317470391901</v>
      </c>
      <c r="G45" s="2450">
        <f t="shared" si="10"/>
        <v>0.12051190161993892</v>
      </c>
      <c r="H45" s="2450">
        <f t="shared" si="10"/>
        <v>9.9901921720129502E-2</v>
      </c>
      <c r="I45" s="2450">
        <f t="shared" si="10"/>
        <v>9.4425488218225578E-2</v>
      </c>
      <c r="J45" s="2450"/>
      <c r="K45" s="2450"/>
      <c r="L45" s="2448"/>
    </row>
    <row r="46" spans="2:34">
      <c r="B46" s="2427"/>
      <c r="C46" s="2427"/>
      <c r="D46" s="2428" t="s">
        <v>598</v>
      </c>
      <c r="E46" s="2429">
        <f>E16/E5</f>
        <v>2.097535395909806E-3</v>
      </c>
      <c r="F46" s="2429">
        <f t="shared" si="10"/>
        <v>0</v>
      </c>
      <c r="G46" s="2429">
        <f t="shared" si="10"/>
        <v>0.05</v>
      </c>
      <c r="H46" s="2429">
        <f t="shared" si="10"/>
        <v>0.05</v>
      </c>
      <c r="I46" s="2429">
        <f t="shared" si="10"/>
        <v>0.05</v>
      </c>
      <c r="J46" s="2429"/>
      <c r="K46" s="2429"/>
      <c r="L46" s="2427"/>
    </row>
    <row r="47" spans="2:34" ht="17">
      <c r="B47" s="2427"/>
      <c r="C47" s="2427"/>
      <c r="D47" s="2428" t="s">
        <v>622</v>
      </c>
      <c r="E47" s="2429">
        <f>E17/E6</f>
        <v>0.15247948259137711</v>
      </c>
      <c r="F47" s="2429">
        <f t="shared" si="10"/>
        <v>0.1370268406284543</v>
      </c>
      <c r="G47" s="2429">
        <f t="shared" si="10"/>
        <v>0.12775013664946119</v>
      </c>
      <c r="H47" s="2429">
        <f t="shared" si="10"/>
        <v>0.10029511035540571</v>
      </c>
      <c r="I47" s="2429">
        <f t="shared" si="10"/>
        <v>9.1020143406740875E-2</v>
      </c>
      <c r="J47" s="2429"/>
      <c r="K47" s="2429"/>
      <c r="L47" s="2427"/>
      <c r="M47" s="3516"/>
      <c r="N47" s="3516"/>
      <c r="O47" s="3517"/>
      <c r="P47" s="3516"/>
      <c r="Q47" s="3516"/>
      <c r="R47" s="3516"/>
      <c r="S47" s="3516"/>
      <c r="T47" s="3516"/>
      <c r="U47" s="3516"/>
      <c r="V47" s="3516"/>
      <c r="W47" s="3516"/>
      <c r="X47" s="3516"/>
      <c r="Y47" s="3516"/>
      <c r="Z47" s="3516"/>
      <c r="AA47" s="3516"/>
      <c r="AB47" s="3516"/>
      <c r="AC47" s="3516"/>
      <c r="AD47" s="3516"/>
      <c r="AE47" s="3516"/>
      <c r="AF47" s="3516"/>
      <c r="AG47" s="3516"/>
      <c r="AH47" s="3516"/>
    </row>
    <row r="48" spans="2:34">
      <c r="B48" s="2427"/>
      <c r="C48" s="2427"/>
      <c r="D48" s="2428" t="s">
        <v>600</v>
      </c>
      <c r="E48" s="2430">
        <f>E18/E7</f>
        <v>4.3457571337119617E-2</v>
      </c>
      <c r="F48" s="2430">
        <f t="shared" si="10"/>
        <v>0.04</v>
      </c>
      <c r="G48" s="2429">
        <f t="shared" si="10"/>
        <v>4.9999999999999996E-2</v>
      </c>
      <c r="H48" s="2429">
        <f t="shared" si="10"/>
        <v>4.9999999999999996E-2</v>
      </c>
      <c r="I48" s="2429">
        <f t="shared" si="10"/>
        <v>0.05</v>
      </c>
      <c r="J48" s="2429"/>
      <c r="K48" s="2429"/>
      <c r="L48" s="2427"/>
      <c r="M48" s="3516"/>
      <c r="N48" s="3516"/>
      <c r="O48" s="3516"/>
      <c r="P48" s="3516"/>
      <c r="Q48" s="3516"/>
      <c r="R48" s="3516"/>
      <c r="S48" s="3516"/>
      <c r="T48" s="3516"/>
      <c r="U48" s="3516"/>
      <c r="V48" s="3516"/>
      <c r="W48" s="3516"/>
      <c r="X48" s="3516"/>
      <c r="Y48" s="3516"/>
      <c r="Z48" s="3516"/>
      <c r="AA48" s="3516"/>
      <c r="AB48" s="3516"/>
      <c r="AC48" s="3516"/>
      <c r="AD48" s="3516"/>
      <c r="AE48" s="3516"/>
      <c r="AF48" s="3516"/>
      <c r="AG48" s="3516"/>
      <c r="AH48" s="3516"/>
    </row>
    <row r="49" spans="2:34" ht="17">
      <c r="B49" s="2427"/>
      <c r="C49" s="2427"/>
      <c r="D49" s="2428" t="s">
        <v>601</v>
      </c>
      <c r="E49" s="2429">
        <f>E19/E8</f>
        <v>0.17506164977765154</v>
      </c>
      <c r="F49" s="2429">
        <f t="shared" si="10"/>
        <v>0.17</v>
      </c>
      <c r="G49" s="2429">
        <f t="shared" si="10"/>
        <v>0.18</v>
      </c>
      <c r="H49" s="2429">
        <f t="shared" si="10"/>
        <v>0.18</v>
      </c>
      <c r="I49" s="2429">
        <f t="shared" si="10"/>
        <v>0.18</v>
      </c>
      <c r="J49" s="2429"/>
      <c r="K49" s="2429"/>
      <c r="L49" s="2427"/>
      <c r="M49" s="3516"/>
      <c r="N49" s="3516"/>
      <c r="O49" s="3518"/>
      <c r="P49" s="422"/>
      <c r="Q49" s="422"/>
      <c r="R49" s="422"/>
      <c r="S49" s="3518"/>
      <c r="T49" s="422"/>
      <c r="U49" s="422"/>
      <c r="V49" s="3516"/>
      <c r="W49" s="3516"/>
      <c r="X49" s="3516"/>
      <c r="Y49" s="3516"/>
      <c r="Z49" s="3516"/>
      <c r="AA49" s="3516"/>
      <c r="AB49" s="3516"/>
      <c r="AC49" s="3516"/>
      <c r="AD49" s="3516"/>
      <c r="AE49" s="3516"/>
      <c r="AF49" s="3516"/>
      <c r="AG49" s="3516"/>
      <c r="AH49" s="3516"/>
    </row>
    <row r="50" spans="2:34" ht="17">
      <c r="B50" s="2427"/>
      <c r="C50" s="2427"/>
      <c r="D50" s="2428" t="s">
        <v>623</v>
      </c>
      <c r="E50" s="2429">
        <f>+E20/E9</f>
        <v>-0.98668111815882131</v>
      </c>
      <c r="F50" s="2429">
        <f t="shared" ref="F50:I53" si="11">+F20/F9</f>
        <v>-8.6842105263157901E-2</v>
      </c>
      <c r="G50" s="2429">
        <f t="shared" si="11"/>
        <v>0.10374149659863946</v>
      </c>
      <c r="H50" s="2429">
        <f t="shared" si="11"/>
        <v>0.1239757748485928</v>
      </c>
      <c r="I50" s="2429">
        <f t="shared" si="11"/>
        <v>0.14015183115041294</v>
      </c>
      <c r="J50" s="2429"/>
      <c r="K50" s="2429"/>
      <c r="L50" s="2427"/>
      <c r="M50" s="3516"/>
      <c r="N50" s="3516"/>
      <c r="O50" s="3201"/>
      <c r="P50" s="3201"/>
      <c r="Q50" s="3201"/>
      <c r="R50" s="422"/>
      <c r="S50" s="3201"/>
      <c r="T50" s="3201"/>
      <c r="U50" s="3201"/>
      <c r="V50" s="3516"/>
      <c r="W50" s="3516"/>
      <c r="X50" s="3516"/>
      <c r="Y50" s="3516"/>
      <c r="Z50" s="3516"/>
      <c r="AA50" s="3516"/>
      <c r="AB50" s="3516"/>
      <c r="AC50" s="3516"/>
      <c r="AD50" s="3516"/>
      <c r="AE50" s="3516"/>
      <c r="AF50" s="3516"/>
      <c r="AG50" s="3516"/>
      <c r="AH50" s="3516"/>
    </row>
    <row r="51" spans="2:34" ht="17">
      <c r="B51" s="2427"/>
      <c r="C51" s="2427"/>
      <c r="D51" s="2428" t="s">
        <v>624</v>
      </c>
      <c r="E51" s="2429">
        <f>+E21/E10</f>
        <v>-0.98668111815882131</v>
      </c>
      <c r="F51" s="2429">
        <f t="shared" si="11"/>
        <v>-0.47647058823529409</v>
      </c>
      <c r="G51" s="2429">
        <f t="shared" si="11"/>
        <v>-4.0293040293040296E-2</v>
      </c>
      <c r="H51" s="2429">
        <f t="shared" si="11"/>
        <v>3.8784744667097609E-2</v>
      </c>
      <c r="I51" s="2429">
        <f t="shared" si="11"/>
        <v>8.262186725419994E-2</v>
      </c>
      <c r="J51" s="2429"/>
      <c r="K51" s="2429"/>
      <c r="M51" s="3516"/>
      <c r="N51" s="3516"/>
      <c r="O51" s="3201"/>
      <c r="P51" s="3515"/>
      <c r="Q51" s="3515"/>
      <c r="R51" s="422"/>
      <c r="S51" s="3201"/>
      <c r="T51" s="3515"/>
      <c r="U51" s="3515"/>
      <c r="V51" s="3516"/>
      <c r="W51" s="3516"/>
      <c r="X51" s="3516"/>
      <c r="Y51" s="3516"/>
      <c r="Z51" s="3516"/>
      <c r="AA51" s="3516"/>
      <c r="AB51" s="3516"/>
      <c r="AC51" s="3516"/>
      <c r="AD51" s="3516"/>
      <c r="AE51" s="3516"/>
      <c r="AF51" s="3516"/>
      <c r="AG51" s="3516"/>
      <c r="AH51" s="3516"/>
    </row>
    <row r="52" spans="2:34" ht="17">
      <c r="B52" s="2427"/>
      <c r="C52" s="2427"/>
      <c r="D52" s="2428" t="s">
        <v>625</v>
      </c>
      <c r="E52" s="2429" t="e">
        <f>+E22/E11</f>
        <v>#DIV/0!</v>
      </c>
      <c r="F52" s="2429">
        <f t="shared" si="11"/>
        <v>0.22857142857142856</v>
      </c>
      <c r="G52" s="2429">
        <f t="shared" si="11"/>
        <v>0.22857142857142856</v>
      </c>
      <c r="H52" s="2429">
        <f t="shared" si="11"/>
        <v>0.22857142857142856</v>
      </c>
      <c r="I52" s="2429">
        <f t="shared" si="11"/>
        <v>0.22857142857142856</v>
      </c>
      <c r="J52" s="2429"/>
      <c r="K52" s="2429"/>
      <c r="L52" s="2427"/>
      <c r="M52" s="3516"/>
      <c r="N52" s="3516"/>
      <c r="O52" s="3201"/>
      <c r="P52" s="3515"/>
      <c r="Q52" s="3515"/>
      <c r="R52" s="422"/>
      <c r="S52" s="3201"/>
      <c r="T52" s="3515"/>
      <c r="U52" s="3515"/>
      <c r="V52" s="3519"/>
      <c r="W52" s="3516"/>
      <c r="X52" s="3516"/>
      <c r="Y52" s="3516"/>
      <c r="Z52" s="3516"/>
      <c r="AA52" s="3516"/>
      <c r="AB52" s="3516"/>
      <c r="AC52" s="3516"/>
      <c r="AD52" s="3516"/>
      <c r="AE52" s="3516"/>
      <c r="AF52" s="3516"/>
      <c r="AG52" s="3516"/>
      <c r="AH52" s="3516"/>
    </row>
    <row r="53" spans="2:34" ht="17">
      <c r="B53" s="2427"/>
      <c r="C53" s="2427"/>
      <c r="D53" s="2428" t="s">
        <v>626</v>
      </c>
      <c r="E53" s="2429">
        <f>+E23/E12</f>
        <v>6.1243510849437632E-2</v>
      </c>
      <c r="F53" s="2429">
        <f t="shared" si="11"/>
        <v>-0.13953488372093023</v>
      </c>
      <c r="G53" s="2429">
        <f t="shared" si="11"/>
        <v>0</v>
      </c>
      <c r="H53" s="2429">
        <f t="shared" si="11"/>
        <v>0</v>
      </c>
      <c r="I53" s="2429">
        <f t="shared" si="11"/>
        <v>0</v>
      </c>
      <c r="J53" s="2429"/>
      <c r="K53" s="2429"/>
      <c r="L53" s="2427"/>
      <c r="M53" s="3516"/>
      <c r="N53" s="3516"/>
      <c r="O53" s="3201"/>
      <c r="P53" s="3515"/>
      <c r="Q53" s="3515"/>
      <c r="R53" s="422"/>
      <c r="S53" s="3201"/>
      <c r="T53" s="3515"/>
      <c r="U53" s="3515"/>
      <c r="V53" s="3519"/>
      <c r="W53" s="3516"/>
      <c r="X53" s="3516"/>
      <c r="Y53" s="3516"/>
      <c r="Z53" s="3516"/>
      <c r="AA53" s="3516"/>
      <c r="AB53" s="3516"/>
      <c r="AC53" s="3516"/>
      <c r="AD53" s="3516"/>
      <c r="AE53" s="3516"/>
      <c r="AF53" s="3516"/>
      <c r="AG53" s="3516"/>
      <c r="AH53" s="3516"/>
    </row>
    <row r="54" spans="2:34" ht="17">
      <c r="B54" s="2427"/>
      <c r="C54" s="2427"/>
      <c r="D54" s="2428" t="s">
        <v>474</v>
      </c>
      <c r="E54" s="2429">
        <f t="shared" ref="E54:I55" si="12">+E24/E13</f>
        <v>-9.5260546176575589E-2</v>
      </c>
      <c r="F54" s="2429">
        <f t="shared" si="12"/>
        <v>-0.20728291316526612</v>
      </c>
      <c r="G54" s="2429">
        <f t="shared" si="12"/>
        <v>0</v>
      </c>
      <c r="H54" s="2429">
        <f t="shared" si="12"/>
        <v>0</v>
      </c>
      <c r="I54" s="2429">
        <f t="shared" si="12"/>
        <v>0</v>
      </c>
      <c r="J54" s="2429"/>
      <c r="K54" s="2429"/>
      <c r="L54" s="2427"/>
      <c r="M54" s="3516"/>
      <c r="N54" s="3516"/>
      <c r="O54" s="3201"/>
      <c r="P54" s="3515"/>
      <c r="Q54" s="3515"/>
      <c r="R54" s="422"/>
      <c r="S54" s="3201"/>
      <c r="T54" s="3515"/>
      <c r="U54" s="3515"/>
      <c r="V54" s="3516"/>
      <c r="W54" s="3516"/>
      <c r="X54" s="3516"/>
      <c r="Y54" s="3516"/>
      <c r="Z54" s="3516"/>
      <c r="AA54" s="3516"/>
      <c r="AB54" s="3516"/>
      <c r="AC54" s="3516"/>
      <c r="AD54" s="3516"/>
      <c r="AE54" s="3516"/>
      <c r="AF54" s="3516"/>
      <c r="AG54" s="3516"/>
      <c r="AH54" s="3516"/>
    </row>
    <row r="55" spans="2:34" ht="17">
      <c r="B55" s="2427"/>
      <c r="C55" s="2427"/>
      <c r="D55" s="2428" t="s">
        <v>604</v>
      </c>
      <c r="E55" s="2429">
        <f t="shared" si="12"/>
        <v>0.18726573427804927</v>
      </c>
      <c r="F55" s="2429">
        <f t="shared" si="12"/>
        <v>-5.5555555555555552E-2</v>
      </c>
      <c r="G55" s="2429">
        <f t="shared" si="12"/>
        <v>0</v>
      </c>
      <c r="H55" s="2429">
        <f t="shared" si="12"/>
        <v>0</v>
      </c>
      <c r="I55" s="2429">
        <f t="shared" si="12"/>
        <v>0</v>
      </c>
      <c r="J55" s="2429"/>
      <c r="K55" s="2429"/>
      <c r="L55" s="2427"/>
      <c r="M55" s="3516"/>
      <c r="N55" s="3516"/>
      <c r="O55" s="3201"/>
      <c r="P55" s="3515"/>
      <c r="Q55" s="3515"/>
      <c r="R55" s="422"/>
      <c r="S55" s="3201"/>
      <c r="T55" s="3515"/>
      <c r="U55" s="3515"/>
      <c r="V55" s="3516"/>
      <c r="W55" s="3516"/>
      <c r="X55" s="3516"/>
      <c r="Y55" s="3516"/>
      <c r="Z55" s="3516"/>
      <c r="AA55" s="3516"/>
      <c r="AB55" s="3516"/>
      <c r="AC55" s="3516"/>
      <c r="AD55" s="3516"/>
      <c r="AE55" s="3516"/>
      <c r="AF55" s="3516"/>
      <c r="AG55" s="3516"/>
      <c r="AH55" s="3516"/>
    </row>
    <row r="56" spans="2:34" ht="17">
      <c r="B56" s="2427"/>
      <c r="C56" s="2427"/>
      <c r="D56" s="2427"/>
      <c r="E56" s="2427"/>
      <c r="F56" s="2427"/>
      <c r="G56" s="2429"/>
      <c r="H56" s="2429"/>
      <c r="I56" s="2429"/>
      <c r="J56" s="2429"/>
      <c r="K56" s="2429"/>
      <c r="L56" s="2427"/>
      <c r="M56" s="3516"/>
      <c r="N56" s="3516"/>
      <c r="O56" s="3520"/>
      <c r="P56" s="3515"/>
      <c r="Q56" s="3515"/>
      <c r="R56" s="422"/>
      <c r="S56" s="3520"/>
      <c r="T56" s="3515"/>
      <c r="U56" s="3515"/>
      <c r="V56" s="3519"/>
      <c r="W56" s="3516"/>
      <c r="X56" s="3516"/>
      <c r="Y56" s="3516"/>
      <c r="Z56" s="3516"/>
      <c r="AA56" s="3516"/>
      <c r="AB56" s="3516"/>
      <c r="AC56" s="3516"/>
      <c r="AD56" s="3516"/>
      <c r="AE56" s="3516"/>
      <c r="AF56" s="3516"/>
      <c r="AG56" s="3516"/>
      <c r="AH56" s="3516"/>
    </row>
    <row r="57" spans="2:34" ht="17">
      <c r="B57" s="2427"/>
      <c r="C57" s="2427"/>
      <c r="D57" s="2427" t="s">
        <v>627</v>
      </c>
      <c r="E57" s="2431">
        <f>+E80</f>
        <v>26550</v>
      </c>
      <c r="F57" s="2431">
        <f t="shared" ref="F57:I57" si="13">+F80</f>
        <v>56520</v>
      </c>
      <c r="G57" s="2431">
        <f>+G80</f>
        <v>111768</v>
      </c>
      <c r="H57" s="2431">
        <f t="shared" si="13"/>
        <v>263568</v>
      </c>
      <c r="I57" s="2431">
        <f t="shared" si="13"/>
        <v>360768</v>
      </c>
      <c r="J57" s="2431"/>
      <c r="K57" s="2431"/>
      <c r="L57" s="2427"/>
      <c r="M57" s="3516"/>
      <c r="N57" s="3516"/>
      <c r="O57" s="3201"/>
      <c r="P57" s="2873"/>
      <c r="Q57" s="2873"/>
      <c r="R57" s="422"/>
      <c r="S57" s="3201"/>
      <c r="T57" s="2873"/>
      <c r="U57" s="2873"/>
      <c r="V57" s="3516"/>
      <c r="W57" s="3516"/>
      <c r="X57" s="3516"/>
      <c r="Y57" s="3516"/>
      <c r="Z57" s="3516"/>
      <c r="AA57" s="3516"/>
      <c r="AB57" s="3516"/>
      <c r="AC57" s="3516"/>
      <c r="AD57" s="3516"/>
      <c r="AE57" s="3516"/>
      <c r="AF57" s="3516"/>
      <c r="AG57" s="3516"/>
      <c r="AH57" s="3516"/>
    </row>
    <row r="58" spans="2:34">
      <c r="B58" s="2427"/>
      <c r="C58" s="2427"/>
      <c r="D58" s="2427" t="s">
        <v>628</v>
      </c>
      <c r="E58" s="2431">
        <f>+E57*0.7</f>
        <v>18585</v>
      </c>
      <c r="F58" s="2431">
        <f>+F57*0.9</f>
        <v>50868</v>
      </c>
      <c r="G58" s="2431">
        <f t="shared" ref="G58:I58" si="14">+G57*0.9</f>
        <v>100591.2</v>
      </c>
      <c r="H58" s="2431">
        <f t="shared" si="14"/>
        <v>237211.2</v>
      </c>
      <c r="I58" s="2431">
        <f t="shared" si="14"/>
        <v>324691.20000000001</v>
      </c>
      <c r="J58" s="2431"/>
      <c r="K58" s="2431"/>
      <c r="L58" s="2427"/>
      <c r="M58" s="3516"/>
      <c r="N58" s="3516"/>
      <c r="O58" s="3516"/>
      <c r="P58" s="3516"/>
      <c r="Q58" s="3516"/>
      <c r="R58" s="3516"/>
      <c r="S58" s="3516"/>
      <c r="T58" s="3516"/>
      <c r="U58" s="3516"/>
      <c r="V58" s="3516"/>
      <c r="W58" s="3516"/>
      <c r="X58" s="3516"/>
      <c r="Y58" s="3516"/>
      <c r="Z58" s="3516"/>
      <c r="AA58" s="3516"/>
      <c r="AB58" s="3516"/>
      <c r="AC58" s="3516"/>
      <c r="AD58" s="3516"/>
      <c r="AE58" s="3516"/>
      <c r="AF58" s="3516"/>
      <c r="AG58" s="3516"/>
      <c r="AH58" s="3516"/>
    </row>
    <row r="59" spans="2:34">
      <c r="B59" s="2427"/>
      <c r="C59" s="2427"/>
      <c r="D59" s="2427" t="s">
        <v>615</v>
      </c>
      <c r="E59" s="2432">
        <v>18659</v>
      </c>
      <c r="F59" s="2432">
        <v>40000</v>
      </c>
      <c r="G59" s="2432">
        <v>40000</v>
      </c>
      <c r="H59" s="2432">
        <v>40000</v>
      </c>
      <c r="I59" s="2432">
        <v>40000</v>
      </c>
      <c r="J59" s="2432"/>
      <c r="K59" s="2432"/>
      <c r="L59" s="2427" t="s">
        <v>629</v>
      </c>
      <c r="M59" s="3521"/>
      <c r="N59" s="3521"/>
      <c r="O59" s="3521"/>
      <c r="P59" s="3521"/>
      <c r="Q59" s="3516"/>
      <c r="R59" s="3516"/>
      <c r="S59" s="3516"/>
      <c r="T59" s="3516"/>
      <c r="U59" s="3516"/>
      <c r="V59" s="3516"/>
      <c r="W59" s="3516"/>
      <c r="X59" s="3516"/>
      <c r="Y59" s="3516"/>
      <c r="Z59" s="3516"/>
      <c r="AA59" s="3516"/>
      <c r="AB59" s="3516"/>
      <c r="AC59" s="3516"/>
      <c r="AD59" s="3516"/>
      <c r="AE59" s="3516"/>
      <c r="AF59" s="3516"/>
      <c r="AG59" s="3516"/>
      <c r="AH59" s="3516"/>
    </row>
    <row r="60" spans="2:34">
      <c r="B60" s="2427"/>
      <c r="C60" s="2427"/>
      <c r="D60" s="2427" t="s">
        <v>616</v>
      </c>
      <c r="E60" s="2432">
        <v>21483</v>
      </c>
      <c r="F60" s="2432">
        <f>+F59*0.9</f>
        <v>36000</v>
      </c>
      <c r="G60" s="2432">
        <f>+G59*0.9</f>
        <v>36000</v>
      </c>
      <c r="H60" s="2432">
        <f t="shared" ref="H60:I60" si="15">+H59*0.9</f>
        <v>36000</v>
      </c>
      <c r="I60" s="2432">
        <f t="shared" si="15"/>
        <v>36000</v>
      </c>
      <c r="J60" s="2432"/>
      <c r="K60" s="2432"/>
      <c r="L60" s="2427"/>
      <c r="M60" s="3521"/>
      <c r="N60" s="3521"/>
      <c r="O60" s="3521"/>
      <c r="P60" s="3521"/>
      <c r="Q60" s="3516"/>
      <c r="R60" s="3516"/>
      <c r="S60" s="3516"/>
      <c r="T60" s="3516"/>
      <c r="U60" s="3516"/>
      <c r="V60" s="3516"/>
      <c r="W60" s="3516"/>
      <c r="X60" s="3516"/>
      <c r="Y60" s="3516"/>
      <c r="Z60" s="3516"/>
      <c r="AA60" s="3516"/>
      <c r="AB60" s="3516"/>
      <c r="AC60" s="3516"/>
      <c r="AD60" s="3516"/>
      <c r="AE60" s="3516"/>
      <c r="AF60" s="3516"/>
      <c r="AG60" s="3516"/>
      <c r="AH60" s="3516"/>
    </row>
    <row r="61" spans="2:34">
      <c r="B61" s="2427"/>
      <c r="C61" s="2427"/>
      <c r="D61" s="2427"/>
      <c r="E61" s="2427"/>
      <c r="F61" s="2427"/>
      <c r="G61" s="2427"/>
      <c r="H61" s="2427"/>
      <c r="I61" s="2427"/>
      <c r="J61" s="2427"/>
      <c r="K61" s="2427"/>
      <c r="L61" s="2427"/>
      <c r="M61" s="3522"/>
      <c r="N61" s="3523"/>
      <c r="O61" s="3523"/>
      <c r="P61" s="3523"/>
      <c r="Q61" s="3516"/>
      <c r="R61" s="3516"/>
      <c r="S61" s="3516"/>
      <c r="T61" s="3516"/>
      <c r="U61" s="3516"/>
      <c r="V61" s="3516"/>
      <c r="W61" s="3516"/>
      <c r="X61" s="3516"/>
      <c r="Y61" s="3516"/>
      <c r="Z61" s="3516"/>
      <c r="AA61" s="3516"/>
      <c r="AB61" s="3516"/>
      <c r="AC61" s="3516"/>
      <c r="AD61" s="3516"/>
      <c r="AE61" s="3516"/>
      <c r="AF61" s="3516"/>
      <c r="AG61" s="3516"/>
      <c r="AH61" s="3516"/>
    </row>
    <row r="62" spans="2:34">
      <c r="B62" s="2427"/>
      <c r="C62" s="2427"/>
      <c r="D62" s="2427" t="s">
        <v>630</v>
      </c>
      <c r="E62" s="2432">
        <v>190000</v>
      </c>
      <c r="F62" s="2432">
        <v>190000</v>
      </c>
      <c r="G62" s="2432">
        <v>190000</v>
      </c>
      <c r="H62" s="2432">
        <v>190000</v>
      </c>
      <c r="I62" s="2432">
        <v>190000</v>
      </c>
      <c r="J62" s="2432"/>
      <c r="K62" s="2432"/>
      <c r="L62" s="2427"/>
      <c r="M62" s="3522"/>
      <c r="N62" s="3522"/>
      <c r="O62" s="3522"/>
      <c r="P62" s="3522"/>
      <c r="Q62" s="3516"/>
      <c r="R62" s="3516"/>
      <c r="S62" s="3516"/>
      <c r="T62" s="3516"/>
      <c r="U62" s="3516"/>
      <c r="V62" s="3516"/>
      <c r="W62" s="3516"/>
      <c r="X62" s="3516"/>
      <c r="Y62" s="3516"/>
      <c r="Z62" s="3516"/>
      <c r="AA62" s="3516"/>
      <c r="AB62" s="3516"/>
      <c r="AC62" s="3516"/>
      <c r="AD62" s="3516"/>
      <c r="AE62" s="3516"/>
      <c r="AF62" s="3516"/>
      <c r="AG62" s="3516"/>
      <c r="AH62" s="3516"/>
    </row>
    <row r="63" spans="2:34">
      <c r="B63" s="2427"/>
      <c r="C63" s="2427"/>
      <c r="D63" s="2427" t="s">
        <v>631</v>
      </c>
      <c r="E63" s="2432">
        <v>787000</v>
      </c>
      <c r="F63" s="2432">
        <v>790000</v>
      </c>
      <c r="G63" s="2432">
        <v>790000</v>
      </c>
      <c r="H63" s="2432">
        <v>790000</v>
      </c>
      <c r="I63" s="2432">
        <v>790000</v>
      </c>
      <c r="J63" s="2432"/>
      <c r="K63" s="2432"/>
      <c r="L63" s="2427"/>
      <c r="M63" s="3522"/>
      <c r="N63" s="3522"/>
      <c r="O63" s="3522"/>
      <c r="P63" s="3524"/>
      <c r="Q63" s="3516"/>
      <c r="R63" s="3516"/>
      <c r="S63" s="3516"/>
      <c r="T63" s="3516"/>
      <c r="U63" s="3516"/>
      <c r="V63" s="3516"/>
      <c r="W63" s="3516"/>
      <c r="X63" s="3516"/>
      <c r="Y63" s="3516"/>
      <c r="Z63" s="3516"/>
      <c r="AA63" s="3516"/>
      <c r="AB63" s="3516"/>
      <c r="AC63" s="3516"/>
      <c r="AD63" s="3516"/>
      <c r="AE63" s="3516"/>
      <c r="AF63" s="3516"/>
      <c r="AG63" s="3516"/>
      <c r="AH63" s="3516"/>
    </row>
    <row r="64" spans="2:34">
      <c r="B64" s="2427"/>
      <c r="C64" s="2427"/>
      <c r="D64" s="2427"/>
      <c r="E64" s="2427"/>
      <c r="F64" s="2427"/>
      <c r="G64" s="2427"/>
      <c r="H64" s="2427"/>
      <c r="I64" s="2427"/>
      <c r="J64" s="2427"/>
      <c r="K64" s="2427"/>
      <c r="L64" s="2427"/>
      <c r="M64" s="3522"/>
      <c r="N64" s="3522"/>
      <c r="O64" s="3522"/>
      <c r="P64" s="3524"/>
      <c r="Q64" s="3516"/>
      <c r="R64" s="3516"/>
      <c r="S64" s="3516"/>
      <c r="T64" s="3516"/>
      <c r="U64" s="3516"/>
      <c r="V64" s="3516"/>
      <c r="W64" s="3516"/>
      <c r="X64" s="3516"/>
      <c r="Y64" s="3516"/>
      <c r="Z64" s="3516"/>
      <c r="AA64" s="3516"/>
      <c r="AB64" s="3516"/>
      <c r="AC64" s="3516"/>
      <c r="AD64" s="3516"/>
      <c r="AE64" s="3516"/>
      <c r="AF64" s="3516"/>
      <c r="AG64" s="3516"/>
      <c r="AH64" s="3516"/>
    </row>
    <row r="65" spans="2:34">
      <c r="B65" s="2427"/>
      <c r="C65" s="2432">
        <v>1000000</v>
      </c>
      <c r="D65" s="2427" t="s">
        <v>632</v>
      </c>
      <c r="E65" s="2433">
        <f>+(E58*E62)/$C$65</f>
        <v>3531.15</v>
      </c>
      <c r="F65" s="2433">
        <f>+(F58*F62)/$C$65</f>
        <v>9664.92</v>
      </c>
      <c r="G65" s="2433">
        <f>+(G58*G62)/$C$65</f>
        <v>19112.328000000001</v>
      </c>
      <c r="H65" s="2433">
        <f t="shared" ref="H65:I65" si="16">+(H58*H62)/$C$65</f>
        <v>45070.127999999997</v>
      </c>
      <c r="I65" s="2433">
        <f t="shared" si="16"/>
        <v>61691.328000000001</v>
      </c>
      <c r="J65" s="2433"/>
      <c r="K65" s="2433"/>
      <c r="L65" s="2427"/>
      <c r="M65" s="3525"/>
      <c r="N65" s="3525"/>
      <c r="O65" s="3525"/>
      <c r="P65" s="3525"/>
      <c r="Q65" s="3516"/>
      <c r="R65" s="3516"/>
      <c r="S65" s="3516"/>
      <c r="T65" s="3516"/>
      <c r="U65" s="3516"/>
      <c r="V65" s="3516"/>
      <c r="W65" s="3516"/>
      <c r="X65" s="3516"/>
      <c r="Y65" s="3516"/>
      <c r="Z65" s="3516"/>
      <c r="AA65" s="3516"/>
      <c r="AB65" s="3516"/>
      <c r="AC65" s="3516"/>
      <c r="AD65" s="3516"/>
      <c r="AE65" s="3516"/>
      <c r="AF65" s="3516"/>
      <c r="AG65" s="3516"/>
      <c r="AH65" s="3516"/>
    </row>
    <row r="66" spans="2:34">
      <c r="B66" s="2427"/>
      <c r="C66" s="2427"/>
      <c r="D66" s="2427" t="s">
        <v>633</v>
      </c>
      <c r="E66" s="2432">
        <f>+(E60*E63)/$C$65</f>
        <v>16907.120999999999</v>
      </c>
      <c r="F66" s="2432">
        <f>+(F60*F63)/$C$65</f>
        <v>28440</v>
      </c>
      <c r="G66" s="2432">
        <f>+(G60*G63)/$C$65</f>
        <v>28440</v>
      </c>
      <c r="H66" s="2432">
        <f>+(H60*H63)/$C$65</f>
        <v>28440</v>
      </c>
      <c r="I66" s="2432">
        <f t="shared" ref="I66" si="17">+(I60*I63)/$C$65</f>
        <v>28440</v>
      </c>
      <c r="J66" s="2432"/>
      <c r="K66" s="2432"/>
      <c r="L66" s="2427"/>
      <c r="M66" s="3525"/>
      <c r="N66" s="3522"/>
      <c r="O66" s="3522"/>
      <c r="P66" s="3525"/>
      <c r="Q66" s="3516"/>
      <c r="R66" s="3516"/>
      <c r="S66" s="3516"/>
      <c r="T66" s="3516"/>
      <c r="U66" s="3516"/>
      <c r="V66" s="3516"/>
      <c r="W66" s="3516"/>
      <c r="X66" s="3516"/>
      <c r="Y66" s="3516"/>
      <c r="Z66" s="3516"/>
      <c r="AA66" s="3516"/>
      <c r="AB66" s="3516"/>
      <c r="AC66" s="3516"/>
      <c r="AD66" s="3516"/>
      <c r="AE66" s="3516"/>
      <c r="AF66" s="3516"/>
      <c r="AG66" s="3516"/>
      <c r="AH66" s="3516"/>
    </row>
    <row r="67" spans="2:34">
      <c r="B67" s="2427"/>
      <c r="C67" s="2427"/>
      <c r="D67" s="2427"/>
      <c r="E67" s="2427"/>
      <c r="F67" s="2427"/>
      <c r="G67" s="2427"/>
      <c r="H67" s="2427"/>
      <c r="I67" s="2427"/>
      <c r="J67" s="2427"/>
      <c r="K67" s="2427"/>
      <c r="L67" s="2427"/>
      <c r="M67" s="3526"/>
      <c r="N67" s="3527"/>
      <c r="O67" s="3527"/>
      <c r="P67" s="3525"/>
      <c r="Q67" s="3516"/>
      <c r="R67" s="3516"/>
      <c r="S67" s="3516"/>
      <c r="T67" s="3516"/>
      <c r="U67" s="3516"/>
      <c r="V67" s="3516"/>
      <c r="W67" s="3516"/>
      <c r="X67" s="3516"/>
      <c r="Y67" s="3516"/>
      <c r="Z67" s="3516"/>
      <c r="AA67" s="3516"/>
      <c r="AB67" s="3516"/>
      <c r="AC67" s="3516"/>
      <c r="AD67" s="3516"/>
      <c r="AE67" s="3516"/>
      <c r="AF67" s="3516"/>
      <c r="AG67" s="3516"/>
      <c r="AH67" s="3516"/>
    </row>
    <row r="68" spans="2:34">
      <c r="B68" s="2427"/>
      <c r="C68" s="2427"/>
      <c r="D68" s="2427"/>
      <c r="E68" s="2427"/>
      <c r="F68" s="2434"/>
      <c r="G68" s="2427"/>
      <c r="H68" s="2432"/>
      <c r="I68" s="2432"/>
      <c r="J68" s="2432"/>
      <c r="K68" s="2432"/>
      <c r="L68" s="2427"/>
      <c r="M68" s="3525"/>
      <c r="N68" s="3527"/>
      <c r="O68" s="3522"/>
      <c r="P68" s="3525"/>
      <c r="Q68" s="3516"/>
      <c r="R68" s="3516"/>
      <c r="S68" s="3516"/>
      <c r="T68" s="3516"/>
      <c r="U68" s="3516"/>
      <c r="V68" s="3516"/>
      <c r="W68" s="3516"/>
      <c r="X68" s="3516"/>
      <c r="Y68" s="3516"/>
      <c r="Z68" s="3516"/>
      <c r="AA68" s="3516"/>
      <c r="AB68" s="3516"/>
      <c r="AC68" s="3516"/>
      <c r="AD68" s="3516"/>
      <c r="AE68" s="3516"/>
      <c r="AF68" s="3516"/>
      <c r="AG68" s="3516"/>
      <c r="AH68" s="3516"/>
    </row>
    <row r="69" spans="2:34">
      <c r="B69" s="2427"/>
      <c r="C69" s="2432" t="s">
        <v>634</v>
      </c>
      <c r="D69" s="2427" t="s">
        <v>635</v>
      </c>
      <c r="E69" s="2435">
        <v>14.5</v>
      </c>
      <c r="F69" s="2435">
        <v>15</v>
      </c>
      <c r="G69" s="2436">
        <v>16</v>
      </c>
      <c r="H69" s="2436">
        <v>16</v>
      </c>
      <c r="I69" s="2436">
        <v>16</v>
      </c>
      <c r="J69" s="2427" t="s">
        <v>636</v>
      </c>
      <c r="K69" s="2427"/>
      <c r="L69" s="2427"/>
      <c r="M69" s="3525"/>
      <c r="N69" s="3527"/>
      <c r="O69" s="3525"/>
      <c r="P69" s="3525"/>
      <c r="Q69" s="3516"/>
      <c r="R69" s="3516"/>
      <c r="S69" s="3516"/>
      <c r="T69" s="3516"/>
      <c r="U69" s="3516"/>
      <c r="V69" s="3516"/>
      <c r="W69" s="3516"/>
      <c r="X69" s="3516"/>
      <c r="Y69" s="3516"/>
      <c r="Z69" s="3516"/>
      <c r="AA69" s="3516"/>
      <c r="AB69" s="3516"/>
      <c r="AC69" s="3516"/>
      <c r="AD69" s="3516"/>
      <c r="AE69" s="3516"/>
      <c r="AF69" s="3516"/>
      <c r="AG69" s="3516"/>
      <c r="AH69" s="3516"/>
    </row>
    <row r="70" spans="2:34">
      <c r="B70" s="2427"/>
      <c r="C70" s="2427"/>
      <c r="D70" s="2427" t="s">
        <v>637</v>
      </c>
      <c r="E70" s="2435"/>
      <c r="F70" s="2435"/>
      <c r="G70" s="2436">
        <v>5</v>
      </c>
      <c r="H70" s="2436">
        <v>8</v>
      </c>
      <c r="I70" s="2436">
        <v>10</v>
      </c>
      <c r="J70" s="2427" t="s">
        <v>638</v>
      </c>
      <c r="K70" s="2432"/>
      <c r="L70" s="2427"/>
      <c r="M70" s="3521"/>
      <c r="N70" s="3521"/>
      <c r="O70" s="3521"/>
      <c r="P70" s="3521"/>
      <c r="Q70" s="3516"/>
      <c r="R70" s="3516"/>
      <c r="S70" s="3516"/>
      <c r="T70" s="3516"/>
      <c r="U70" s="3516"/>
      <c r="V70" s="3516"/>
      <c r="W70" s="3516"/>
      <c r="X70" s="3516"/>
      <c r="Y70" s="3516"/>
      <c r="Z70" s="3516"/>
      <c r="AA70" s="3516"/>
      <c r="AB70" s="3516"/>
      <c r="AC70" s="3516"/>
      <c r="AD70" s="3516"/>
      <c r="AE70" s="3516"/>
      <c r="AF70" s="3516"/>
      <c r="AG70" s="3516"/>
      <c r="AH70" s="3516"/>
    </row>
    <row r="71" spans="2:34">
      <c r="B71" s="2427"/>
      <c r="C71" s="2427"/>
      <c r="D71" s="2427" t="s">
        <v>639</v>
      </c>
      <c r="E71" s="2435">
        <v>2</v>
      </c>
      <c r="F71" s="2435">
        <v>2</v>
      </c>
      <c r="G71" s="2436">
        <v>2</v>
      </c>
      <c r="H71" s="2436">
        <v>3</v>
      </c>
      <c r="I71" s="2436">
        <v>5</v>
      </c>
      <c r="J71" s="2432"/>
      <c r="K71" s="2432"/>
      <c r="L71" s="2427"/>
      <c r="M71" s="3521"/>
      <c r="N71" s="3521"/>
      <c r="O71" s="3521"/>
      <c r="P71" s="3521"/>
      <c r="Q71" s="3516"/>
      <c r="R71" s="3516"/>
      <c r="S71" s="3516"/>
      <c r="T71" s="3516"/>
      <c r="U71" s="3516"/>
      <c r="V71" s="3516"/>
      <c r="W71" s="3516"/>
      <c r="X71" s="3516"/>
      <c r="Y71" s="3516"/>
      <c r="Z71" s="3516"/>
      <c r="AA71" s="3516"/>
      <c r="AB71" s="3516"/>
      <c r="AC71" s="3516"/>
      <c r="AD71" s="3516"/>
      <c r="AE71" s="3516"/>
      <c r="AF71" s="3516"/>
      <c r="AG71" s="3516"/>
      <c r="AH71" s="3516"/>
    </row>
    <row r="72" spans="2:34">
      <c r="B72" s="2427"/>
      <c r="C72" s="2427"/>
      <c r="D72" s="2427" t="s">
        <v>640</v>
      </c>
      <c r="E72" s="2435">
        <v>1</v>
      </c>
      <c r="F72" s="2435">
        <v>1</v>
      </c>
      <c r="G72" s="2436">
        <v>1</v>
      </c>
      <c r="H72" s="2436">
        <v>1</v>
      </c>
      <c r="I72" s="2436">
        <v>1</v>
      </c>
      <c r="J72" s="2432" t="s">
        <v>641</v>
      </c>
      <c r="K72" s="2432"/>
      <c r="L72" s="2427"/>
      <c r="M72" s="3516"/>
      <c r="N72" s="3516"/>
      <c r="O72" s="3516"/>
      <c r="P72" s="3516"/>
      <c r="Q72" s="3516"/>
      <c r="R72" s="3516"/>
      <c r="S72" s="3516"/>
      <c r="T72" s="3516"/>
      <c r="U72" s="3516"/>
      <c r="V72" s="3516"/>
      <c r="W72" s="3516"/>
      <c r="X72" s="3516"/>
      <c r="Y72" s="3516"/>
      <c r="Z72" s="3516"/>
      <c r="AA72" s="3516"/>
      <c r="AB72" s="3516"/>
      <c r="AC72" s="3516"/>
      <c r="AD72" s="3516"/>
      <c r="AE72" s="3516"/>
      <c r="AF72" s="3516"/>
      <c r="AG72" s="3516"/>
      <c r="AH72" s="3516"/>
    </row>
    <row r="73" spans="2:34">
      <c r="B73" s="2427"/>
      <c r="C73" s="2427"/>
      <c r="D73" s="2427"/>
      <c r="E73" s="2427"/>
      <c r="F73" s="2427"/>
      <c r="G73" s="2427"/>
      <c r="H73" s="2427"/>
      <c r="I73" s="2427"/>
      <c r="J73" s="2427"/>
      <c r="K73" s="2427"/>
      <c r="L73" s="2427"/>
      <c r="M73" s="3516"/>
      <c r="N73" s="3516"/>
      <c r="O73" s="3516"/>
      <c r="P73" s="3516"/>
      <c r="Q73" s="3516"/>
      <c r="R73" s="3516"/>
      <c r="S73" s="3516"/>
      <c r="T73" s="3516"/>
      <c r="U73" s="3516"/>
      <c r="V73" s="3516"/>
      <c r="W73" s="3516"/>
      <c r="X73" s="3516"/>
      <c r="Y73" s="3516"/>
      <c r="Z73" s="3516"/>
      <c r="AA73" s="3516"/>
      <c r="AB73" s="3516"/>
      <c r="AC73" s="3516"/>
      <c r="AD73" s="3516"/>
      <c r="AE73" s="3516"/>
      <c r="AF73" s="3516"/>
      <c r="AG73" s="3516"/>
      <c r="AH73" s="3516"/>
    </row>
    <row r="74" spans="2:34">
      <c r="B74" s="2427"/>
      <c r="C74" s="2427"/>
      <c r="D74" s="2427"/>
      <c r="E74" s="2427"/>
      <c r="F74" s="2427"/>
      <c r="G74" s="2427"/>
      <c r="H74" s="2427"/>
      <c r="I74" s="2427"/>
      <c r="J74" s="2427"/>
      <c r="K74" s="2427"/>
      <c r="L74" s="2427"/>
      <c r="M74" s="3516"/>
      <c r="N74" s="3516"/>
      <c r="O74" s="3516"/>
      <c r="P74" s="3516"/>
      <c r="Q74" s="3516"/>
      <c r="R74" s="3516"/>
      <c r="S74" s="3516"/>
      <c r="T74" s="3516"/>
      <c r="U74" s="3516"/>
      <c r="V74" s="3516"/>
      <c r="W74" s="3516"/>
      <c r="X74" s="3516"/>
      <c r="Y74" s="3516"/>
      <c r="Z74" s="3516"/>
      <c r="AA74" s="3516"/>
      <c r="AB74" s="3516"/>
      <c r="AC74" s="3516"/>
      <c r="AD74" s="3516"/>
      <c r="AE74" s="3516"/>
      <c r="AF74" s="3516"/>
      <c r="AG74" s="3516"/>
      <c r="AH74" s="3516"/>
    </row>
    <row r="75" spans="2:34">
      <c r="B75" s="2427"/>
      <c r="C75" s="2432" t="s">
        <v>642</v>
      </c>
      <c r="D75" s="2427" t="s">
        <v>635</v>
      </c>
      <c r="E75" s="2437">
        <f t="shared" ref="E75:I77" si="18">+E34*E69</f>
        <v>3683</v>
      </c>
      <c r="F75" s="2437">
        <f t="shared" si="18"/>
        <v>3810</v>
      </c>
      <c r="G75" s="2437">
        <f t="shared" si="18"/>
        <v>4064</v>
      </c>
      <c r="H75" s="2437">
        <f t="shared" si="18"/>
        <v>4064</v>
      </c>
      <c r="I75" s="2437">
        <f t="shared" si="18"/>
        <v>4064</v>
      </c>
      <c r="J75" s="2432"/>
      <c r="K75" s="2432"/>
      <c r="L75" s="2427"/>
      <c r="M75" s="3516"/>
      <c r="N75" s="3516"/>
      <c r="O75" s="3516"/>
      <c r="P75" s="3516"/>
      <c r="Q75" s="3516"/>
      <c r="R75" s="3516"/>
      <c r="S75" s="3516"/>
      <c r="T75" s="3516"/>
      <c r="U75" s="3516"/>
      <c r="V75" s="3516"/>
      <c r="W75" s="3516"/>
      <c r="X75" s="3516"/>
      <c r="Y75" s="3516"/>
      <c r="Z75" s="3516"/>
      <c r="AA75" s="3516"/>
      <c r="AB75" s="3516"/>
      <c r="AC75" s="3516"/>
      <c r="AD75" s="3516"/>
      <c r="AE75" s="3516"/>
      <c r="AF75" s="3516"/>
      <c r="AG75" s="3516"/>
      <c r="AH75" s="3516"/>
    </row>
    <row r="76" spans="2:34">
      <c r="B76" s="2427"/>
      <c r="C76" s="2427"/>
      <c r="D76" s="2427" t="s">
        <v>637</v>
      </c>
      <c r="E76" s="2437">
        <f t="shared" si="18"/>
        <v>0</v>
      </c>
      <c r="F76" s="2437">
        <f t="shared" si="18"/>
        <v>0</v>
      </c>
      <c r="G76" s="2437">
        <f t="shared" si="18"/>
        <v>3750</v>
      </c>
      <c r="H76" s="2437">
        <f t="shared" si="18"/>
        <v>14400</v>
      </c>
      <c r="I76" s="2437">
        <f t="shared" si="18"/>
        <v>18000</v>
      </c>
      <c r="J76" s="2432"/>
      <c r="K76" s="2432"/>
      <c r="L76" s="2427"/>
      <c r="M76" s="3516"/>
      <c r="N76" s="3516"/>
      <c r="O76" s="3516"/>
      <c r="P76" s="3516"/>
      <c r="Q76" s="3516"/>
      <c r="R76" s="3516"/>
      <c r="S76" s="3516"/>
      <c r="T76" s="3516"/>
      <c r="U76" s="3516"/>
      <c r="V76" s="3516"/>
      <c r="W76" s="3516"/>
      <c r="X76" s="3516"/>
      <c r="Y76" s="3516"/>
      <c r="Z76" s="3516"/>
      <c r="AA76" s="3516"/>
      <c r="AB76" s="3516"/>
      <c r="AC76" s="3516"/>
      <c r="AD76" s="3516"/>
      <c r="AE76" s="3516"/>
      <c r="AF76" s="3516"/>
      <c r="AG76" s="3516"/>
      <c r="AH76" s="3516"/>
    </row>
    <row r="77" spans="2:34">
      <c r="B77" s="2427"/>
      <c r="C77" s="2427"/>
      <c r="D77" s="2427" t="s">
        <v>639</v>
      </c>
      <c r="E77" s="2437">
        <f t="shared" si="18"/>
        <v>0</v>
      </c>
      <c r="F77" s="2437">
        <f t="shared" si="18"/>
        <v>100</v>
      </c>
      <c r="G77" s="2437">
        <f t="shared" si="18"/>
        <v>1000</v>
      </c>
      <c r="H77" s="2437">
        <f t="shared" si="18"/>
        <v>3000</v>
      </c>
      <c r="I77" s="2437">
        <f t="shared" si="18"/>
        <v>7500</v>
      </c>
      <c r="J77" s="2432"/>
      <c r="K77" s="2432"/>
      <c r="L77" s="2427"/>
    </row>
    <row r="78" spans="2:34">
      <c r="B78" s="2427"/>
      <c r="C78" s="2427"/>
      <c r="D78" s="2427" t="s">
        <v>640</v>
      </c>
      <c r="E78" s="2437">
        <v>742</v>
      </c>
      <c r="F78" s="2437">
        <v>800</v>
      </c>
      <c r="G78" s="2437">
        <f>+G37*G72</f>
        <v>500</v>
      </c>
      <c r="H78" s="2437">
        <f>+H37*H72</f>
        <v>500</v>
      </c>
      <c r="I78" s="2437">
        <f>+I37*I72</f>
        <v>500</v>
      </c>
      <c r="J78" s="2432"/>
      <c r="K78" s="2432"/>
      <c r="L78" s="2427"/>
    </row>
    <row r="79" spans="2:34">
      <c r="B79" s="2427"/>
      <c r="C79" s="2427"/>
      <c r="D79" s="2427" t="s">
        <v>643</v>
      </c>
      <c r="E79" s="2437">
        <f>SUM(E75:E78)</f>
        <v>4425</v>
      </c>
      <c r="F79" s="2437">
        <f>SUM(F75:F78)</f>
        <v>4710</v>
      </c>
      <c r="G79" s="2437">
        <f t="shared" ref="G79:I79" si="19">SUM(G75:G78)</f>
        <v>9314</v>
      </c>
      <c r="H79" s="2437">
        <f t="shared" si="19"/>
        <v>21964</v>
      </c>
      <c r="I79" s="2437">
        <f t="shared" si="19"/>
        <v>30064</v>
      </c>
      <c r="J79" s="2432"/>
      <c r="K79" s="2432"/>
      <c r="L79" s="2427"/>
    </row>
    <row r="80" spans="2:34">
      <c r="B80" s="2427"/>
      <c r="C80" s="2427" t="s">
        <v>644</v>
      </c>
      <c r="D80" s="2427"/>
      <c r="E80" s="2438">
        <f>+E79*12/2</f>
        <v>26550</v>
      </c>
      <c r="F80" s="2438">
        <f>+F79*12</f>
        <v>56520</v>
      </c>
      <c r="G80" s="2438">
        <f t="shared" ref="G80:I80" si="20">+G79*12</f>
        <v>111768</v>
      </c>
      <c r="H80" s="2438">
        <f t="shared" si="20"/>
        <v>263568</v>
      </c>
      <c r="I80" s="2438">
        <f t="shared" si="20"/>
        <v>360768</v>
      </c>
      <c r="J80" s="2433"/>
      <c r="K80" s="2433"/>
      <c r="L80" s="2427"/>
    </row>
    <row r="81" spans="5:11">
      <c r="E81" s="2391"/>
    </row>
    <row r="82" spans="5:11">
      <c r="E82" s="2392"/>
      <c r="F82" s="2392"/>
      <c r="G82" s="2392"/>
      <c r="H82" s="2392"/>
      <c r="I82" s="2392"/>
      <c r="J82" s="2328"/>
      <c r="K82" s="2328"/>
    </row>
    <row r="85" spans="5:11">
      <c r="E85" s="2393"/>
      <c r="F85" s="2393"/>
    </row>
  </sheetData>
  <mergeCells count="22">
    <mergeCell ref="B3:D3"/>
    <mergeCell ref="B4:B14"/>
    <mergeCell ref="C4:D4"/>
    <mergeCell ref="C5:D5"/>
    <mergeCell ref="C6:C8"/>
    <mergeCell ref="C12:C14"/>
    <mergeCell ref="C9:D9"/>
    <mergeCell ref="C10:C11"/>
    <mergeCell ref="B15:B26"/>
    <mergeCell ref="C15:D15"/>
    <mergeCell ref="C16:D16"/>
    <mergeCell ref="C17:C19"/>
    <mergeCell ref="C23:C25"/>
    <mergeCell ref="C20:D20"/>
    <mergeCell ref="C21:C22"/>
    <mergeCell ref="N61:P61"/>
    <mergeCell ref="B27:B43"/>
    <mergeCell ref="C27:C31"/>
    <mergeCell ref="C32:C37"/>
    <mergeCell ref="C38:C39"/>
    <mergeCell ref="C40:C41"/>
    <mergeCell ref="C42:C43"/>
  </mergeCells>
  <phoneticPr fontId="2" type="noConversion"/>
  <printOptions horizontalCentered="1" verticalCentered="1"/>
  <pageMargins left="0.70866141732283472" right="0.78740157480314965" top="0.74803149606299213" bottom="0.74803149606299213" header="0.31496062992125984" footer="0.31496062992125984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8</vt:i4>
      </vt:variant>
    </vt:vector>
  </HeadingPairs>
  <TitlesOfParts>
    <vt:vector size="23" baseType="lpstr">
      <vt:lpstr>전사 손익계산서</vt:lpstr>
      <vt:lpstr>영역별</vt:lpstr>
      <vt:lpstr>유통플랫폼</vt:lpstr>
      <vt:lpstr>무선</vt:lpstr>
      <vt:lpstr>유선</vt:lpstr>
      <vt:lpstr>기타수익</vt:lpstr>
      <vt:lpstr>인건비</vt:lpstr>
      <vt:lpstr>인프라</vt:lpstr>
      <vt:lpstr>기타운영비</vt:lpstr>
      <vt:lpstr>감가상각비</vt:lpstr>
      <vt:lpstr>무선 CAPA</vt:lpstr>
      <vt:lpstr>참고. 주요Key</vt:lpstr>
      <vt:lpstr>참고. YoY</vt:lpstr>
      <vt:lpstr>참고. 분기별</vt:lpstr>
      <vt:lpstr>유통플랫폼 중기 최초 계획</vt:lpstr>
      <vt:lpstr>'무선 CAPA'!Print_Area</vt:lpstr>
      <vt:lpstr>영역별!Print_Area</vt:lpstr>
      <vt:lpstr>유통플랫폼!Print_Area</vt:lpstr>
      <vt:lpstr>'유통플랫폼 중기 최초 계획'!Print_Area</vt:lpstr>
      <vt:lpstr>'전사 손익계산서'!Print_Area</vt:lpstr>
      <vt:lpstr>'참고. YoY'!Print_Area</vt:lpstr>
      <vt:lpstr>'참고. 분기별'!Print_Area</vt:lpstr>
      <vt:lpstr>'참고. 주요Key'!Print_Area</vt:lpstr>
    </vt:vector>
  </TitlesOfParts>
  <Company>KT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전홍준</dc:creator>
  <cp:lastModifiedBy>전홍준(경영기획팀)</cp:lastModifiedBy>
  <cp:lastPrinted>2026-01-29T08:21:31Z</cp:lastPrinted>
  <dcterms:created xsi:type="dcterms:W3CDTF">2017-10-12T06:10:18Z</dcterms:created>
  <dcterms:modified xsi:type="dcterms:W3CDTF">2026-02-10T08:16:45Z</dcterms:modified>
</cp:coreProperties>
</file>