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Jacobo\Desktop\"/>
    </mc:Choice>
  </mc:AlternateContent>
  <xr:revisionPtr revIDLastSave="0" documentId="13_ncr:1_{2E58796D-4B38-4023-9BE2-D6F7E3BFDEDF}" xr6:coauthVersionLast="41" xr6:coauthVersionMax="41" xr10:uidLastSave="{00000000-0000-0000-0000-000000000000}"/>
  <bookViews>
    <workbookView xWindow="28680" yWindow="-120" windowWidth="29040" windowHeight="16440" activeTab="3" xr2:uid="{FAC3A7B9-DE60-4CEB-843E-37617A0FCB92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1" hidden="1">Sheet2!$F$23</definedName>
    <definedName name="solver_adj" localSheetId="2" hidden="1">Sheet3!$F$23</definedName>
    <definedName name="solver_adj" localSheetId="3" hidden="1">Sheet4!$F$23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Sheet2!$E$32</definedName>
    <definedName name="solver_opt" localSheetId="2" hidden="1">Sheet3!$E$32</definedName>
    <definedName name="solver_opt" localSheetId="3" hidden="1">Sheet4!$E$38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4" l="1"/>
  <c r="J8" i="4"/>
  <c r="J9" i="4"/>
  <c r="J10" i="4"/>
  <c r="J11" i="4"/>
  <c r="J12" i="4"/>
  <c r="J13" i="4"/>
  <c r="J14" i="4"/>
  <c r="J15" i="4"/>
  <c r="J16" i="4"/>
  <c r="J17" i="4"/>
  <c r="J18" i="4"/>
  <c r="E32" i="4"/>
  <c r="E33" i="4"/>
  <c r="E34" i="4"/>
  <c r="E35" i="4"/>
  <c r="E36" i="4"/>
  <c r="E37" i="4"/>
  <c r="C23" i="4"/>
  <c r="B36" i="4"/>
  <c r="B37" i="4"/>
  <c r="B32" i="4"/>
  <c r="B33" i="4"/>
  <c r="B34" i="4"/>
  <c r="B35" i="4"/>
  <c r="D15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J7" i="4"/>
  <c r="E7" i="4"/>
  <c r="C8" i="4" s="1"/>
  <c r="B8" i="4" s="1"/>
  <c r="E8" i="4" s="1"/>
  <c r="C7" i="4"/>
  <c r="B7" i="4" s="1"/>
  <c r="M6" i="4"/>
  <c r="M5" i="4"/>
  <c r="C23" i="3"/>
  <c r="E25" i="3"/>
  <c r="B25" i="3"/>
  <c r="C7" i="3"/>
  <c r="B7" i="3" s="1"/>
  <c r="M6" i="3"/>
  <c r="M5" i="3"/>
  <c r="J8" i="2"/>
  <c r="J9" i="2"/>
  <c r="J10" i="2"/>
  <c r="J11" i="2"/>
  <c r="J12" i="2"/>
  <c r="J7" i="2"/>
  <c r="M6" i="2"/>
  <c r="E31" i="2"/>
  <c r="E30" i="2"/>
  <c r="E29" i="2"/>
  <c r="E28" i="2"/>
  <c r="E27" i="2"/>
  <c r="E26" i="2"/>
  <c r="E25" i="2"/>
  <c r="B25" i="2"/>
  <c r="M5" i="2"/>
  <c r="C7" i="2"/>
  <c r="B19" i="2"/>
  <c r="D7" i="2"/>
  <c r="B26" i="2" s="1"/>
  <c r="E38" i="4" l="1"/>
  <c r="G3" i="4"/>
  <c r="M8" i="4" s="1"/>
  <c r="C9" i="4"/>
  <c r="B9" i="4" s="1"/>
  <c r="E9" i="4" s="1"/>
  <c r="E26" i="3"/>
  <c r="B26" i="3"/>
  <c r="J7" i="3"/>
  <c r="E7" i="3"/>
  <c r="E32" i="2"/>
  <c r="E7" i="2"/>
  <c r="D8" i="1"/>
  <c r="J8" i="1" s="1"/>
  <c r="K27" i="1"/>
  <c r="K38" i="1"/>
  <c r="K29" i="1"/>
  <c r="K30" i="1"/>
  <c r="K31" i="1"/>
  <c r="K32" i="1"/>
  <c r="K33" i="1"/>
  <c r="K34" i="1"/>
  <c r="K35" i="1"/>
  <c r="K36" i="1"/>
  <c r="K37" i="1"/>
  <c r="I26" i="1"/>
  <c r="G22" i="1"/>
  <c r="F22" i="1"/>
  <c r="F21" i="1"/>
  <c r="G21" i="1"/>
  <c r="M3" i="1"/>
  <c r="M12" i="1"/>
  <c r="C23" i="1"/>
  <c r="Q6" i="1"/>
  <c r="D21" i="1"/>
  <c r="D22" i="1" s="1"/>
  <c r="C22" i="1"/>
  <c r="G2" i="1"/>
  <c r="M6" i="1"/>
  <c r="M5" i="1"/>
  <c r="J6" i="1"/>
  <c r="J14" i="1"/>
  <c r="J15" i="1"/>
  <c r="J5" i="1"/>
  <c r="C19" i="1"/>
  <c r="B19" i="1"/>
  <c r="D9" i="1"/>
  <c r="J9" i="1" s="1"/>
  <c r="D10" i="1"/>
  <c r="J10" i="1" s="1"/>
  <c r="D11" i="1"/>
  <c r="J11" i="1" s="1"/>
  <c r="D12" i="1"/>
  <c r="J12" i="1" s="1"/>
  <c r="D13" i="1"/>
  <c r="J13" i="1" s="1"/>
  <c r="D14" i="1"/>
  <c r="D15" i="1"/>
  <c r="D16" i="1"/>
  <c r="J16" i="1" s="1"/>
  <c r="D17" i="1"/>
  <c r="J17" i="1" s="1"/>
  <c r="D18" i="1"/>
  <c r="J18" i="1" s="1"/>
  <c r="D7" i="1"/>
  <c r="C10" i="4" l="1"/>
  <c r="B10" i="4" s="1"/>
  <c r="E10" i="4" s="1"/>
  <c r="M15" i="4"/>
  <c r="M12" i="4"/>
  <c r="M9" i="4"/>
  <c r="N8" i="4"/>
  <c r="M16" i="4"/>
  <c r="M13" i="4"/>
  <c r="M17" i="4"/>
  <c r="M10" i="4"/>
  <c r="M18" i="4"/>
  <c r="M11" i="4"/>
  <c r="M14" i="4"/>
  <c r="C8" i="3"/>
  <c r="B8" i="3" s="1"/>
  <c r="E8" i="2"/>
  <c r="C8" i="2"/>
  <c r="K28" i="1"/>
  <c r="J26" i="1" s="1"/>
  <c r="M7" i="1"/>
  <c r="M18" i="1"/>
  <c r="M17" i="1"/>
  <c r="M8" i="1"/>
  <c r="M15" i="1"/>
  <c r="M11" i="1"/>
  <c r="M10" i="1"/>
  <c r="M9" i="1"/>
  <c r="M16" i="1"/>
  <c r="M14" i="1"/>
  <c r="M13" i="1"/>
  <c r="D19" i="1"/>
  <c r="C21" i="1"/>
  <c r="J7" i="1"/>
  <c r="N14" i="4" l="1"/>
  <c r="C11" i="4"/>
  <c r="B11" i="4" s="1"/>
  <c r="E11" i="4" s="1"/>
  <c r="C12" i="4" s="1"/>
  <c r="B12" i="4" s="1"/>
  <c r="E12" i="4" s="1"/>
  <c r="C13" i="4" s="1"/>
  <c r="B13" i="4" s="1"/>
  <c r="E13" i="4" s="1"/>
  <c r="C14" i="4" s="1"/>
  <c r="N11" i="4"/>
  <c r="N10" i="4"/>
  <c r="N15" i="4"/>
  <c r="N18" i="4"/>
  <c r="N12" i="4"/>
  <c r="N16" i="4"/>
  <c r="N17" i="4"/>
  <c r="M20" i="4"/>
  <c r="N13" i="4"/>
  <c r="N9" i="4"/>
  <c r="E8" i="3"/>
  <c r="C9" i="3" s="1"/>
  <c r="B9" i="3" s="1"/>
  <c r="B19" i="3" s="1"/>
  <c r="D8" i="2"/>
  <c r="C9" i="2"/>
  <c r="D9" i="2" s="1"/>
  <c r="E9" i="2"/>
  <c r="N15" i="1"/>
  <c r="N16" i="1"/>
  <c r="N17" i="1"/>
  <c r="N8" i="1"/>
  <c r="N9" i="1"/>
  <c r="N10" i="1"/>
  <c r="N18" i="1"/>
  <c r="N12" i="1"/>
  <c r="N13" i="1"/>
  <c r="N11" i="1"/>
  <c r="N14" i="1"/>
  <c r="M20" i="1"/>
  <c r="B14" i="4" l="1"/>
  <c r="E9" i="3"/>
  <c r="E27" i="3"/>
  <c r="B27" i="3"/>
  <c r="J8" i="3"/>
  <c r="J9" i="3"/>
  <c r="B28" i="3"/>
  <c r="E28" i="3"/>
  <c r="E10" i="2"/>
  <c r="C10" i="2"/>
  <c r="D10" i="2" s="1"/>
  <c r="B28" i="2"/>
  <c r="B27" i="2"/>
  <c r="E14" i="4" l="1"/>
  <c r="B29" i="2"/>
  <c r="E11" i="2"/>
  <c r="C11" i="2"/>
  <c r="D11" i="2" s="1"/>
  <c r="C15" i="4" l="1"/>
  <c r="E29" i="3"/>
  <c r="B29" i="3"/>
  <c r="J10" i="3"/>
  <c r="E30" i="3"/>
  <c r="B30" i="3"/>
  <c r="J11" i="3"/>
  <c r="B30" i="2"/>
  <c r="E12" i="2"/>
  <c r="C12" i="2"/>
  <c r="D12" i="2" s="1"/>
  <c r="D19" i="2" s="1"/>
  <c r="B15" i="4" l="1"/>
  <c r="B31" i="3"/>
  <c r="G3" i="3" s="1"/>
  <c r="E31" i="3"/>
  <c r="E32" i="3" s="1"/>
  <c r="J12" i="3"/>
  <c r="C19" i="3"/>
  <c r="D19" i="3"/>
  <c r="B31" i="2"/>
  <c r="C23" i="2" s="1"/>
  <c r="G3" i="2" s="1"/>
  <c r="C19" i="2"/>
  <c r="E15" i="4" l="1"/>
  <c r="M15" i="3"/>
  <c r="M18" i="3"/>
  <c r="M14" i="3"/>
  <c r="M17" i="3"/>
  <c r="M13" i="3"/>
  <c r="M16" i="3"/>
  <c r="M7" i="3"/>
  <c r="M8" i="3"/>
  <c r="M9" i="3"/>
  <c r="M12" i="3"/>
  <c r="M10" i="3"/>
  <c r="M11" i="3"/>
  <c r="M13" i="2"/>
  <c r="M14" i="2"/>
  <c r="M7" i="2"/>
  <c r="M18" i="2"/>
  <c r="M17" i="2"/>
  <c r="M15" i="2"/>
  <c r="M16" i="2"/>
  <c r="M9" i="2"/>
  <c r="M8" i="2"/>
  <c r="M10" i="2"/>
  <c r="M11" i="2"/>
  <c r="M12" i="2"/>
  <c r="C16" i="4" l="1"/>
  <c r="D16" i="4" s="1"/>
  <c r="N15" i="3"/>
  <c r="N9" i="3"/>
  <c r="N18" i="3"/>
  <c r="N14" i="3"/>
  <c r="N10" i="3"/>
  <c r="M20" i="3"/>
  <c r="N16" i="3"/>
  <c r="N12" i="3"/>
  <c r="N8" i="3"/>
  <c r="N17" i="3"/>
  <c r="N13" i="3"/>
  <c r="N11" i="3"/>
  <c r="N16" i="2"/>
  <c r="M20" i="2"/>
  <c r="N10" i="2"/>
  <c r="N15" i="2"/>
  <c r="N9" i="2"/>
  <c r="N11" i="2"/>
  <c r="N18" i="2"/>
  <c r="N17" i="2"/>
  <c r="N8" i="2"/>
  <c r="N13" i="2"/>
  <c r="N12" i="2"/>
  <c r="N14" i="2"/>
  <c r="D19" i="4" l="1"/>
  <c r="B16" i="4"/>
  <c r="E16" i="4" l="1"/>
  <c r="C17" i="4" l="1"/>
  <c r="B17" i="4" l="1"/>
  <c r="E17" i="4" l="1"/>
  <c r="C18" i="4" l="1"/>
  <c r="B18" i="4" l="1"/>
  <c r="C19" i="4"/>
  <c r="B19" i="4" l="1"/>
  <c r="E18" i="4"/>
</calcChain>
</file>

<file path=xl/sharedStrings.xml><?xml version="1.0" encoding="utf-8"?>
<sst xmlns="http://schemas.openxmlformats.org/spreadsheetml/2006/main" count="66" uniqueCount="18">
  <si>
    <t>total loan</t>
  </si>
  <si>
    <t>TOTAL</t>
  </si>
  <si>
    <t>Upfront fee</t>
  </si>
  <si>
    <t>Payment</t>
  </si>
  <si>
    <t>Principal</t>
  </si>
  <si>
    <t>Interest</t>
  </si>
  <si>
    <t>Total</t>
  </si>
  <si>
    <t>Negative cash flow</t>
  </si>
  <si>
    <t>Positive cash flow</t>
  </si>
  <si>
    <t>APR</t>
  </si>
  <si>
    <t>IRR</t>
  </si>
  <si>
    <t>LOAN</t>
  </si>
  <si>
    <t>Date</t>
  </si>
  <si>
    <t>NODE VALUES</t>
  </si>
  <si>
    <t>EXCEL</t>
  </si>
  <si>
    <t>TARGET</t>
  </si>
  <si>
    <t>Remaining</t>
  </si>
  <si>
    <t>NPV with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</si>
</sst>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00"/>
    <numFmt numFmtId="166" formatCode="&quot;$&quot;#,##0.00"/>
    <numFmt numFmtId="167" formatCode="&quot;$&quot;#,##0.0"/>
    <numFmt numFmtId="168" formatCode="&quot;$&quot;#,##0"/>
    <numFmt numFmtId="169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14" fontId="2" fillId="0" borderId="0" xfId="0" applyNumberFormat="1" applyFont="1"/>
    <xf numFmtId="8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2" applyNumberFormat="1" applyFont="1"/>
    <xf numFmtId="9" fontId="0" fillId="0" borderId="0" xfId="2" applyNumberFormat="1" applyFont="1"/>
    <xf numFmtId="169" fontId="0" fillId="0" borderId="0" xfId="2" applyNumberFormat="1" applyFont="1"/>
    <xf numFmtId="168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4A6-8C25-439B-A488-9658A6B9D641}">
  <dimension ref="A1:Q38"/>
  <sheetViews>
    <sheetView zoomScale="104" workbookViewId="0">
      <selection activeCell="M20" sqref="M20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3.140625" bestFit="1" customWidth="1"/>
    <col min="4" max="6" width="12.5703125" bestFit="1" customWidth="1"/>
    <col min="9" max="9" width="11.28515625" bestFit="1" customWidth="1"/>
    <col min="10" max="10" width="14.5703125" bestFit="1" customWidth="1"/>
    <col min="11" max="11" width="14.28515625" bestFit="1" customWidth="1"/>
    <col min="12" max="13" width="13.42578125" bestFit="1" customWidth="1"/>
    <col min="14" max="14" width="14.140625" customWidth="1"/>
    <col min="17" max="17" width="13" customWidth="1"/>
  </cols>
  <sheetData>
    <row r="1" spans="1:17" x14ac:dyDescent="0.25">
      <c r="L1" t="s">
        <v>15</v>
      </c>
      <c r="M1" t="s">
        <v>14</v>
      </c>
      <c r="N1" t="s">
        <v>13</v>
      </c>
    </row>
    <row r="2" spans="1:17" x14ac:dyDescent="0.25">
      <c r="B2" s="9">
        <v>51020400</v>
      </c>
      <c r="C2" t="s">
        <v>0</v>
      </c>
      <c r="D2" t="s">
        <v>7</v>
      </c>
      <c r="F2" t="s">
        <v>5</v>
      </c>
      <c r="G2" s="11">
        <f>+C7/B2</f>
        <v>2.9999764799962369E-2</v>
      </c>
      <c r="H2" s="3">
        <v>0.03</v>
      </c>
      <c r="K2" t="s">
        <v>9</v>
      </c>
      <c r="L2">
        <v>48.3</v>
      </c>
    </row>
    <row r="3" spans="1:17" x14ac:dyDescent="0.25">
      <c r="B3" s="9"/>
      <c r="K3" t="s">
        <v>10</v>
      </c>
      <c r="L3">
        <v>3.3400878299999999E-2</v>
      </c>
      <c r="M3" s="12">
        <f>+IRR(Q6:Q18)</f>
        <v>3.3400878324519434E-2</v>
      </c>
      <c r="N3">
        <v>3.3400878317654099E-2</v>
      </c>
    </row>
    <row r="4" spans="1:17" x14ac:dyDescent="0.25">
      <c r="B4" s="9">
        <v>1020400</v>
      </c>
      <c r="C4" t="s">
        <v>2</v>
      </c>
      <c r="D4" t="s">
        <v>8</v>
      </c>
    </row>
    <row r="5" spans="1:17" x14ac:dyDescent="0.25">
      <c r="I5" t="s">
        <v>11</v>
      </c>
      <c r="J5" s="9">
        <f>-B2</f>
        <v>-51020400</v>
      </c>
      <c r="K5" s="5">
        <v>42633</v>
      </c>
      <c r="L5" s="9"/>
      <c r="M5" s="9">
        <f>-B2</f>
        <v>-51020400</v>
      </c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12</v>
      </c>
      <c r="I6" t="s">
        <v>2</v>
      </c>
      <c r="J6" s="9">
        <f>+B4</f>
        <v>1020400</v>
      </c>
      <c r="K6" s="5">
        <v>42633</v>
      </c>
      <c r="L6" s="9"/>
      <c r="M6" s="9">
        <f>+B4</f>
        <v>1020400</v>
      </c>
      <c r="Q6" s="9">
        <f>-51020400 + 1020400</f>
        <v>-50000000</v>
      </c>
    </row>
    <row r="7" spans="1:17" x14ac:dyDescent="0.25">
      <c r="A7" s="2">
        <v>1</v>
      </c>
      <c r="B7" s="9">
        <v>3595000</v>
      </c>
      <c r="C7" s="9">
        <v>1530600</v>
      </c>
      <c r="D7" s="9">
        <f>+SUM(B7:C7)</f>
        <v>5125600</v>
      </c>
      <c r="E7" s="5">
        <v>42663</v>
      </c>
      <c r="J7" s="9">
        <f t="shared" ref="J7:J18" si="0">+D7</f>
        <v>5125600</v>
      </c>
      <c r="K7" s="5">
        <v>42663</v>
      </c>
      <c r="L7" s="9"/>
      <c r="M7" s="9">
        <f>+J7/(1+$H$2)^A7</f>
        <v>4976310.6796116503</v>
      </c>
      <c r="Q7" s="9">
        <v>5125600</v>
      </c>
    </row>
    <row r="8" spans="1:17" x14ac:dyDescent="0.25">
      <c r="A8" s="2">
        <v>2</v>
      </c>
      <c r="B8" s="9">
        <v>3702800</v>
      </c>
      <c r="C8" s="9">
        <v>1422800</v>
      </c>
      <c r="D8" s="9">
        <f>+SUM(B8:C8)</f>
        <v>5125600</v>
      </c>
      <c r="E8" s="5">
        <v>42695</v>
      </c>
      <c r="F8" s="1"/>
      <c r="J8" s="9">
        <f t="shared" si="0"/>
        <v>5125600</v>
      </c>
      <c r="K8" s="5">
        <v>42695</v>
      </c>
      <c r="L8" s="9"/>
      <c r="M8" s="9">
        <f t="shared" ref="M8:M18" si="1">+J8/(1+$H$2)^A8</f>
        <v>4831369.5918559711</v>
      </c>
      <c r="N8" s="8">
        <f>+SUM(M7:M8)</f>
        <v>9807680.2714676224</v>
      </c>
      <c r="Q8" s="9">
        <v>5125600</v>
      </c>
    </row>
    <row r="9" spans="1:17" x14ac:dyDescent="0.25">
      <c r="A9" s="2">
        <v>3</v>
      </c>
      <c r="B9" s="9">
        <v>3813900</v>
      </c>
      <c r="C9" s="9">
        <v>1311700</v>
      </c>
      <c r="D9" s="9">
        <f t="shared" ref="D9:D18" si="2">+SUM(B9:C9)</f>
        <v>5125600</v>
      </c>
      <c r="E9" s="5">
        <v>42724</v>
      </c>
      <c r="F9" s="1"/>
      <c r="J9" s="9">
        <f t="shared" si="0"/>
        <v>5125600</v>
      </c>
      <c r="K9" s="5">
        <v>42724</v>
      </c>
      <c r="L9" s="9"/>
      <c r="M9" s="9">
        <f t="shared" si="1"/>
        <v>4690650.0891805543</v>
      </c>
      <c r="N9" s="8">
        <f>+SUM($M$7:M9)</f>
        <v>14498330.360648178</v>
      </c>
      <c r="Q9" s="9">
        <v>5125600</v>
      </c>
    </row>
    <row r="10" spans="1:17" x14ac:dyDescent="0.25">
      <c r="A10" s="2">
        <v>4</v>
      </c>
      <c r="B10" s="9">
        <v>3928300</v>
      </c>
      <c r="C10" s="9">
        <v>1197300</v>
      </c>
      <c r="D10" s="9">
        <f t="shared" si="2"/>
        <v>5125600</v>
      </c>
      <c r="E10" s="5">
        <v>42755</v>
      </c>
      <c r="F10" s="1"/>
      <c r="J10" s="9">
        <f t="shared" si="0"/>
        <v>5125600</v>
      </c>
      <c r="K10" s="5">
        <v>42755</v>
      </c>
      <c r="L10" s="9"/>
      <c r="M10" s="9">
        <f t="shared" si="1"/>
        <v>4554029.2127966555</v>
      </c>
      <c r="N10" s="8">
        <f>+SUM($M$7:M10)</f>
        <v>19052359.573444832</v>
      </c>
      <c r="Q10" s="9">
        <v>5125600</v>
      </c>
    </row>
    <row r="11" spans="1:17" x14ac:dyDescent="0.25">
      <c r="A11" s="2">
        <v>5</v>
      </c>
      <c r="B11" s="9">
        <v>4046200</v>
      </c>
      <c r="C11" s="9">
        <v>1079400</v>
      </c>
      <c r="D11" s="9">
        <f t="shared" si="2"/>
        <v>5125600</v>
      </c>
      <c r="E11" s="5">
        <v>42786</v>
      </c>
      <c r="F11" s="1"/>
      <c r="J11" s="9">
        <f t="shared" si="0"/>
        <v>5125600</v>
      </c>
      <c r="K11" s="5">
        <v>42786</v>
      </c>
      <c r="L11" s="9"/>
      <c r="M11" s="9">
        <f t="shared" si="1"/>
        <v>4421387.5852394719</v>
      </c>
      <c r="N11" s="8">
        <f>+SUM($M$7:M11)</f>
        <v>23473747.158684306</v>
      </c>
      <c r="Q11" s="9">
        <v>5125600</v>
      </c>
    </row>
    <row r="12" spans="1:17" x14ac:dyDescent="0.25">
      <c r="A12" s="2">
        <v>6</v>
      </c>
      <c r="B12" s="9">
        <v>4167600</v>
      </c>
      <c r="C12" s="9">
        <v>958000</v>
      </c>
      <c r="D12" s="9">
        <f t="shared" si="2"/>
        <v>5125600</v>
      </c>
      <c r="E12" s="5">
        <v>42814</v>
      </c>
      <c r="F12" s="1"/>
      <c r="J12" s="9">
        <f t="shared" si="0"/>
        <v>5125600</v>
      </c>
      <c r="K12" s="5">
        <v>42814</v>
      </c>
      <c r="L12" s="9"/>
      <c r="M12" s="9">
        <f t="shared" si="1"/>
        <v>4292609.3060577391</v>
      </c>
      <c r="N12" s="8">
        <f>+SUM($M$7:M12)</f>
        <v>27766356.464742046</v>
      </c>
      <c r="Q12" s="9">
        <v>5125600</v>
      </c>
    </row>
    <row r="13" spans="1:17" x14ac:dyDescent="0.25">
      <c r="A13" s="2">
        <v>7</v>
      </c>
      <c r="B13" s="9">
        <v>4292600</v>
      </c>
      <c r="C13" s="9">
        <v>833000</v>
      </c>
      <c r="D13" s="9">
        <f t="shared" si="2"/>
        <v>5125600</v>
      </c>
      <c r="E13" s="5">
        <v>42845</v>
      </c>
      <c r="F13" s="1"/>
      <c r="J13" s="9">
        <f t="shared" si="0"/>
        <v>5125600</v>
      </c>
      <c r="K13" s="5">
        <v>42845</v>
      </c>
      <c r="L13" s="9"/>
      <c r="M13" s="9">
        <f t="shared" si="1"/>
        <v>4167581.8505414939</v>
      </c>
      <c r="N13" s="8">
        <f>+SUM($M$7:M13)</f>
        <v>31933938.315283541</v>
      </c>
      <c r="Q13" s="9">
        <v>5125600</v>
      </c>
    </row>
    <row r="14" spans="1:17" x14ac:dyDescent="0.25">
      <c r="A14" s="2">
        <v>8</v>
      </c>
      <c r="B14" s="9">
        <v>4421400</v>
      </c>
      <c r="C14" s="9">
        <v>704200</v>
      </c>
      <c r="D14" s="9">
        <f t="shared" si="2"/>
        <v>5125600</v>
      </c>
      <c r="E14" s="5">
        <v>42877</v>
      </c>
      <c r="F14" s="1"/>
      <c r="J14" s="9">
        <f t="shared" si="0"/>
        <v>5125600</v>
      </c>
      <c r="K14" s="5">
        <v>42877</v>
      </c>
      <c r="L14" s="9"/>
      <c r="M14" s="9">
        <f t="shared" si="1"/>
        <v>4046195.9713995093</v>
      </c>
      <c r="N14" s="8">
        <f>+SUM($M$7:M14)</f>
        <v>35980134.286683053</v>
      </c>
      <c r="Q14" s="9">
        <v>5125600</v>
      </c>
    </row>
    <row r="15" spans="1:17" x14ac:dyDescent="0.25">
      <c r="A15" s="2">
        <v>9</v>
      </c>
      <c r="B15" s="9">
        <v>4554000</v>
      </c>
      <c r="C15" s="9">
        <v>571600</v>
      </c>
      <c r="D15" s="9">
        <f t="shared" si="2"/>
        <v>5125600</v>
      </c>
      <c r="E15" s="5">
        <v>42906</v>
      </c>
      <c r="F15" s="1"/>
      <c r="J15" s="9">
        <f t="shared" si="0"/>
        <v>5125600</v>
      </c>
      <c r="K15" s="5">
        <v>42906</v>
      </c>
      <c r="L15" s="9"/>
      <c r="M15" s="9">
        <f t="shared" si="1"/>
        <v>3928345.6033004941</v>
      </c>
      <c r="N15" s="8">
        <f>+SUM($M$7:M15)</f>
        <v>39908479.88998355</v>
      </c>
      <c r="Q15" s="9">
        <v>5125600</v>
      </c>
    </row>
    <row r="16" spans="1:17" x14ac:dyDescent="0.25">
      <c r="A16" s="2">
        <v>10</v>
      </c>
      <c r="B16" s="9">
        <v>4690600</v>
      </c>
      <c r="C16" s="9">
        <v>435000</v>
      </c>
      <c r="D16" s="9">
        <f t="shared" si="2"/>
        <v>5125600</v>
      </c>
      <c r="E16" s="5">
        <v>42936</v>
      </c>
      <c r="F16" s="1"/>
      <c r="J16" s="9">
        <f t="shared" si="0"/>
        <v>5125600</v>
      </c>
      <c r="K16" s="5">
        <v>42936</v>
      </c>
      <c r="L16" s="9"/>
      <c r="M16" s="9">
        <f t="shared" si="1"/>
        <v>3813927.7701946548</v>
      </c>
      <c r="N16" s="8">
        <f>+SUM($M$7:M16)</f>
        <v>43722407.660178207</v>
      </c>
      <c r="Q16" s="9">
        <v>5125600</v>
      </c>
    </row>
    <row r="17" spans="1:17" x14ac:dyDescent="0.25">
      <c r="A17" s="2">
        <v>11</v>
      </c>
      <c r="B17" s="9">
        <v>4831400</v>
      </c>
      <c r="C17" s="9">
        <v>294200</v>
      </c>
      <c r="D17" s="9">
        <f t="shared" si="2"/>
        <v>5125600</v>
      </c>
      <c r="E17" s="5">
        <v>42968</v>
      </c>
      <c r="F17" s="1"/>
      <c r="J17" s="9">
        <f t="shared" si="0"/>
        <v>5125600</v>
      </c>
      <c r="K17" s="5">
        <v>42968</v>
      </c>
      <c r="L17" s="9"/>
      <c r="M17" s="9">
        <f t="shared" si="1"/>
        <v>3702842.4953346159</v>
      </c>
      <c r="N17" s="8">
        <f>+SUM($M$7:M17)</f>
        <v>47425250.155512825</v>
      </c>
      <c r="Q17" s="9">
        <v>5125600</v>
      </c>
    </row>
    <row r="18" spans="1:17" x14ac:dyDescent="0.25">
      <c r="A18" s="2">
        <v>12</v>
      </c>
      <c r="B18" s="9">
        <v>4976600</v>
      </c>
      <c r="C18" s="9">
        <v>149300</v>
      </c>
      <c r="D18" s="9">
        <f t="shared" si="2"/>
        <v>5125900</v>
      </c>
      <c r="E18" s="5">
        <v>42998</v>
      </c>
      <c r="F18" s="1"/>
      <c r="J18" s="9">
        <f t="shared" si="0"/>
        <v>5125900</v>
      </c>
      <c r="K18" s="5">
        <v>42998</v>
      </c>
      <c r="L18" s="9"/>
      <c r="M18" s="9">
        <f t="shared" si="1"/>
        <v>3595203.1278811614</v>
      </c>
      <c r="N18" s="8">
        <f>+SUM($M$7:M18)</f>
        <v>51020453.283393987</v>
      </c>
      <c r="Q18" s="9">
        <v>5125900</v>
      </c>
    </row>
    <row r="19" spans="1:17" x14ac:dyDescent="0.25">
      <c r="A19" t="s">
        <v>1</v>
      </c>
      <c r="B19" s="9">
        <f>+SUM(B7:B18)</f>
        <v>51020400</v>
      </c>
      <c r="C19" s="9">
        <f>+SUM(C7:C18)</f>
        <v>10487100</v>
      </c>
      <c r="D19" s="9">
        <f>+SUM(D7:D18)</f>
        <v>61507500</v>
      </c>
      <c r="J19" s="6"/>
      <c r="K19" s="9"/>
      <c r="L19" s="9"/>
      <c r="M19" s="9"/>
    </row>
    <row r="20" spans="1:17" x14ac:dyDescent="0.25">
      <c r="M20" s="7">
        <f>+SUM(M5:M18)</f>
        <v>1020453.2833939749</v>
      </c>
    </row>
    <row r="21" spans="1:17" x14ac:dyDescent="0.25">
      <c r="B21" t="s">
        <v>9</v>
      </c>
      <c r="C21" s="3">
        <f>RATE(12,-D7,B2)*12</f>
        <v>0.35999380891835342</v>
      </c>
      <c r="D21" s="3">
        <f>RATE(12,-D7,B2-B4)*12</f>
        <v>0.40080232937409677</v>
      </c>
      <c r="F21" s="10">
        <f>(+B4+C19)/B2</f>
        <v>0.22554703608752577</v>
      </c>
      <c r="G21" s="10">
        <f>(+C19)/B2</f>
        <v>0.20554719288755086</v>
      </c>
      <c r="H21" s="10"/>
      <c r="I21" s="10"/>
    </row>
    <row r="22" spans="1:17" x14ac:dyDescent="0.25">
      <c r="C22" s="10">
        <f>+EFFECT(C21,365)</f>
        <v>0.43306627573986578</v>
      </c>
      <c r="D22" s="10">
        <f>+EFFECT(D21,365)</f>
        <v>0.49269383732760574</v>
      </c>
      <c r="F22" s="10">
        <f>+EFFECT(F21,365)</f>
        <v>0.2529206900276344</v>
      </c>
      <c r="G22" s="10">
        <f>+EFFECT(G21,365)</f>
        <v>0.22812588707563308</v>
      </c>
      <c r="H22" s="10"/>
      <c r="I22" s="10"/>
    </row>
    <row r="23" spans="1:17" x14ac:dyDescent="0.25">
      <c r="B23" t="s">
        <v>10</v>
      </c>
      <c r="C23" s="4">
        <f>+IRR(Q6:Q18)</f>
        <v>3.3400878324519434E-2</v>
      </c>
      <c r="I23" t="s">
        <v>9</v>
      </c>
      <c r="J23">
        <v>48.84</v>
      </c>
    </row>
    <row r="25" spans="1:17" x14ac:dyDescent="0.25">
      <c r="F25" s="9"/>
    </row>
    <row r="26" spans="1:17" x14ac:dyDescent="0.25">
      <c r="I26" s="9">
        <f>+B2</f>
        <v>51020400</v>
      </c>
      <c r="J26" s="9">
        <f>+SUM(K26:K38)</f>
        <v>50932944.456096254</v>
      </c>
      <c r="K26" s="9">
        <v>1020400</v>
      </c>
    </row>
    <row r="27" spans="1:17" x14ac:dyDescent="0.25">
      <c r="K27" s="9">
        <f t="shared" ref="K27:K38" si="3">+(D7*(1+($J$23/100))^(-A7/12))</f>
        <v>4958512.4255592516</v>
      </c>
    </row>
    <row r="28" spans="1:17" x14ac:dyDescent="0.25">
      <c r="K28" s="9">
        <f t="shared" si="3"/>
        <v>4796871.6783255609</v>
      </c>
    </row>
    <row r="29" spans="1:17" x14ac:dyDescent="0.25">
      <c r="K29" s="9">
        <f t="shared" si="3"/>
        <v>4640500.1991553297</v>
      </c>
    </row>
    <row r="30" spans="1:17" x14ac:dyDescent="0.25">
      <c r="K30" s="9">
        <f t="shared" si="3"/>
        <v>4489226.21709105</v>
      </c>
    </row>
    <row r="31" spans="1:17" x14ac:dyDescent="0.25">
      <c r="K31" s="9">
        <f t="shared" si="3"/>
        <v>4342883.5606743265</v>
      </c>
    </row>
    <row r="32" spans="1:17" x14ac:dyDescent="0.25">
      <c r="K32" s="9">
        <f t="shared" si="3"/>
        <v>4201311.4754098365</v>
      </c>
    </row>
    <row r="33" spans="11:11" x14ac:dyDescent="0.25">
      <c r="K33" s="9">
        <f t="shared" si="3"/>
        <v>4064354.4471797147</v>
      </c>
    </row>
    <row r="34" spans="11:11" x14ac:dyDescent="0.25">
      <c r="K34" s="9">
        <f t="shared" si="3"/>
        <v>3931862.0314143947</v>
      </c>
    </row>
    <row r="35" spans="11:11" x14ac:dyDescent="0.25">
      <c r="K35" s="9">
        <f t="shared" si="3"/>
        <v>3803688.6878322382</v>
      </c>
    </row>
    <row r="36" spans="11:11" x14ac:dyDescent="0.25">
      <c r="K36" s="9">
        <f t="shared" si="3"/>
        <v>3679693.6205664347</v>
      </c>
    </row>
    <row r="37" spans="11:11" x14ac:dyDescent="0.25">
      <c r="K37" s="9">
        <f t="shared" si="3"/>
        <v>3559740.6235035462</v>
      </c>
    </row>
    <row r="38" spans="11:11" x14ac:dyDescent="0.25">
      <c r="K38" s="9">
        <f t="shared" si="3"/>
        <v>3443899.4893845743</v>
      </c>
    </row>
  </sheetData>
  <pageMargins left="0.7" right="0.7" top="0.75" bottom="0.75" header="0.3" footer="0.3"/>
  <pageSetup orientation="portrait" r:id="rId1"/>
  <ignoredErrors>
    <ignoredError sqref="D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62A8-09F6-4483-A884-F08F4891D7C0}">
  <dimension ref="A2:Q38"/>
  <sheetViews>
    <sheetView zoomScale="107" workbookViewId="0">
      <selection activeCell="J3" sqref="J1:N3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3.140625" bestFit="1" customWidth="1"/>
    <col min="4" max="6" width="12.5703125" bestFit="1" customWidth="1"/>
    <col min="7" max="7" width="10.28515625" bestFit="1" customWidth="1"/>
    <col min="9" max="9" width="11.28515625" bestFit="1" customWidth="1"/>
    <col min="10" max="10" width="14.5703125" bestFit="1" customWidth="1"/>
    <col min="11" max="11" width="14.28515625" bestFit="1" customWidth="1"/>
    <col min="12" max="13" width="13.42578125" bestFit="1" customWidth="1"/>
    <col min="14" max="14" width="14.140625" customWidth="1"/>
    <col min="17" max="17" width="13" customWidth="1"/>
  </cols>
  <sheetData>
    <row r="2" spans="1:17" x14ac:dyDescent="0.25">
      <c r="B2" s="9">
        <v>500000</v>
      </c>
      <c r="C2" t="s">
        <v>0</v>
      </c>
      <c r="D2" t="s">
        <v>7</v>
      </c>
      <c r="F2" t="s">
        <v>5</v>
      </c>
      <c r="G2" s="10">
        <v>7.0000000000000007E-2</v>
      </c>
      <c r="H2" s="3"/>
    </row>
    <row r="3" spans="1:17" x14ac:dyDescent="0.25">
      <c r="B3" s="9"/>
      <c r="F3" t="s">
        <v>10</v>
      </c>
      <c r="G3" s="4">
        <f>+C23</f>
        <v>4.5666910894521351E-2</v>
      </c>
      <c r="M3" s="12"/>
    </row>
    <row r="4" spans="1:17" x14ac:dyDescent="0.25">
      <c r="B4" s="9">
        <v>0</v>
      </c>
      <c r="C4" t="s">
        <v>2</v>
      </c>
      <c r="D4" t="s">
        <v>8</v>
      </c>
    </row>
    <row r="5" spans="1:17" x14ac:dyDescent="0.25">
      <c r="J5" s="9"/>
      <c r="K5" s="5"/>
      <c r="L5" s="9"/>
      <c r="M5" s="9">
        <f>-B2</f>
        <v>-500000</v>
      </c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16</v>
      </c>
      <c r="J6" s="9"/>
      <c r="K6" s="5"/>
      <c r="L6" s="9"/>
      <c r="M6" s="9">
        <f>+B4</f>
        <v>0</v>
      </c>
      <c r="Q6" s="9"/>
    </row>
    <row r="7" spans="1:17" x14ac:dyDescent="0.25">
      <c r="A7" s="2">
        <v>1</v>
      </c>
      <c r="B7" s="9">
        <v>100000</v>
      </c>
      <c r="C7" s="9">
        <f>+B2*G2</f>
        <v>35000</v>
      </c>
      <c r="D7" s="9">
        <f>+SUM(B7:C7)</f>
        <v>135000</v>
      </c>
      <c r="E7" s="9">
        <f>+B2-D7</f>
        <v>365000</v>
      </c>
      <c r="J7" s="9">
        <f>+D7</f>
        <v>135000</v>
      </c>
      <c r="K7" s="5"/>
      <c r="L7" s="9"/>
      <c r="M7" s="9">
        <f>+J7/(1+$G$3)^A7</f>
        <v>129104.20956565751</v>
      </c>
      <c r="Q7" s="9"/>
    </row>
    <row r="8" spans="1:17" x14ac:dyDescent="0.25">
      <c r="A8" s="2">
        <v>2</v>
      </c>
      <c r="B8" s="9">
        <v>50000</v>
      </c>
      <c r="C8" s="9">
        <f>+$G$2*E7</f>
        <v>25550.000000000004</v>
      </c>
      <c r="D8" s="9">
        <f>+SUM(B8:C8)</f>
        <v>75550</v>
      </c>
      <c r="E8" s="9">
        <f>+E7-B8</f>
        <v>315000</v>
      </c>
      <c r="J8" s="9">
        <f t="shared" ref="J8:J12" si="0">+D8</f>
        <v>75550</v>
      </c>
      <c r="K8" s="5"/>
      <c r="L8" s="9"/>
      <c r="M8" s="9">
        <f t="shared" ref="M8:M18" si="1">+J8/(1+$G$3)^A8</f>
        <v>69095.177661352864</v>
      </c>
      <c r="N8" s="8">
        <f>+SUM(M7:M8)</f>
        <v>198199.38722701039</v>
      </c>
      <c r="Q8" s="9"/>
    </row>
    <row r="9" spans="1:17" x14ac:dyDescent="0.25">
      <c r="A9" s="2">
        <v>3</v>
      </c>
      <c r="B9" s="9">
        <v>150000</v>
      </c>
      <c r="C9" s="9">
        <f t="shared" ref="C9:C12" si="2">+$G$2*E8</f>
        <v>22050.000000000004</v>
      </c>
      <c r="D9" s="9">
        <f t="shared" ref="D9:D12" si="3">+SUM(B9:C9)</f>
        <v>172050</v>
      </c>
      <c r="E9" s="9">
        <f t="shared" ref="E9:E12" si="4">+E8-B9</f>
        <v>165000</v>
      </c>
      <c r="F9" s="9"/>
      <c r="J9" s="9">
        <f t="shared" si="0"/>
        <v>172050</v>
      </c>
      <c r="K9" s="5"/>
      <c r="L9" s="9"/>
      <c r="M9" s="9">
        <f t="shared" si="1"/>
        <v>150478.54410460297</v>
      </c>
      <c r="N9" s="8">
        <f>+SUM($M$7:M9)</f>
        <v>348677.93133161333</v>
      </c>
      <c r="Q9" s="9"/>
    </row>
    <row r="10" spans="1:17" x14ac:dyDescent="0.25">
      <c r="A10" s="2">
        <v>4</v>
      </c>
      <c r="B10" s="9">
        <v>30000</v>
      </c>
      <c r="C10" s="9">
        <f t="shared" si="2"/>
        <v>11550.000000000002</v>
      </c>
      <c r="D10" s="9">
        <f t="shared" si="3"/>
        <v>41550</v>
      </c>
      <c r="E10" s="9">
        <f t="shared" si="4"/>
        <v>135000</v>
      </c>
      <c r="F10" s="9"/>
      <c r="J10" s="9">
        <f t="shared" si="0"/>
        <v>41550</v>
      </c>
      <c r="K10" s="5"/>
      <c r="L10" s="9"/>
      <c r="M10" s="9">
        <f t="shared" si="1"/>
        <v>34753.421406056048</v>
      </c>
      <c r="N10" s="8">
        <f>+SUM($M$7:M10)</f>
        <v>383431.35273766937</v>
      </c>
      <c r="Q10" s="9"/>
    </row>
    <row r="11" spans="1:17" x14ac:dyDescent="0.25">
      <c r="A11" s="2">
        <v>5</v>
      </c>
      <c r="B11" s="9">
        <v>80000</v>
      </c>
      <c r="C11" s="9">
        <f t="shared" si="2"/>
        <v>9450</v>
      </c>
      <c r="D11" s="9">
        <f t="shared" si="3"/>
        <v>89450</v>
      </c>
      <c r="E11" s="9">
        <f t="shared" si="4"/>
        <v>55000</v>
      </c>
      <c r="F11" s="9"/>
      <c r="J11" s="9">
        <f t="shared" si="0"/>
        <v>89450</v>
      </c>
      <c r="K11" s="5"/>
      <c r="L11" s="9"/>
      <c r="M11" s="9">
        <f t="shared" si="1"/>
        <v>71550.639190553818</v>
      </c>
      <c r="N11" s="8">
        <f>+SUM($M$7:M11)</f>
        <v>454981.99192822317</v>
      </c>
      <c r="Q11" s="9"/>
    </row>
    <row r="12" spans="1:17" x14ac:dyDescent="0.25">
      <c r="A12" s="2">
        <v>6</v>
      </c>
      <c r="B12" s="9">
        <v>55000</v>
      </c>
      <c r="C12" s="9">
        <f t="shared" si="2"/>
        <v>3850.0000000000005</v>
      </c>
      <c r="D12" s="9">
        <f t="shared" si="3"/>
        <v>58850</v>
      </c>
      <c r="E12" s="9">
        <f t="shared" si="4"/>
        <v>0</v>
      </c>
      <c r="F12" s="9"/>
      <c r="J12" s="9">
        <f t="shared" si="0"/>
        <v>58850</v>
      </c>
      <c r="K12" s="5"/>
      <c r="L12" s="9"/>
      <c r="M12" s="9">
        <f t="shared" si="1"/>
        <v>45018.008071774777</v>
      </c>
      <c r="N12" s="8">
        <f>+SUM($M$7:M12)</f>
        <v>499999.99999999796</v>
      </c>
      <c r="Q12" s="9"/>
    </row>
    <row r="13" spans="1:17" x14ac:dyDescent="0.25">
      <c r="A13" s="2">
        <v>7</v>
      </c>
      <c r="B13" s="9"/>
      <c r="C13" s="9"/>
      <c r="D13" s="9"/>
      <c r="E13" s="5"/>
      <c r="F13" s="9"/>
      <c r="J13" s="9"/>
      <c r="K13" s="5"/>
      <c r="L13" s="9"/>
      <c r="M13" s="9">
        <f t="shared" si="1"/>
        <v>0</v>
      </c>
      <c r="N13" s="8">
        <f>+SUM($M$7:M13)</f>
        <v>499999.99999999796</v>
      </c>
      <c r="Q13" s="9"/>
    </row>
    <row r="14" spans="1:17" x14ac:dyDescent="0.25">
      <c r="A14" s="2">
        <v>8</v>
      </c>
      <c r="B14" s="9"/>
      <c r="C14" s="9"/>
      <c r="D14" s="9"/>
      <c r="E14" s="5"/>
      <c r="F14" s="9"/>
      <c r="J14" s="9"/>
      <c r="K14" s="5"/>
      <c r="L14" s="9"/>
      <c r="M14" s="9">
        <f t="shared" si="1"/>
        <v>0</v>
      </c>
      <c r="N14" s="8">
        <f>+SUM($M$7:M14)</f>
        <v>499999.99999999796</v>
      </c>
      <c r="Q14" s="9"/>
    </row>
    <row r="15" spans="1:17" x14ac:dyDescent="0.25">
      <c r="A15" s="2">
        <v>9</v>
      </c>
      <c r="B15" s="9"/>
      <c r="C15" s="9"/>
      <c r="D15" s="9"/>
      <c r="E15" s="5"/>
      <c r="F15" s="9"/>
      <c r="J15" s="9"/>
      <c r="K15" s="5"/>
      <c r="L15" s="9"/>
      <c r="M15" s="9">
        <f t="shared" si="1"/>
        <v>0</v>
      </c>
      <c r="N15" s="8">
        <f>+SUM($M$7:M15)</f>
        <v>499999.99999999796</v>
      </c>
      <c r="Q15" s="9"/>
    </row>
    <row r="16" spans="1:17" x14ac:dyDescent="0.25">
      <c r="A16" s="2">
        <v>10</v>
      </c>
      <c r="B16" s="9"/>
      <c r="C16" s="9"/>
      <c r="D16" s="9"/>
      <c r="E16" s="5"/>
      <c r="F16" s="9"/>
      <c r="J16" s="9"/>
      <c r="K16" s="5"/>
      <c r="L16" s="9"/>
      <c r="M16" s="9">
        <f t="shared" si="1"/>
        <v>0</v>
      </c>
      <c r="N16" s="8">
        <f>+SUM($M$7:M16)</f>
        <v>499999.99999999796</v>
      </c>
      <c r="Q16" s="9"/>
    </row>
    <row r="17" spans="1:17" x14ac:dyDescent="0.25">
      <c r="A17" s="2">
        <v>11</v>
      </c>
      <c r="B17" s="9"/>
      <c r="C17" s="9"/>
      <c r="D17" s="9"/>
      <c r="E17" s="5"/>
      <c r="F17" s="9"/>
      <c r="J17" s="9"/>
      <c r="K17" s="5"/>
      <c r="L17" s="9"/>
      <c r="M17" s="9">
        <f t="shared" si="1"/>
        <v>0</v>
      </c>
      <c r="N17" s="8">
        <f>+SUM($M$7:M17)</f>
        <v>499999.99999999796</v>
      </c>
      <c r="Q17" s="9"/>
    </row>
    <row r="18" spans="1:17" x14ac:dyDescent="0.25">
      <c r="A18" s="2">
        <v>12</v>
      </c>
      <c r="B18" s="9"/>
      <c r="C18" s="9"/>
      <c r="D18" s="9"/>
      <c r="E18" s="5"/>
      <c r="F18" s="1"/>
      <c r="J18" s="9"/>
      <c r="K18" s="5"/>
      <c r="L18" s="9"/>
      <c r="M18" s="9">
        <f t="shared" si="1"/>
        <v>0</v>
      </c>
      <c r="N18" s="8">
        <f>+SUM($M$7:M18)</f>
        <v>499999.99999999796</v>
      </c>
      <c r="Q18" s="9"/>
    </row>
    <row r="19" spans="1:17" x14ac:dyDescent="0.25">
      <c r="A19" t="s">
        <v>1</v>
      </c>
      <c r="B19" s="9">
        <f>+SUM(B7:B18)</f>
        <v>465000</v>
      </c>
      <c r="C19" s="9">
        <f>+SUM(C7:C18)</f>
        <v>107450</v>
      </c>
      <c r="D19" s="9">
        <f>+SUM(D7:D18)</f>
        <v>572450</v>
      </c>
      <c r="J19" s="6"/>
      <c r="K19" s="9"/>
      <c r="L19" s="9"/>
      <c r="M19" s="9"/>
    </row>
    <row r="20" spans="1:17" x14ac:dyDescent="0.25">
      <c r="L20" t="s">
        <v>17</v>
      </c>
      <c r="M20" s="7">
        <f>+SUM(M5:M18)</f>
        <v>-1.9936123862862587E-9</v>
      </c>
    </row>
    <row r="21" spans="1:17" x14ac:dyDescent="0.25">
      <c r="C21" s="3"/>
      <c r="D21" s="3"/>
      <c r="F21" s="10"/>
      <c r="G21" s="10"/>
      <c r="H21" s="10"/>
      <c r="I21" s="10"/>
    </row>
    <row r="22" spans="1:17" x14ac:dyDescent="0.25">
      <c r="C22" s="10"/>
      <c r="D22" s="10"/>
      <c r="F22" s="10"/>
      <c r="G22" s="10"/>
      <c r="H22" s="10"/>
      <c r="I22" s="10"/>
    </row>
    <row r="23" spans="1:17" x14ac:dyDescent="0.25">
      <c r="B23" t="s">
        <v>10</v>
      </c>
      <c r="C23" s="4">
        <f>+IRR(B25:B31)</f>
        <v>4.5666910894521351E-2</v>
      </c>
      <c r="E23" t="s">
        <v>9</v>
      </c>
      <c r="F23" s="3">
        <v>0.70891501995083905</v>
      </c>
    </row>
    <row r="25" spans="1:17" x14ac:dyDescent="0.25">
      <c r="B25" s="9">
        <f>+-B2+B4</f>
        <v>-500000</v>
      </c>
      <c r="E25" s="9">
        <f>+(-B2+B4)</f>
        <v>-500000</v>
      </c>
      <c r="F25" s="9"/>
    </row>
    <row r="26" spans="1:17" x14ac:dyDescent="0.25">
      <c r="B26" s="9">
        <f>+D7</f>
        <v>135000</v>
      </c>
      <c r="E26" s="9">
        <f>+D7/(1+$F$23)^(A7/12)</f>
        <v>129104.20753596954</v>
      </c>
      <c r="I26" s="9"/>
      <c r="J26" s="9"/>
      <c r="K26" s="9"/>
    </row>
    <row r="27" spans="1:17" x14ac:dyDescent="0.25">
      <c r="B27" s="9">
        <f>+D8</f>
        <v>75550</v>
      </c>
      <c r="E27" s="9">
        <f>+D8/(1+$F$23)^(A8/12)</f>
        <v>69095.175488818786</v>
      </c>
      <c r="K27" s="9"/>
    </row>
    <row r="28" spans="1:17" x14ac:dyDescent="0.25">
      <c r="B28" s="9">
        <f>+D9</f>
        <v>172050</v>
      </c>
      <c r="E28" s="9">
        <f>+D9/(1+$F$23)^(A9/12)</f>
        <v>150478.53700744131</v>
      </c>
      <c r="K28" s="9"/>
    </row>
    <row r="29" spans="1:17" x14ac:dyDescent="0.25">
      <c r="B29" s="9">
        <f>+D10</f>
        <v>41550</v>
      </c>
      <c r="E29" s="9">
        <f>+D10/(1+$F$23)^(A10/12)</f>
        <v>34753.419220578158</v>
      </c>
      <c r="K29" s="9"/>
    </row>
    <row r="30" spans="1:17" x14ac:dyDescent="0.25">
      <c r="B30" s="9">
        <f>+D11</f>
        <v>89450</v>
      </c>
      <c r="E30" s="9">
        <f>+D11/(1+$F$23)^(A11/12)</f>
        <v>71550.633566203309</v>
      </c>
      <c r="K30" s="9"/>
    </row>
    <row r="31" spans="1:17" x14ac:dyDescent="0.25">
      <c r="B31" s="9">
        <f>+D12</f>
        <v>58850</v>
      </c>
      <c r="E31" s="9">
        <f>+D12/(1+$F$23)^(A12/12)</f>
        <v>45018.003825321233</v>
      </c>
      <c r="K31" s="9"/>
    </row>
    <row r="32" spans="1:17" x14ac:dyDescent="0.25">
      <c r="B32" s="9"/>
      <c r="E32" s="13">
        <f>+SUM(E25:E31)</f>
        <v>-2.3355667646683287E-2</v>
      </c>
      <c r="K32" s="9"/>
    </row>
    <row r="33" spans="2:11" x14ac:dyDescent="0.25">
      <c r="B33" s="9"/>
      <c r="K33" s="9"/>
    </row>
    <row r="34" spans="2:11" x14ac:dyDescent="0.25">
      <c r="K34" s="9"/>
    </row>
    <row r="35" spans="2:11" x14ac:dyDescent="0.25">
      <c r="K35" s="9"/>
    </row>
    <row r="36" spans="2:11" x14ac:dyDescent="0.25">
      <c r="K36" s="9"/>
    </row>
    <row r="37" spans="2:11" x14ac:dyDescent="0.25">
      <c r="K37" s="9"/>
    </row>
    <row r="38" spans="2:11" x14ac:dyDescent="0.25">
      <c r="K3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5261-6DAB-4240-BF40-4A9A1D7BAB22}">
  <dimension ref="A2:Q38"/>
  <sheetViews>
    <sheetView workbookViewId="0">
      <selection activeCell="J3" sqref="J1:N3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3.140625" bestFit="1" customWidth="1"/>
    <col min="4" max="6" width="12.5703125" bestFit="1" customWidth="1"/>
    <col min="7" max="7" width="10.28515625" bestFit="1" customWidth="1"/>
    <col min="9" max="9" width="11.28515625" bestFit="1" customWidth="1"/>
    <col min="10" max="10" width="14.5703125" bestFit="1" customWidth="1"/>
    <col min="11" max="11" width="14.28515625" bestFit="1" customWidth="1"/>
    <col min="12" max="13" width="13.42578125" bestFit="1" customWidth="1"/>
    <col min="14" max="14" width="14.140625" customWidth="1"/>
    <col min="17" max="17" width="13" customWidth="1"/>
  </cols>
  <sheetData>
    <row r="2" spans="1:17" x14ac:dyDescent="0.25">
      <c r="B2" s="9">
        <v>20000</v>
      </c>
      <c r="C2" t="s">
        <v>0</v>
      </c>
      <c r="D2" t="s">
        <v>7</v>
      </c>
      <c r="F2" t="s">
        <v>5</v>
      </c>
      <c r="G2" s="10">
        <v>0.12560655126522755</v>
      </c>
      <c r="H2" s="3"/>
    </row>
    <row r="3" spans="1:17" x14ac:dyDescent="0.25">
      <c r="B3" s="9"/>
      <c r="F3" t="s">
        <v>10</v>
      </c>
      <c r="G3" s="4">
        <f>+C23</f>
        <v>6.5649905704504796E-2</v>
      </c>
      <c r="M3" s="12"/>
    </row>
    <row r="4" spans="1:17" x14ac:dyDescent="0.25">
      <c r="B4" s="9">
        <v>0</v>
      </c>
      <c r="C4" t="s">
        <v>2</v>
      </c>
      <c r="D4" t="s">
        <v>8</v>
      </c>
    </row>
    <row r="5" spans="1:17" x14ac:dyDescent="0.25">
      <c r="J5" s="9"/>
      <c r="K5" s="5"/>
      <c r="L5" s="9"/>
      <c r="M5" s="9">
        <f>-B2</f>
        <v>-20000</v>
      </c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16</v>
      </c>
      <c r="J6" s="9"/>
      <c r="K6" s="5"/>
      <c r="L6" s="9"/>
      <c r="M6" s="9">
        <f>+B4</f>
        <v>0</v>
      </c>
      <c r="Q6" s="9"/>
    </row>
    <row r="7" spans="1:17" x14ac:dyDescent="0.25">
      <c r="A7" s="2">
        <v>1</v>
      </c>
      <c r="B7" s="9">
        <f>+D7-C7</f>
        <v>2487.8689746954492</v>
      </c>
      <c r="C7" s="9">
        <f>+B2*G2</f>
        <v>2512.1310253045508</v>
      </c>
      <c r="D7" s="9">
        <v>5000</v>
      </c>
      <c r="E7" s="9">
        <f>+B2-D7</f>
        <v>15000</v>
      </c>
      <c r="J7" s="9">
        <f>+D7</f>
        <v>5000</v>
      </c>
      <c r="K7" s="5"/>
      <c r="L7" s="9"/>
      <c r="M7" s="9">
        <f>+J7/(1+$G$3)^A7</f>
        <v>4691.972451022255</v>
      </c>
      <c r="Q7" s="9"/>
    </row>
    <row r="8" spans="1:17" x14ac:dyDescent="0.25">
      <c r="A8" s="2">
        <v>2</v>
      </c>
      <c r="B8" s="9">
        <f>+D8-C8</f>
        <v>6115.9017310215868</v>
      </c>
      <c r="C8" s="9">
        <f>+$G$2*E7</f>
        <v>1884.0982689784132</v>
      </c>
      <c r="D8" s="9">
        <v>8000</v>
      </c>
      <c r="E8" s="9">
        <f>+E7-B8</f>
        <v>8884.0982689784141</v>
      </c>
      <c r="J8" s="9">
        <f t="shared" ref="J8:J12" si="0">+D8</f>
        <v>8000</v>
      </c>
      <c r="K8" s="5"/>
      <c r="L8" s="9"/>
      <c r="M8" s="9">
        <f t="shared" ref="M8:M18" si="1">+J8/(1+$G$3)^A8</f>
        <v>7044.6737539685719</v>
      </c>
      <c r="N8" s="8">
        <f>+SUM(M7:M8)</f>
        <v>11736.646204990826</v>
      </c>
      <c r="Q8" s="9"/>
    </row>
    <row r="9" spans="1:17" x14ac:dyDescent="0.25">
      <c r="A9" s="2">
        <v>3</v>
      </c>
      <c r="B9" s="9">
        <f>+D9-C9</f>
        <v>8884.0990553322445</v>
      </c>
      <c r="C9" s="9">
        <f t="shared" ref="C9:C12" si="2">+$G$2*E8</f>
        <v>1115.9009446677564</v>
      </c>
      <c r="D9" s="9">
        <v>10000</v>
      </c>
      <c r="E9" s="9">
        <f t="shared" ref="E9:E12" si="3">+E8-B9</f>
        <v>-7.8635383033542894E-4</v>
      </c>
      <c r="F9" s="9"/>
      <c r="J9" s="9">
        <f t="shared" si="0"/>
        <v>10000</v>
      </c>
      <c r="K9" s="5"/>
      <c r="L9" s="9"/>
      <c r="M9" s="9">
        <f t="shared" si="1"/>
        <v>8263.3537950150167</v>
      </c>
      <c r="N9" s="8">
        <f>+SUM($M$7:M9)</f>
        <v>20000.000000005843</v>
      </c>
      <c r="Q9" s="9"/>
    </row>
    <row r="10" spans="1:17" x14ac:dyDescent="0.25">
      <c r="A10" s="2">
        <v>4</v>
      </c>
      <c r="B10" s="9"/>
      <c r="C10" s="9"/>
      <c r="D10" s="9"/>
      <c r="E10" s="9"/>
      <c r="F10" s="9"/>
      <c r="J10" s="9">
        <f t="shared" si="0"/>
        <v>0</v>
      </c>
      <c r="K10" s="5"/>
      <c r="L10" s="9"/>
      <c r="M10" s="9">
        <f t="shared" si="1"/>
        <v>0</v>
      </c>
      <c r="N10" s="8">
        <f>+SUM($M$7:M10)</f>
        <v>20000.000000005843</v>
      </c>
      <c r="Q10" s="9"/>
    </row>
    <row r="11" spans="1:17" x14ac:dyDescent="0.25">
      <c r="A11" s="2">
        <v>5</v>
      </c>
      <c r="B11" s="9"/>
      <c r="C11" s="9"/>
      <c r="D11" s="9"/>
      <c r="E11" s="9"/>
      <c r="F11" s="9"/>
      <c r="J11" s="9">
        <f t="shared" si="0"/>
        <v>0</v>
      </c>
      <c r="K11" s="5"/>
      <c r="L11" s="9"/>
      <c r="M11" s="9">
        <f t="shared" si="1"/>
        <v>0</v>
      </c>
      <c r="N11" s="8">
        <f>+SUM($M$7:M11)</f>
        <v>20000.000000005843</v>
      </c>
      <c r="Q11" s="9"/>
    </row>
    <row r="12" spans="1:17" x14ac:dyDescent="0.25">
      <c r="A12" s="2">
        <v>6</v>
      </c>
      <c r="B12" s="9"/>
      <c r="C12" s="9"/>
      <c r="D12" s="9"/>
      <c r="E12" s="9"/>
      <c r="F12" s="9"/>
      <c r="J12" s="9">
        <f t="shared" si="0"/>
        <v>0</v>
      </c>
      <c r="K12" s="5"/>
      <c r="L12" s="9"/>
      <c r="M12" s="9">
        <f t="shared" si="1"/>
        <v>0</v>
      </c>
      <c r="N12" s="8">
        <f>+SUM($M$7:M12)</f>
        <v>20000.000000005843</v>
      </c>
      <c r="Q12" s="9"/>
    </row>
    <row r="13" spans="1:17" x14ac:dyDescent="0.25">
      <c r="A13" s="2">
        <v>7</v>
      </c>
      <c r="B13" s="9"/>
      <c r="C13" s="9"/>
      <c r="D13" s="9"/>
      <c r="E13" s="5"/>
      <c r="F13" s="9"/>
      <c r="J13" s="9"/>
      <c r="K13" s="5"/>
      <c r="L13" s="9"/>
      <c r="M13" s="9">
        <f t="shared" si="1"/>
        <v>0</v>
      </c>
      <c r="N13" s="8">
        <f>+SUM($M$7:M13)</f>
        <v>20000.000000005843</v>
      </c>
      <c r="Q13" s="9"/>
    </row>
    <row r="14" spans="1:17" x14ac:dyDescent="0.25">
      <c r="A14" s="2">
        <v>8</v>
      </c>
      <c r="B14" s="9"/>
      <c r="C14" s="9"/>
      <c r="D14" s="9"/>
      <c r="E14" s="5"/>
      <c r="F14" s="9"/>
      <c r="J14" s="9"/>
      <c r="K14" s="5"/>
      <c r="L14" s="9"/>
      <c r="M14" s="9">
        <f t="shared" si="1"/>
        <v>0</v>
      </c>
      <c r="N14" s="8">
        <f>+SUM($M$7:M14)</f>
        <v>20000.000000005843</v>
      </c>
      <c r="Q14" s="9"/>
    </row>
    <row r="15" spans="1:17" x14ac:dyDescent="0.25">
      <c r="A15" s="2">
        <v>9</v>
      </c>
      <c r="B15" s="9"/>
      <c r="C15" s="9"/>
      <c r="D15" s="9"/>
      <c r="E15" s="5"/>
      <c r="F15" s="9"/>
      <c r="J15" s="9"/>
      <c r="K15" s="5"/>
      <c r="L15" s="9"/>
      <c r="M15" s="9">
        <f t="shared" si="1"/>
        <v>0</v>
      </c>
      <c r="N15" s="8">
        <f>+SUM($M$7:M15)</f>
        <v>20000.000000005843</v>
      </c>
      <c r="Q15" s="9"/>
    </row>
    <row r="16" spans="1:17" x14ac:dyDescent="0.25">
      <c r="A16" s="2">
        <v>10</v>
      </c>
      <c r="B16" s="9"/>
      <c r="C16" s="9"/>
      <c r="D16" s="9"/>
      <c r="E16" s="5"/>
      <c r="F16" s="9"/>
      <c r="J16" s="9"/>
      <c r="K16" s="5"/>
      <c r="L16" s="9"/>
      <c r="M16" s="9">
        <f t="shared" si="1"/>
        <v>0</v>
      </c>
      <c r="N16" s="8">
        <f>+SUM($M$7:M16)</f>
        <v>20000.000000005843</v>
      </c>
      <c r="Q16" s="9"/>
    </row>
    <row r="17" spans="1:17" x14ac:dyDescent="0.25">
      <c r="A17" s="2">
        <v>11</v>
      </c>
      <c r="B17" s="9"/>
      <c r="C17" s="9"/>
      <c r="D17" s="9"/>
      <c r="E17" s="5"/>
      <c r="F17" s="9"/>
      <c r="J17" s="9"/>
      <c r="K17" s="5"/>
      <c r="L17" s="9"/>
      <c r="M17" s="9">
        <f t="shared" si="1"/>
        <v>0</v>
      </c>
      <c r="N17" s="8">
        <f>+SUM($M$7:M17)</f>
        <v>20000.000000005843</v>
      </c>
      <c r="Q17" s="9"/>
    </row>
    <row r="18" spans="1:17" x14ac:dyDescent="0.25">
      <c r="A18" s="2">
        <v>12</v>
      </c>
      <c r="B18" s="9"/>
      <c r="C18" s="9"/>
      <c r="D18" s="9"/>
      <c r="E18" s="5"/>
      <c r="F18" s="1"/>
      <c r="J18" s="9"/>
      <c r="K18" s="5"/>
      <c r="L18" s="9"/>
      <c r="M18" s="9">
        <f t="shared" si="1"/>
        <v>0</v>
      </c>
      <c r="N18" s="8">
        <f>+SUM($M$7:M18)</f>
        <v>20000.000000005843</v>
      </c>
      <c r="Q18" s="9"/>
    </row>
    <row r="19" spans="1:17" x14ac:dyDescent="0.25">
      <c r="A19" t="s">
        <v>1</v>
      </c>
      <c r="B19" s="9">
        <f>+SUM(B7:B18)</f>
        <v>17487.869761049282</v>
      </c>
      <c r="C19" s="9">
        <f>+SUM(C7:C18)</f>
        <v>5512.1302389507209</v>
      </c>
      <c r="D19" s="9">
        <f>+SUM(D7:D18)</f>
        <v>23000</v>
      </c>
      <c r="J19" s="6"/>
      <c r="K19" s="9"/>
      <c r="L19" s="9"/>
      <c r="M19" s="9"/>
    </row>
    <row r="20" spans="1:17" x14ac:dyDescent="0.25">
      <c r="L20" t="s">
        <v>17</v>
      </c>
      <c r="M20" s="7">
        <f>+SUM(M5:M18)</f>
        <v>5.842593964189291E-9</v>
      </c>
    </row>
    <row r="21" spans="1:17" x14ac:dyDescent="0.25">
      <c r="C21" s="3"/>
      <c r="D21" s="3"/>
      <c r="F21" s="10"/>
      <c r="G21" s="10"/>
      <c r="H21" s="10"/>
      <c r="I21" s="10"/>
    </row>
    <row r="22" spans="1:17" x14ac:dyDescent="0.25">
      <c r="C22" s="10"/>
      <c r="D22" s="10"/>
      <c r="F22" s="10"/>
      <c r="G22" s="10"/>
      <c r="H22" s="10"/>
      <c r="I22" s="10"/>
    </row>
    <row r="23" spans="1:17" x14ac:dyDescent="0.25">
      <c r="B23" t="s">
        <v>10</v>
      </c>
      <c r="C23" s="4">
        <f>+IRR(B25:B31)</f>
        <v>6.5649905704504796E-2</v>
      </c>
      <c r="E23" t="s">
        <v>9</v>
      </c>
      <c r="F23" s="3">
        <v>1.1447400521136755</v>
      </c>
    </row>
    <row r="25" spans="1:17" x14ac:dyDescent="0.25">
      <c r="B25" s="9">
        <f>+-B2+B4</f>
        <v>-20000</v>
      </c>
      <c r="E25" s="9">
        <f>+(-B2+B4)</f>
        <v>-20000</v>
      </c>
      <c r="F25" s="9"/>
    </row>
    <row r="26" spans="1:17" x14ac:dyDescent="0.25">
      <c r="B26" s="9">
        <f>+D7</f>
        <v>5000</v>
      </c>
      <c r="E26" s="9">
        <f>+D7/(1+$F$23)^(A7/12)</f>
        <v>4691.9724042802573</v>
      </c>
      <c r="I26" s="9"/>
      <c r="J26" s="9"/>
      <c r="K26" s="9"/>
    </row>
    <row r="27" spans="1:17" x14ac:dyDescent="0.25">
      <c r="B27" s="9">
        <f>+D8</f>
        <v>8000</v>
      </c>
      <c r="E27" s="9">
        <f>+D8/(1+$F$23)^(A8/12)</f>
        <v>7044.6736136087857</v>
      </c>
      <c r="K27" s="9"/>
    </row>
    <row r="28" spans="1:17" x14ac:dyDescent="0.25">
      <c r="B28" s="9">
        <f>+D9</f>
        <v>10000</v>
      </c>
      <c r="E28" s="9">
        <f>+D9/(1+$F$23)^(A9/12)</f>
        <v>8263.3535480534247</v>
      </c>
      <c r="K28" s="9"/>
    </row>
    <row r="29" spans="1:17" x14ac:dyDescent="0.25">
      <c r="B29" s="9">
        <f>+D10</f>
        <v>0</v>
      </c>
      <c r="E29" s="9">
        <f>+D10/(1+$F$23)^(A10/12)</f>
        <v>0</v>
      </c>
      <c r="K29" s="9"/>
    </row>
    <row r="30" spans="1:17" x14ac:dyDescent="0.25">
      <c r="B30" s="9">
        <f>+D11</f>
        <v>0</v>
      </c>
      <c r="E30" s="9">
        <f>+D11/(1+$F$23)^(A11/12)</f>
        <v>0</v>
      </c>
      <c r="K30" s="9"/>
    </row>
    <row r="31" spans="1:17" x14ac:dyDescent="0.25">
      <c r="B31" s="9">
        <f>+D12</f>
        <v>0</v>
      </c>
      <c r="E31" s="9">
        <f>+D12/(1+$F$23)^(A12/12)</f>
        <v>0</v>
      </c>
      <c r="K31" s="9"/>
    </row>
    <row r="32" spans="1:17" x14ac:dyDescent="0.25">
      <c r="B32" s="9"/>
      <c r="E32" s="13">
        <f>+SUM(E25:E31)</f>
        <v>-4.3405753240222111E-4</v>
      </c>
      <c r="K32" s="9"/>
    </row>
    <row r="33" spans="2:11" x14ac:dyDescent="0.25">
      <c r="B33" s="9"/>
      <c r="K33" s="9"/>
    </row>
    <row r="34" spans="2:11" x14ac:dyDescent="0.25">
      <c r="K34" s="9"/>
    </row>
    <row r="35" spans="2:11" x14ac:dyDescent="0.25">
      <c r="K35" s="9"/>
    </row>
    <row r="36" spans="2:11" x14ac:dyDescent="0.25">
      <c r="K36" s="9"/>
    </row>
    <row r="37" spans="2:11" x14ac:dyDescent="0.25">
      <c r="K37" s="9"/>
    </row>
    <row r="38" spans="2:11" x14ac:dyDescent="0.25">
      <c r="K3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F839-3043-4AB8-8322-F9223C3E7B5B}">
  <dimension ref="A2:Q38"/>
  <sheetViews>
    <sheetView tabSelected="1" workbookViewId="0">
      <selection activeCell="H7" sqref="H7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3.140625" bestFit="1" customWidth="1"/>
    <col min="4" max="6" width="12.5703125" bestFit="1" customWidth="1"/>
    <col min="7" max="7" width="10.28515625" bestFit="1" customWidth="1"/>
    <col min="9" max="9" width="11.28515625" bestFit="1" customWidth="1"/>
    <col min="10" max="10" width="14.5703125" bestFit="1" customWidth="1"/>
    <col min="11" max="11" width="14.28515625" bestFit="1" customWidth="1"/>
    <col min="12" max="13" width="13.42578125" bestFit="1" customWidth="1"/>
    <col min="14" max="14" width="14.140625" customWidth="1"/>
    <col min="17" max="17" width="13" customWidth="1"/>
  </cols>
  <sheetData>
    <row r="2" spans="1:17" x14ac:dyDescent="0.25">
      <c r="B2" s="9">
        <v>200000</v>
      </c>
      <c r="C2" t="s">
        <v>0</v>
      </c>
      <c r="D2" t="s">
        <v>7</v>
      </c>
      <c r="F2" t="s">
        <v>5</v>
      </c>
      <c r="G2" s="10">
        <v>0.02</v>
      </c>
      <c r="H2" s="3"/>
    </row>
    <row r="3" spans="1:17" x14ac:dyDescent="0.25">
      <c r="B3" s="9"/>
      <c r="F3" t="s">
        <v>10</v>
      </c>
      <c r="G3" s="4">
        <f>+C23</f>
        <v>1.7969567901957806E-2</v>
      </c>
      <c r="M3" s="12"/>
    </row>
    <row r="4" spans="1:17" x14ac:dyDescent="0.25">
      <c r="B4" s="9">
        <v>2000</v>
      </c>
      <c r="C4" t="s">
        <v>2</v>
      </c>
      <c r="D4" t="s">
        <v>8</v>
      </c>
    </row>
    <row r="5" spans="1:17" x14ac:dyDescent="0.25">
      <c r="J5" s="9"/>
      <c r="K5" s="5"/>
      <c r="L5" s="9"/>
      <c r="M5" s="9">
        <f>-B2</f>
        <v>-200000</v>
      </c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16</v>
      </c>
      <c r="J6" s="9"/>
      <c r="K6" s="5"/>
      <c r="L6" s="9"/>
      <c r="M6" s="9">
        <f>+B4</f>
        <v>2000</v>
      </c>
      <c r="Q6" s="9"/>
    </row>
    <row r="7" spans="1:17" x14ac:dyDescent="0.25">
      <c r="A7" s="2">
        <v>1</v>
      </c>
      <c r="B7" s="9">
        <f>+D7-C7</f>
        <v>11000</v>
      </c>
      <c r="C7" s="9">
        <f>+B2*G2</f>
        <v>4000</v>
      </c>
      <c r="D7" s="9">
        <v>15000</v>
      </c>
      <c r="E7" s="9">
        <f>+B2-D7</f>
        <v>185000</v>
      </c>
      <c r="J7" s="9">
        <f>+D7</f>
        <v>15000</v>
      </c>
      <c r="K7" s="5"/>
      <c r="L7" s="9"/>
      <c r="M7" s="9">
        <f>+J7/(1+$G$3)^A7</f>
        <v>14735.214561389199</v>
      </c>
      <c r="Q7" s="9"/>
    </row>
    <row r="8" spans="1:17" x14ac:dyDescent="0.25">
      <c r="A8" s="2">
        <v>2</v>
      </c>
      <c r="B8" s="9">
        <f>+D8-C8</f>
        <v>11300</v>
      </c>
      <c r="C8" s="9">
        <f>+$G$2*E7</f>
        <v>3700</v>
      </c>
      <c r="D8" s="9">
        <v>15000</v>
      </c>
      <c r="E8" s="9">
        <f>+E7-B8</f>
        <v>173700</v>
      </c>
      <c r="J8" s="9">
        <f t="shared" ref="J8:J18" si="0">+D8</f>
        <v>15000</v>
      </c>
      <c r="K8" s="5"/>
      <c r="L8" s="9"/>
      <c r="M8" s="9">
        <f t="shared" ref="M8:M18" si="1">+J8/(1+$G$3)^A8</f>
        <v>14475.103211345086</v>
      </c>
      <c r="N8" s="8">
        <f>+SUM(M7:M8)</f>
        <v>29210.317772734285</v>
      </c>
      <c r="Q8" s="9"/>
    </row>
    <row r="9" spans="1:17" x14ac:dyDescent="0.25">
      <c r="A9" s="2">
        <v>3</v>
      </c>
      <c r="B9" s="9">
        <f>+D9-C9</f>
        <v>11526</v>
      </c>
      <c r="C9" s="9">
        <f t="shared" ref="C9:C12" si="2">+$G$2*E8</f>
        <v>3474</v>
      </c>
      <c r="D9" s="9">
        <v>15000</v>
      </c>
      <c r="E9" s="9">
        <f t="shared" ref="E9:E18" si="3">+E8-B9</f>
        <v>162174</v>
      </c>
      <c r="F9" s="9"/>
      <c r="J9" s="9">
        <f t="shared" si="0"/>
        <v>15000</v>
      </c>
      <c r="K9" s="5"/>
      <c r="L9" s="9"/>
      <c r="M9" s="9">
        <f t="shared" si="1"/>
        <v>14219.583441161578</v>
      </c>
      <c r="N9" s="8">
        <f>+SUM($M$7:M9)</f>
        <v>43429.901213895864</v>
      </c>
      <c r="Q9" s="9"/>
    </row>
    <row r="10" spans="1:17" x14ac:dyDescent="0.25">
      <c r="A10" s="2">
        <v>4</v>
      </c>
      <c r="B10" s="9">
        <f>+D10-C10</f>
        <v>76756.52</v>
      </c>
      <c r="C10" s="9">
        <f t="shared" ref="C10:C18" si="4">+$G$2*E9</f>
        <v>3243.48</v>
      </c>
      <c r="D10" s="9">
        <v>80000</v>
      </c>
      <c r="E10" s="9">
        <f t="shared" si="3"/>
        <v>85417.48</v>
      </c>
      <c r="F10" s="9"/>
      <c r="J10" s="9">
        <f t="shared" si="0"/>
        <v>80000</v>
      </c>
      <c r="K10" s="5"/>
      <c r="L10" s="9"/>
      <c r="M10" s="9">
        <f t="shared" si="1"/>
        <v>74499.062392566339</v>
      </c>
      <c r="N10" s="8">
        <f>+SUM($M$7:M10)</f>
        <v>117928.9636064622</v>
      </c>
      <c r="Q10" s="9"/>
    </row>
    <row r="11" spans="1:17" x14ac:dyDescent="0.25">
      <c r="A11" s="2">
        <v>5</v>
      </c>
      <c r="B11" s="9">
        <f>+D11-C11</f>
        <v>13291.6504</v>
      </c>
      <c r="C11" s="9">
        <f t="shared" si="4"/>
        <v>1708.3496</v>
      </c>
      <c r="D11" s="9">
        <v>15000</v>
      </c>
      <c r="E11" s="9">
        <f t="shared" si="3"/>
        <v>72125.829599999997</v>
      </c>
      <c r="F11" s="9"/>
      <c r="J11" s="9">
        <f t="shared" si="0"/>
        <v>15000</v>
      </c>
      <c r="K11" s="5"/>
      <c r="L11" s="9"/>
      <c r="M11" s="9">
        <f t="shared" si="1"/>
        <v>13721.995862209826</v>
      </c>
      <c r="N11" s="8">
        <f>+SUM($M$7:M11)</f>
        <v>131650.95946867202</v>
      </c>
      <c r="Q11" s="9"/>
    </row>
    <row r="12" spans="1:17" x14ac:dyDescent="0.25">
      <c r="A12" s="2">
        <v>6</v>
      </c>
      <c r="B12" s="9">
        <f>+D12-C12</f>
        <v>13557.483408</v>
      </c>
      <c r="C12" s="9">
        <f t="shared" si="4"/>
        <v>1442.5165919999999</v>
      </c>
      <c r="D12" s="9">
        <v>15000</v>
      </c>
      <c r="E12" s="9">
        <f t="shared" si="3"/>
        <v>58568.346191999997</v>
      </c>
      <c r="F12" s="9"/>
      <c r="J12" s="9">
        <f t="shared" si="0"/>
        <v>15000</v>
      </c>
      <c r="K12" s="5"/>
      <c r="L12" s="9"/>
      <c r="M12" s="9">
        <f t="shared" si="1"/>
        <v>13479.770216010436</v>
      </c>
      <c r="N12" s="8">
        <f>+SUM($M$7:M12)</f>
        <v>145130.72968468245</v>
      </c>
      <c r="Q12" s="9"/>
    </row>
    <row r="13" spans="1:17" x14ac:dyDescent="0.25">
      <c r="A13" s="2">
        <v>7</v>
      </c>
      <c r="B13" s="9">
        <f>+D13-C13</f>
        <v>13828.63307616</v>
      </c>
      <c r="C13" s="9">
        <f t="shared" si="4"/>
        <v>1171.36692384</v>
      </c>
      <c r="D13" s="9">
        <v>15000</v>
      </c>
      <c r="E13" s="9">
        <f t="shared" si="3"/>
        <v>44739.713115840001</v>
      </c>
      <c r="F13" s="9"/>
      <c r="J13" s="9">
        <f t="shared" si="0"/>
        <v>15000</v>
      </c>
      <c r="K13" s="5"/>
      <c r="L13" s="9"/>
      <c r="M13" s="9">
        <f t="shared" si="1"/>
        <v>13241.820424742496</v>
      </c>
      <c r="N13" s="8">
        <f>+SUM($M$7:M13)</f>
        <v>158372.55010942495</v>
      </c>
      <c r="Q13" s="9"/>
    </row>
    <row r="14" spans="1:17" x14ac:dyDescent="0.25">
      <c r="A14" s="2">
        <v>8</v>
      </c>
      <c r="B14" s="9">
        <f>+D14-C14</f>
        <v>14105.2057376832</v>
      </c>
      <c r="C14" s="9">
        <f t="shared" si="4"/>
        <v>894.79426231680009</v>
      </c>
      <c r="D14" s="9">
        <v>15000</v>
      </c>
      <c r="E14" s="9">
        <f t="shared" si="3"/>
        <v>30634.507378156799</v>
      </c>
      <c r="F14" s="9"/>
      <c r="J14" s="9">
        <f t="shared" si="0"/>
        <v>15000</v>
      </c>
      <c r="K14" s="5"/>
      <c r="L14" s="9"/>
      <c r="M14" s="9">
        <f t="shared" si="1"/>
        <v>13008.071009464436</v>
      </c>
      <c r="N14" s="8">
        <f>+SUM($M$7:M14)</f>
        <v>171380.62111888939</v>
      </c>
      <c r="Q14" s="9"/>
    </row>
    <row r="15" spans="1:17" x14ac:dyDescent="0.25">
      <c r="A15" s="2">
        <v>9</v>
      </c>
      <c r="B15" s="9">
        <f>+D15-C15</f>
        <v>30634.507378156799</v>
      </c>
      <c r="C15" s="9">
        <f t="shared" si="4"/>
        <v>612.69014756313595</v>
      </c>
      <c r="D15" s="9">
        <f>+E14+C15</f>
        <v>31247.197525719934</v>
      </c>
      <c r="E15" s="9">
        <f t="shared" si="3"/>
        <v>0</v>
      </c>
      <c r="F15" s="9"/>
      <c r="J15" s="9">
        <f t="shared" si="0"/>
        <v>31247.197525719934</v>
      </c>
      <c r="K15" s="5"/>
      <c r="L15" s="9"/>
      <c r="M15" s="9">
        <f t="shared" si="1"/>
        <v>26619.378881109711</v>
      </c>
      <c r="N15" s="8">
        <f>+SUM($M$7:M15)</f>
        <v>197999.9999999991</v>
      </c>
      <c r="Q15" s="9"/>
    </row>
    <row r="16" spans="1:17" x14ac:dyDescent="0.25">
      <c r="A16" s="2">
        <v>10</v>
      </c>
      <c r="B16" s="9">
        <f>+D16-C16</f>
        <v>0</v>
      </c>
      <c r="C16" s="9">
        <f t="shared" si="4"/>
        <v>0</v>
      </c>
      <c r="D16" s="9">
        <f>+E15+C16</f>
        <v>0</v>
      </c>
      <c r="E16" s="9">
        <f t="shared" si="3"/>
        <v>0</v>
      </c>
      <c r="F16" s="9"/>
      <c r="J16" s="9">
        <f t="shared" si="0"/>
        <v>0</v>
      </c>
      <c r="K16" s="5"/>
      <c r="L16" s="9"/>
      <c r="M16" s="9">
        <f t="shared" si="1"/>
        <v>0</v>
      </c>
      <c r="N16" s="8">
        <f>+SUM($M$7:M16)</f>
        <v>197999.9999999991</v>
      </c>
      <c r="Q16" s="9"/>
    </row>
    <row r="17" spans="1:17" x14ac:dyDescent="0.25">
      <c r="A17" s="2">
        <v>11</v>
      </c>
      <c r="B17" s="9">
        <f>+D17-C17</f>
        <v>0</v>
      </c>
      <c r="C17" s="9">
        <f t="shared" si="4"/>
        <v>0</v>
      </c>
      <c r="D17" s="9">
        <v>0</v>
      </c>
      <c r="E17" s="9">
        <f t="shared" si="3"/>
        <v>0</v>
      </c>
      <c r="F17" s="9"/>
      <c r="J17" s="9">
        <f t="shared" si="0"/>
        <v>0</v>
      </c>
      <c r="K17" s="5"/>
      <c r="L17" s="9"/>
      <c r="M17" s="9">
        <f t="shared" si="1"/>
        <v>0</v>
      </c>
      <c r="N17" s="8">
        <f>+SUM($M$7:M17)</f>
        <v>197999.9999999991</v>
      </c>
      <c r="Q17" s="9"/>
    </row>
    <row r="18" spans="1:17" x14ac:dyDescent="0.25">
      <c r="A18" s="2">
        <v>12</v>
      </c>
      <c r="B18" s="9">
        <f>+D18-C18</f>
        <v>0</v>
      </c>
      <c r="C18" s="9">
        <f t="shared" si="4"/>
        <v>0</v>
      </c>
      <c r="D18" s="9">
        <v>0</v>
      </c>
      <c r="E18" s="9">
        <f t="shared" si="3"/>
        <v>0</v>
      </c>
      <c r="F18" s="1"/>
      <c r="J18" s="9">
        <f t="shared" si="0"/>
        <v>0</v>
      </c>
      <c r="K18" s="5"/>
      <c r="L18" s="9"/>
      <c r="M18" s="9">
        <f t="shared" si="1"/>
        <v>0</v>
      </c>
      <c r="N18" s="8">
        <f>+SUM($M$7:M18)</f>
        <v>197999.9999999991</v>
      </c>
      <c r="Q18" s="9"/>
    </row>
    <row r="19" spans="1:17" x14ac:dyDescent="0.25">
      <c r="A19" t="s">
        <v>1</v>
      </c>
      <c r="B19" s="9">
        <f>+SUM(B7:B18)</f>
        <v>196000</v>
      </c>
      <c r="C19" s="9">
        <f>+SUM(C7:C18)</f>
        <v>20247.197525719934</v>
      </c>
      <c r="D19" s="9">
        <f>+SUM(D7:D18)</f>
        <v>216247.19752571994</v>
      </c>
      <c r="J19" s="6"/>
      <c r="K19" s="9"/>
      <c r="L19" s="9"/>
      <c r="M19" s="9"/>
    </row>
    <row r="20" spans="1:17" x14ac:dyDescent="0.25">
      <c r="L20" t="s">
        <v>17</v>
      </c>
      <c r="M20" s="7">
        <f>+SUM(M5:M18)</f>
        <v>-8.8039087131619453E-10</v>
      </c>
    </row>
    <row r="21" spans="1:17" x14ac:dyDescent="0.25">
      <c r="C21" s="3"/>
      <c r="D21" s="3"/>
      <c r="F21" s="10"/>
      <c r="G21" s="10"/>
      <c r="H21" s="10"/>
      <c r="I21" s="10"/>
    </row>
    <row r="22" spans="1:17" x14ac:dyDescent="0.25">
      <c r="C22" s="10"/>
      <c r="D22" s="10"/>
      <c r="F22" s="10"/>
      <c r="G22" s="10"/>
      <c r="H22" s="10"/>
      <c r="I22" s="10"/>
    </row>
    <row r="23" spans="1:17" x14ac:dyDescent="0.25">
      <c r="B23" t="s">
        <v>10</v>
      </c>
      <c r="C23" s="4">
        <f>+IRR(B25:B37)</f>
        <v>1.7969567901957806E-2</v>
      </c>
      <c r="E23" t="s">
        <v>9</v>
      </c>
      <c r="F23" s="3">
        <v>0.23827651051284973</v>
      </c>
    </row>
    <row r="25" spans="1:17" x14ac:dyDescent="0.25">
      <c r="B25" s="9">
        <f>+-B2+B4</f>
        <v>-198000</v>
      </c>
      <c r="E25" s="9">
        <f>+(-B2+B4)</f>
        <v>-198000</v>
      </c>
      <c r="F25" s="9"/>
    </row>
    <row r="26" spans="1:17" x14ac:dyDescent="0.25">
      <c r="B26" s="9">
        <f>+D7</f>
        <v>15000</v>
      </c>
      <c r="E26" s="9">
        <f>+D7/(1+$F$23)^(A7/12)</f>
        <v>14735.214293931071</v>
      </c>
      <c r="I26" s="9"/>
      <c r="J26" s="9"/>
      <c r="K26" s="9"/>
    </row>
    <row r="27" spans="1:17" x14ac:dyDescent="0.25">
      <c r="B27" s="9">
        <f>+D8</f>
        <v>15000</v>
      </c>
      <c r="E27" s="9">
        <f>+D8/(1+$F$23)^(A8/12)</f>
        <v>14475.102685871372</v>
      </c>
      <c r="K27" s="9"/>
    </row>
    <row r="28" spans="1:17" x14ac:dyDescent="0.25">
      <c r="B28" s="9">
        <f>+D9</f>
        <v>15000</v>
      </c>
      <c r="E28" s="9">
        <f>+D9/(1+$F$23)^(A9/12)</f>
        <v>14219.582666864795</v>
      </c>
      <c r="K28" s="9"/>
    </row>
    <row r="29" spans="1:17" x14ac:dyDescent="0.25">
      <c r="B29" s="9">
        <f>+D10</f>
        <v>80000</v>
      </c>
      <c r="E29" s="9">
        <f>+D10/(1+$F$23)^(A10/12)</f>
        <v>74499.056983651768</v>
      </c>
      <c r="K29" s="9"/>
    </row>
    <row r="30" spans="1:17" x14ac:dyDescent="0.25">
      <c r="B30" s="9">
        <f>+D11</f>
        <v>15000</v>
      </c>
      <c r="E30" s="9">
        <f>+D11/(1+$F$23)^(A11/12)</f>
        <v>13721.994616873641</v>
      </c>
      <c r="K30" s="9"/>
    </row>
    <row r="31" spans="1:17" x14ac:dyDescent="0.25">
      <c r="B31" s="9">
        <f>+D12</f>
        <v>15000</v>
      </c>
      <c r="E31" s="9">
        <f>+D12/(1+$F$23)^(A12/12)</f>
        <v>13479.768747986778</v>
      </c>
      <c r="K31" s="9"/>
    </row>
    <row r="32" spans="1:17" x14ac:dyDescent="0.25">
      <c r="B32" s="9">
        <f t="shared" ref="B32:B37" si="5">+D13</f>
        <v>15000</v>
      </c>
      <c r="E32" s="9">
        <f t="shared" ref="E32:E37" si="6">+D13/(1+$F$23)^(A13/12)</f>
        <v>13241.818742281341</v>
      </c>
      <c r="K32" s="9"/>
    </row>
    <row r="33" spans="2:11" x14ac:dyDescent="0.25">
      <c r="B33" s="9">
        <f t="shared" si="5"/>
        <v>15000</v>
      </c>
      <c r="E33" s="9">
        <f t="shared" si="6"/>
        <v>13008.069120593893</v>
      </c>
      <c r="K33" s="9"/>
    </row>
    <row r="34" spans="2:11" x14ac:dyDescent="0.25">
      <c r="B34" s="9">
        <f t="shared" si="5"/>
        <v>31247.197525719934</v>
      </c>
      <c r="E34" s="9">
        <f t="shared" si="6"/>
        <v>26619.374532607144</v>
      </c>
      <c r="K34" s="9"/>
    </row>
    <row r="35" spans="2:11" x14ac:dyDescent="0.25">
      <c r="B35" s="9">
        <f t="shared" si="5"/>
        <v>0</v>
      </c>
      <c r="E35" s="9">
        <f t="shared" si="6"/>
        <v>0</v>
      </c>
      <c r="K35" s="9"/>
    </row>
    <row r="36" spans="2:11" x14ac:dyDescent="0.25">
      <c r="B36" s="9">
        <f>+D17</f>
        <v>0</v>
      </c>
      <c r="E36" s="9">
        <f t="shared" si="6"/>
        <v>0</v>
      </c>
      <c r="K36" s="9"/>
    </row>
    <row r="37" spans="2:11" x14ac:dyDescent="0.25">
      <c r="B37" s="9">
        <f t="shared" si="5"/>
        <v>0</v>
      </c>
      <c r="E37" s="9">
        <f t="shared" si="6"/>
        <v>0</v>
      </c>
      <c r="K37" s="9"/>
    </row>
    <row r="38" spans="2:11" x14ac:dyDescent="0.25">
      <c r="E38" s="13">
        <f>+SUM(E25:E37)</f>
        <v>-1.7609338232432492E-2</v>
      </c>
      <c r="K3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Jaramillo Molina</dc:creator>
  <cp:lastModifiedBy>Jacobo Jaramillo Molina</cp:lastModifiedBy>
  <dcterms:created xsi:type="dcterms:W3CDTF">2019-11-30T12:12:45Z</dcterms:created>
  <dcterms:modified xsi:type="dcterms:W3CDTF">2019-12-02T19:45:22Z</dcterms:modified>
</cp:coreProperties>
</file>