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oderjuhi/Desktop/Bootcamp/Instructions/"/>
    </mc:Choice>
  </mc:AlternateContent>
  <xr:revisionPtr revIDLastSave="0" documentId="13_ncr:1_{2057A673-3C0C-1049-A18B-FA1B93621C0F}" xr6:coauthVersionLast="36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Crowfunding Goal Analysis" sheetId="4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5" hidden="1">'Statistical Analysis'!$A$1:$B$566</definedName>
    <definedName name="_xlchart.v1.0" hidden="1">'Statistical Analysis'!$B$2:$B$566</definedName>
    <definedName name="_xlchart.v1.1" hidden="1">'Statistical Analysis'!$E$2:$E$365</definedName>
    <definedName name="goal">Crowdfunding!$D$2:$D$1001</definedName>
    <definedName name="outcomes">Crowdfunding!$G$2:$G$1001</definedName>
    <definedName name="pledged">Crowdfunding!$E$2:$E$1001</definedName>
  </definedNames>
  <calcPr calcId="181029"/>
  <pivotCaches>
    <pivotCache cacheId="1" r:id="rId7"/>
  </pivotCaches>
</workbook>
</file>

<file path=xl/calcChain.xml><?xml version="1.0" encoding="utf-8"?>
<calcChain xmlns="http://schemas.openxmlformats.org/spreadsheetml/2006/main">
  <c r="I7" i="6" l="1"/>
  <c r="I6" i="6"/>
  <c r="H7" i="6"/>
  <c r="H6" i="6"/>
  <c r="I5" i="6" l="1"/>
  <c r="I4" i="6"/>
  <c r="I3" i="6"/>
  <c r="I2" i="6"/>
  <c r="H5" i="6"/>
  <c r="H4" i="6"/>
  <c r="H3" i="6"/>
  <c r="H2" i="6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8" i="4"/>
  <c r="B7" i="4"/>
  <c r="B6" i="4"/>
  <c r="B5" i="4"/>
  <c r="B13" i="4"/>
  <c r="B4" i="4"/>
  <c r="B3" i="4"/>
  <c r="B2" i="4"/>
  <c r="E3" i="4" l="1"/>
  <c r="H3" i="4" s="1"/>
  <c r="E2" i="4"/>
  <c r="G2" i="4" s="1"/>
  <c r="E9" i="4"/>
  <c r="E10" i="4"/>
  <c r="G10" i="4" s="1"/>
  <c r="E11" i="4"/>
  <c r="H11" i="4" s="1"/>
  <c r="E12" i="4"/>
  <c r="E13" i="4"/>
  <c r="F13" i="4" s="1"/>
  <c r="E4" i="4"/>
  <c r="F4" i="4" s="1"/>
  <c r="E5" i="4"/>
  <c r="F5" i="4" s="1"/>
  <c r="E6" i="4"/>
  <c r="F6" i="4" s="1"/>
  <c r="E7" i="4"/>
  <c r="F7" i="4" s="1"/>
  <c r="E8" i="4"/>
  <c r="G8" i="4" s="1"/>
  <c r="G4" i="4" l="1"/>
  <c r="F12" i="4"/>
  <c r="G12" i="4"/>
  <c r="H12" i="4"/>
  <c r="H9" i="4"/>
  <c r="G9" i="4"/>
  <c r="H7" i="4"/>
  <c r="H4" i="4"/>
  <c r="F9" i="4"/>
  <c r="H2" i="4"/>
  <c r="G7" i="4"/>
  <c r="H10" i="4"/>
  <c r="G6" i="4"/>
  <c r="F11" i="4"/>
  <c r="F3" i="4"/>
  <c r="F10" i="4"/>
  <c r="G13" i="4"/>
  <c r="G5" i="4"/>
  <c r="H8" i="4"/>
  <c r="F2" i="4"/>
  <c r="F8" i="4"/>
  <c r="G11" i="4"/>
  <c r="G3" i="4"/>
  <c r="H6" i="4"/>
  <c r="H13" i="4"/>
  <c r="H5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<sst xmlns="http://schemas.openxmlformats.org/spreadsheetml/2006/main" count="9063" uniqueCount="2117">
  <si>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</si>
  <si>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</si>
  <si>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</si>
  <si>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</si>
  <si>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</si>
  <si>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</si>
  <si>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</si>
  <si>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</si>
  <si>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</si>
  <si>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</si>
  <si>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</si>
  <si>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</si>
  <si>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</si>
  <si>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</si>
  <si>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</si>
  <si>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</si>
  <si>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</si>
  <si>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</si>
  <si>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</si>
  <si>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</si>
  <si>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</si>
  <si>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</si>
  <si>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</si>
  <si>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</si>
  <si>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</si>
  <si>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</si>
  <si>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</si>
  <si>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</si>
  <si>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</si>
  <si>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</si>
  <si>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</si>
  <si>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</si>
  <si>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</si>
  <si>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</si>
  <si>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</si>
  <si>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</si>
  <si>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</si>
  <si>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</si>
  <si>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</si>
  <si>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</si>
  <si>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</si>
  <si>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</si>
  <si>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</si>
  <si>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</si>
  <si>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</si>
  <si>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</si>
  <si>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</si>
  <si>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</si>
  <si>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</si>
  <si>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</si>
  <si>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</si>
  <si>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</si>
  <si>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</si>
  <si>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</si>
  <si>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</si>
  <si>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</si>
  <si>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</si>
  <si>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</si>
  <si>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</si>
  <si>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</si>
  <si>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</si>
  <si>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</si>
  <si>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</si>
  <si>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</si>
  <si>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</si>
  <si>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</si>
  <si>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</si>
  <si>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</si>
  <si>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</si>
  <si>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</si>
  <si>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</si>
  <si>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</si>
  <si>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</si>
  <si>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</si>
  <si>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</si>
  <si>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</si>
  <si>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</si>
  <si>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</si>
  <si>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</si>
  <si>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</si>
  <si>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</si>
  <si>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</si>
  <si>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</si>
  <si>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</si>
  <si>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</si>
  <si>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</si>
  <si>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</si>
  <si>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</si>
  <si>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</si>
  <si>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</si>
  <si>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</si>
  <si>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</si>
  <si>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</si>
  <si>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</si>
  <si>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</si>
  <si>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</si>
  <si>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</si>
  <si>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</si>
  <si>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</si>
  <si>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</si>
  <si>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</si>
  <si>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</si>
  <si>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</si>
  <si>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</si>
  <si>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</si>
  <si>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</si>
  <si>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</si>
  <si>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</si>
  <si>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</si>
  <si>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</si>
  <si>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</si>
  <si>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</si>
  <si>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</si>
  <si>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</si>
  <si>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</si>
  <si>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</si>
  <si>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</si>
  <si>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</si>
  <si>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</si>
  <si>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</si>
  <si>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</si>
  <si>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</si>
  <si>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</si>
  <si>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</si>
  <si>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</si>
  <si>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</si>
  <si>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</si>
  <si>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</si>
  <si>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</si>
  <si>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</si>
  <si>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</si>
  <si>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</si>
  <si>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</si>
  <si>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</si>
  <si>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</si>
  <si>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</si>
  <si>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</si>
  <si>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</si>
  <si>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</si>
  <si>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</si>
  <si>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</si>
  <si>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</si>
  <si>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</si>
  <si>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</si>
  <si>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</si>
  <si>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</si>
  <si>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</si>
  <si>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</si>
  <si>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</si>
  <si>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</si>
  <si>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</si>
  <si>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</si>
  <si>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</si>
  <si>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</si>
  <si>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</si>
  <si>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</si>
  <si>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</si>
  <si>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</si>
  <si>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</si>
  <si>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</si>
  <si>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</si>
  <si>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</si>
  <si>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</si>
  <si>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</si>
  <si>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</si>
  <si>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</si>
  <si>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</si>
  <si>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</si>
  <si>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</si>
  <si>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</si>
  <si>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</si>
  <si>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</si>
  <si>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</si>
  <si>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</si>
  <si>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</si>
  <si>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</si>
  <si>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</si>
  <si>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</si>
  <si>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</si>
  <si>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</si>
  <si>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</si>
  <si>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</si>
  <si>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</si>
  <si>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</si>
  <si>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</si>
  <si>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</si>
  <si>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</si>
  <si>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</si>
  <si>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</si>
  <si>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</si>
  <si>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</si>
  <si>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</si>
  <si>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</si>
  <si>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</si>
  <si>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</si>
  <si>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</si>
  <si>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</si>
  <si>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</si>
  <si>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</si>
  <si>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</si>
  <si>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</si>
  <si>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</si>
  <si>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</si>
  <si>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</si>
  <si>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</si>
  <si>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</si>
  <si>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</si>
  <si>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</si>
  <si>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</si>
  <si>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</si>
  <si>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</si>
  <si>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</si>
  <si>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</si>
  <si>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</si>
  <si>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</si>
  <si>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</si>
  <si>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</si>
  <si>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</si>
  <si>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</si>
  <si>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</si>
  <si>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</si>
  <si>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</si>
  <si>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</si>
  <si>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</si>
  <si>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</si>
  <si>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</si>
  <si>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</si>
  <si>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</si>
  <si>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</si>
  <si>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</si>
  <si>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</si>
  <si>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</si>
  <si>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</si>
  <si>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</si>
  <si>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</si>
  <si>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</si>
  <si>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</si>
  <si>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</si>
  <si>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</si>
  <si>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</si>
  <si>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</si>
  <si>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</si>
  <si>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</si>
  <si>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</si>
  <si>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</si>
  <si>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</si>
  <si>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</si>
  <si>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</si>
  <si>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</si>
  <si>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</si>
  <si>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</si>
  <si>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</si>
  <si>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</si>
  <si>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</si>
  <si>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</si>
  <si>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</si>
  <si>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</si>
  <si>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</si>
  <si>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</si>
  <si>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</si>
  <si>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</si>
  <si>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</si>
  <si>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</si>
  <si>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</si>
  <si>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</si>
  <si>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</si>
  <si>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</si>
  <si>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</si>
  <si>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</si>
  <si>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</si>
  <si>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</si>
  <si>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</si>
  <si>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</si>
  <si>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</si>
  <si>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</si>
  <si>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</si>
  <si>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</si>
  <si>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</si>
  <si>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</si>
  <si>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</si>
  <si>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</si>
  <si>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</si>
  <si>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</si>
  <si>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</si>
  <si>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</si>
  <si>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</si>
  <si>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</si>
  <si>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</si>
  <si>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</si>
  <si>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</si>
  <si>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</si>
  <si>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</si>
  <si>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</si>
  <si>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</si>
  <si>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</si>
  <si>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</si>
  <si>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</si>
  <si>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</si>
  <si>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</si>
  <si>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</si>
  <si>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</si>
  <si>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</si>
  <si>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</si>
  <si>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</si>
  <si>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</si>
  <si>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</si>
  <si>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</si>
  <si>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</si>
  <si>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</si>
  <si>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</si>
  <si>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</si>
  <si>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</si>
  <si>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</si>
  <si>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</si>
  <si>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</si>
  <si>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</si>
  <si>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</si>
  <si>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</si>
  <si>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</si>
  <si>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</si>
  <si>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</si>
  <si>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</si>
  <si>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</si>
  <si>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</si>
  <si>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</si>
  <si>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</si>
  <si>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</si>
  <si>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</si>
  <si>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</si>
  <si>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</si>
  <si>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</si>
  <si>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</si>
  <si>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</si>
  <si>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</si>
  <si>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</si>
  <si>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</si>
  <si>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</si>
  <si>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</si>
  <si>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</si>
  <si>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</si>
  <si>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</si>
  <si>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</si>
  <si>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</si>
  <si>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</si>
  <si>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</si>
  <si>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</si>
  <si>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</si>
  <si>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</si>
  <si>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</si>
  <si>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</si>
  <si>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</si>
  <si>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</si>
  <si>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</si>
  <si>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</si>
  <si>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</si>
  <si>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</si>
  <si>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</si>
  <si>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</si>
  <si>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</si>
  <si>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</si>
  <si>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</si>
  <si>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</si>
  <si>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</si>
  <si>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</si>
  <si>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</si>
  <si>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</si>
  <si>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</si>
  <si>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</si>
  <si>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</si>
  <si>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</si>
  <si>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</si>
  <si>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</si>
  <si>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</si>
  <si>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</si>
  <si>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</si>
  <si>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</si>
  <si>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</si>
  <si>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</si>
  <si>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</si>
  <si>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</si>
  <si>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</si>
  <si>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</si>
  <si>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</si>
  <si>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</si>
  <si>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</si>
  <si>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</si>
  <si>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</si>
  <si>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</si>
  <si>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</si>
  <si>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</si>
  <si>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</si>
  <si>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</si>
  <si>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</si>
  <si>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</si>
  <si>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</si>
  <si>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</si>
  <si>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</si>
  <si>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</si>
  <si>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</si>
  <si>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</si>
  <si>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</si>
  <si>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</si>
  <si>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</si>
  <si>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</si>
  <si>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</si>
  <si>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</si>
  <si>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</si>
  <si>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</si>
  <si>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</si>
  <si>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</si>
  <si>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</si>
  <si>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</si>
  <si>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</si>
  <si>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</si>
  <si>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</si>
  <si>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</si>
  <si>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</si>
  <si>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</si>
  <si>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</si>
  <si>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</si>
  <si>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</si>
  <si>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</si>
  <si>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</si>
  <si>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</si>
  <si>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</si>
  <si>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</si>
  <si>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</si>
  <si>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</si>
  <si>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</si>
  <si>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</si>
  <si>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</si>
  <si>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</si>
  <si>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</si>
  <si>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</si>
  <si>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</si>
  <si>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</si>
  <si>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</si>
  <si>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</si>
  <si>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</si>
  <si>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</si>
  <si>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</si>
  <si>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</si>
  <si>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</si>
  <si>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</si>
  <si>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</si>
  <si>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</si>
  <si>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</si>
  <si>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</si>
  <si>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</si>
  <si>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</si>
  <si>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</si>
  <si>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</si>
  <si>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</si>
  <si>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</si>
  <si>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</si>
  <si>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</si>
  <si>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</si>
  <si>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</si>
  <si>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</si>
  <si>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</si>
  <si>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</si>
  <si>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</si>
  <si>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</si>
  <si>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</si>
  <si>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</si>
  <si>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</si>
  <si>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</si>
  <si>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</si>
  <si>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</si>
  <si>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</si>
  <si>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</si>
  <si>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</si>
  <si>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</si>
  <si>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</si>
  <si>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</si>
  <si>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</si>
  <si>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</si>
  <si>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</si>
  <si>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</si>
  <si>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</si>
  <si>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</si>
  <si>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</si>
  <si>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</si>
  <si>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</si>
  <si>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</si>
  <si>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</si>
  <si>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</si>
  <si>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</si>
  <si>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</si>
  <si>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</si>
  <si>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</si>
  <si>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</si>
  <si>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</si>
  <si>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</si>
  <si>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</si>
  <si>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</si>
  <si>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</si>
  <si>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</si>
  <si>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</si>
  <si>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</si>
  <si>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</si>
  <si>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</si>
  <si>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</si>
  <si>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</si>
  <si>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</si>
  <si>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</si>
  <si>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</si>
  <si>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</si>
  <si>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</si>
  <si>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</si>
  <si>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</si>
  <si>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</si>
  <si>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</si>
  <si>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</si>
  <si>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</si>
  <si>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</si>
  <si>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</si>
  <si>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</si>
  <si>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</si>
  <si>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</si>
  <si>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</si>
  <si>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</si>
  <si>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</si>
  <si>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</si>
  <si>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</si>
  <si>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</si>
  <si>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</si>
  <si>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</si>
  <si>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</si>
  <si>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</si>
  <si>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</si>
  <si>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</si>
  <si>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</si>
  <si>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</si>
  <si>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</si>
  <si>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</si>
  <si>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</si>
  <si>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</si>
  <si>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</si>
  <si>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</si>
  <si>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</si>
  <si>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</si>
  <si>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</si>
  <si>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</si>
  <si>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</si>
  <si>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</si>
  <si>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</si>
  <si>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</si>
  <si>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</si>
  <si>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</si>
  <si>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</si>
  <si>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</si>
  <si>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</si>
  <si>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</si>
  <si>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</si>
  <si>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</si>
  <si>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</si>
  <si>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</si>
  <si>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</si>
  <si>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</si>
  <si>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</si>
  <si>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</si>
  <si>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</si>
  <si>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</si>
  <si>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</si>
  <si>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</si>
  <si>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</si>
  <si>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</si>
  <si>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</si>
  <si>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</si>
  <si>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</si>
  <si>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</si>
  <si>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</si>
  <si>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</si>
  <si>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</si>
  <si>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</si>
  <si>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</si>
  <si>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</si>
  <si>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</si>
  <si>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</si>
  <si>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</si>
  <si>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</si>
  <si>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</si>
  <si>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</si>
  <si>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</si>
  <si>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</si>
  <si>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</si>
  <si>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</si>
  <si>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</si>
  <si>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</si>
  <si>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</si>
  <si>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</si>
  <si>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</si>
  <si>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</si>
  <si>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</si>
  <si>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</si>
  <si>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</si>
  <si>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</si>
  <si>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</si>
  <si>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</si>
  <si>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</si>
  <si>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</si>
  <si>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</si>
  <si>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</si>
  <si>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</si>
  <si>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</si>
  <si>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</si>
  <si>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</si>
  <si>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</si>
  <si>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</si>
  <si>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</si>
  <si>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</si>
  <si>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</si>
  <si>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</si>
  <si>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</si>
  <si>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</si>
  <si>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</si>
  <si>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</si>
  <si>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</si>
  <si>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</si>
  <si>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</si>
  <si>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</si>
  <si>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</si>
  <si>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</si>
  <si>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</si>
  <si>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</si>
  <si>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</si>
  <si>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</si>
  <si>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</si>
  <si>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</si>
  <si>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</si>
  <si>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</si>
  <si>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</si>
  <si>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</si>
  <si>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</si>
  <si>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</si>
  <si>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</si>
  <si>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</si>
  <si>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</si>
  <si>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</si>
  <si>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</si>
  <si>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</si>
  <si>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</si>
  <si>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</si>
  <si>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</si>
  <si>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</si>
  <si>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</si>
  <si>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</si>
  <si>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</si>
  <si>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</si>
  <si>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</si>
  <si>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</si>
  <si>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</si>
  <si>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</si>
  <si>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</si>
  <si>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</si>
  <si>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</si>
  <si>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</si>
  <si>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</si>
  <si>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</si>
  <si>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</si>
  <si>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</si>
  <si>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</si>
  <si>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</si>
  <si>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</si>
  <si>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</si>
  <si>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</si>
  <si>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</si>
  <si>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</si>
  <si>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</si>
  <si>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</si>
  <si>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</si>
  <si>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</si>
  <si>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</si>
  <si>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</si>
  <si>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</si>
  <si>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</si>
  <si>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</si>
  <si>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</si>
  <si>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</si>
  <si>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</si>
  <si>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</si>
  <si>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</si>
  <si>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</si>
  <si>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</si>
  <si>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</si>
  <si>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</si>
  <si>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</si>
  <si>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</si>
  <si>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</si>
  <si>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</si>
  <si>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</si>
  <si>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</si>
  <si>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</si>
  <si>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</si>
  <si>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</si>
  <si>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</si>
  <si>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</si>
  <si>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</si>
  <si>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</si>
  <si>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</si>
  <si>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</si>
  <si>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</si>
  <si>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</si>
  <si>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</si>
  <si>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</si>
  <si>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</si>
  <si>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</si>
  <si>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</si>
  <si>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</si>
  <si>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</si>
  <si>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</si>
  <si>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</si>
  <si>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</si>
  <si>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</si>
  <si>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</si>
  <si>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</si>
  <si>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</si>
  <si>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</si>
  <si>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</si>
  <si>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</si>
  <si>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</si>
  <si>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</si>
  <si>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</si>
  <si>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</si>
  <si>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</si>
  <si>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</si>
  <si>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</si>
  <si>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</si>
  <si>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</si>
  <si>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</si>
  <si>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</si>
  <si>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</si>
  <si>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</si>
  <si>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</si>
  <si>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</si>
  <si>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</si>
  <si>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</si>
  <si>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</si>
  <si>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</si>
  <si>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</si>
  <si>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</si>
  <si>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</si>
  <si>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</si>
  <si>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</si>
  <si>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</si>
  <si>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</si>
  <si>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</si>
  <si>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</si>
  <si>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</si>
  <si>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</si>
  <si>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</si>
  <si>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</si>
  <si>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</si>
  <si>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</si>
  <si>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</si>
  <si>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</si>
  <si>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</si>
  <si>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</si>
  <si>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</si>
  <si>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</si>
  <si>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</si>
  <si>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</si>
  <si>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</si>
  <si>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</si>
  <si>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</si>
  <si>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</si>
  <si>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</si>
  <si>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</si>
  <si>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</si>
  <si>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</si>
  <si>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</si>
  <si>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</si>
  <si>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</si>
  <si>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</si>
  <si>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</si>
  <si>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</si>
  <si>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</si>
  <si>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</si>
  <si>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</si>
  <si>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</si>
  <si>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</si>
  <si>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</si>
  <si>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</si>
  <si>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</si>
  <si>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</si>
  <si>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</si>
  <si>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</si>
  <si>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</si>
  <si>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</si>
  <si>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</si>
  <si>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</si>
  <si>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</si>
  <si>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</si>
  <si>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</si>
  <si>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</si>
  <si>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</si>
  <si>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</si>
  <si>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</si>
  <si>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</si>
  <si>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</si>
  <si>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</si>
  <si>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</si>
  <si>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</si>
  <si>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</si>
  <si>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</si>
  <si>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</si>
  <si>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</si>
  <si>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</si>
  <si>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</si>
  <si>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</si>
  <si>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</si>
  <si>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</si>
  <si>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</si>
  <si>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</si>
  <si>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</si>
  <si>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</si>
  <si>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</si>
  <si>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</si>
  <si>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</si>
  <si>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</si>
  <si>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</si>
  <si>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</si>
  <si>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</si>
  <si>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</si>
  <si>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</si>
  <si>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</si>
  <si>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</si>
  <si>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</si>
  <si>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</si>
  <si>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</si>
  <si>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</si>
  <si>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</si>
  <si>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</si>
  <si>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</si>
  <si>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</si>
  <si>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</si>
  <si>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</si>
  <si>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</si>
  <si>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</si>
  <si>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</si>
  <si>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</si>
  <si>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</si>
  <si>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</si>
  <si>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</si>
  <si>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</si>
  <si>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</si>
  <si>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</si>
  <si>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</si>
  <si>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</si>
  <si>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</si>
  <si>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</si>
  <si>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</si>
  <si>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</si>
  <si>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</si>
  <si>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</si>
  <si>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</si>
  <si>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</si>
  <si>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</si>
  <si>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</si>
  <si>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</si>
  <si>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</si>
  <si>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</si>
  <si>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</si>
  <si>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</si>
  <si>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</si>
  <si>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</si>
  <si>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</si>
  <si>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</si>
  <si>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</si>
  <si>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</si>
  <si>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</si>
  <si>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</si>
  <si>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</si>
  <si>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</si>
  <si>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</si>
  <si>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</si>
  <si>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</si>
  <si>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</si>
  <si>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</si>
  <si>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</si>
  <si>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</si>
  <si>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</si>
  <si>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</si>
  <si>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</si>
  <si>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</si>
  <si>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</si>
  <si>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</si>
  <si>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</si>
  <si>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</si>
  <si>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</si>
  <si>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</si>
  <si>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</si>
  <si>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</si>
  <si>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</si>
  <si>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</si>
  <si>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</si>
  <si>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</si>
  <si>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</si>
  <si>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</si>
  <si>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</si>
  <si>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</si>
  <si>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</si>
  <si>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</si>
  <si>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</si>
  <si>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</si>
  <si>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</si>
  <si>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</si>
  <si>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</si>
  <si>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</si>
  <si>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</si>
  <si>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</si>
  <si>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</si>
  <si>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</si>
  <si>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</si>
  <si>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</si>
  <si>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</si>
  <si>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</si>
  <si>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</si>
  <si>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</si>
  <si>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</si>
  <si>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</si>
  <si>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</si>
  <si>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</si>
  <si>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</si>
  <si>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</si>
  <si>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</si>
  <si>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</si>
  <si>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</si>
  <si>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</si>
  <si>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</si>
  <si>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</si>
  <si>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</si>
  <si>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</si>
  <si>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</si>
  <si>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</si>
  <si>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</si>
  <si>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</si>
  <si>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</si>
  <si>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</si>
  <si>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</si>
  <si>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</si>
  <si>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</si>
  <si>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</si>
  <si>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</si>
  <si>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</si>
  <si>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</si>
  <si>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</si>
  <si>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</si>
  <si>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</si>
  <si>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</si>
  <si>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</si>
  <si>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</si>
  <si>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</si>
  <si>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</si>
  <si>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</si>
  <si>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</si>
  <si>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</si>
  <si>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</si>
  <si>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</si>
  <si>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</si>
  <si>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</si>
  <si>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</si>
  <si>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</si>
  <si>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</si>
  <si>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</si>
  <si>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</si>
  <si>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</si>
  <si>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</si>
  <si>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</si>
  <si>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</si>
  <si>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</si>
  <si>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</si>
  <si>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</si>
  <si>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</si>
  <si>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</si>
  <si>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</si>
  <si>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</si>
  <si>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</si>
  <si>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</si>
  <si>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</si>
  <si>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</si>
  <si>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</si>
  <si>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</si>
  <si>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</si>
  <si>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</si>
  <si>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</si>
  <si>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</si>
  <si>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</si>
  <si>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</si>
  <si>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</si>
  <si>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</si>
  <si>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</si>
  <si>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</si>
  <si>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</si>
  <si>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</si>
  <si>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</si>
  <si>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</si>
  <si>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</si>
  <si>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</si>
  <si>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</si>
  <si>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</si>
  <si>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</si>
  <si>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</si>
  <si>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</si>
  <si>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</si>
  <si>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</si>
  <si>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</si>
  <si>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</si>
  <si>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</si>
  <si>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</si>
  <si>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</si>
  <si>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</si>
  <si>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</si>
  <si>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</si>
  <si>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</si>
  <si>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</si>
  <si>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</si>
  <si>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</si>
  <si>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</si>
  <si>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</si>
  <si>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</si>
  <si>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</si>
  <si>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</si>
  <si>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</si>
  <si>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</si>
  <si>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</si>
  <si>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</si>
  <si>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</si>
  <si>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</si>
  <si>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</si>
  <si>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</si>
  <si>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</si>
  <si>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</si>
  <si>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</si>
  <si>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</si>
  <si>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</si>
  <si>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</si>
  <si>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</si>
  <si>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</si>
  <si>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</si>
  <si>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</si>
  <si>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</si>
  <si>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</si>
  <si>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</si>
  <si>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</si>
  <si>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</si>
  <si>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</si>
  <si>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</si>
  <si>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</si>
  <si>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</si>
  <si>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</si>
  <si>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</si>
  <si>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</si>
  <si>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</si>
  <si>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</si>
  <si>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</si>
  <si>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</si>
  <si>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</si>
  <si>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</si>
  <si>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</si>
  <si>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</si>
  <si>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</si>
  <si>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</si>
  <si>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</si>
  <si>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</si>
  <si>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</si>
  <si>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</si>
  <si>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</si>
  <si>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</si>
  <si>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</si>
  <si>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</si>
  <si>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</si>
  <si>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</si>
  <si>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</si>
  <si>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</si>
  <si>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</si>
  <si>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</si>
  <si>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</si>
  <si>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</si>
  <si>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</si>
  <si>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</si>
  <si>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</si>
  <si>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</si>
  <si>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</si>
  <si>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</si>
  <si>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</si>
  <si>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</si>
  <si>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</si>
  <si>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</si>
  <si>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</si>
  <si>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</si>
  <si>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</si>
  <si>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</si>
  <si>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</si>
  <si>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</si>
  <si>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</si>
  <si>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</si>
  <si>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</si>
  <si>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</si>
  <si>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</si>
  <si>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</si>
  <si>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</si>
  <si>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</si>
  <si>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</si>
  <si>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</si>
  <si>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</si>
  <si>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</si>
  <si>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</si>
  <si>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</si>
  <si>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</si>
  <si>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</si>
  <si>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</si>
  <si>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</si>
  <si>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</si>
  <si>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</si>
  <si>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</si>
  <si>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</si>
  <si>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</si>
  <si>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</si>
  <si>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</si>
  <si>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</si>
  <si>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</si>
  <si>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</si>
  <si>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</si>
  <si>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</si>
  <si>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</si>
  <si>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</si>
  <si>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</si>
  <si>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</si>
  <si>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</si>
  <si>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</si>
  <si>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</si>
  <si>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</si>
  <si>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</si>
  <si>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</si>
  <si>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</si>
  <si>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</si>
  <si>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</si>
  <si>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</si>
  <si>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</si>
  <si>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</si>
  <si>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</si>
  <si>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</si>
  <si>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</si>
  <si>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</si>
  <si>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</si>
  <si>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</si>
  <si>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</si>
  <si>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</si>
  <si>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</si>
  <si>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</si>
  <si>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</si>
  <si>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</si>
  <si>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</si>
  <si>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</si>
  <si>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</si>
  <si>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</si>
  <si>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</si>
  <si>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</si>
  <si>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</si>
  <si>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</si>
  <si>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</si>
  <si>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</si>
  <si>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</si>
  <si>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</si>
  <si>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</si>
  <si>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</si>
  <si>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</si>
  <si>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</si>
  <si>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</si>
  <si>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</si>
  <si>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</si>
  <si>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</si>
  <si>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</si>
  <si>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</si>
  <si>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</si>
  <si>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</si>
  <si>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</si>
  <si>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</si>
  <si>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</si>
  <si>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</si>
  <si>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</si>
  <si>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</si>
  <si>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</si>
  <si>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</si>
  <si>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</si>
  <si>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</si>
  <si>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</si>
  <si>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</si>
  <si>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</si>
  <si>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</si>
  <si>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</si>
  <si>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</si>
  <si>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</si>
  <si>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</si>
  <si>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</si>
  <si>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</si>
  <si>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</si>
  <si>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</si>
  <si>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</si>
  <si>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</si>
  <si>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</si>
  <si>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</si>
  <si>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</si>
  <si>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</si>
  <si>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</si>
  <si>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</si>
  <si>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</si>
  <si>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</si>
  <si>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</si>
  <si>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</si>
  <si>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</si>
  <si>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</si>
  <si>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</si>
  <si>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</si>
  <si>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</si>
  <si>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</si>
  <si>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</si>
  <si>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</si>
  <si>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</si>
  <si>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</si>
  <si>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</si>
  <si>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</si>
  <si>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</si>
  <si>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</si>
  <si>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</si>
  <si>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</si>
  <si>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</si>
  <si>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</si>
  <si>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</si>
  <si>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</si>
  <si>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</si>
  <si>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</si>
  <si>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</si>
  <si>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</si>
  <si>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</si>
  <si>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</si>
  <si>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</si>
  <si>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</si>
  <si>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</si>
  <si>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</si>
  <si>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</si>
  <si>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</si>
  <si>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</si>
  <si>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</si>
  <si>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</si>
  <si>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</si>
  <si>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</si>
  <si>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</si>
  <si>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</si>
  <si>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</si>
  <si>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</si>
  <si>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</si>
  <si>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</si>
  <si>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</si>
  <si>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</si>
  <si>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</si>
  <si>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</si>
  <si>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</si>
  <si>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</si>
  <si>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</si>
  <si>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</si>
  <si>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</si>
  <si>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</si>
  <si>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</si>
  <si>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</si>
  <si>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</si>
  <si>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</si>
  <si>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</si>
  <si>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</si>
  <si>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</si>
  <si>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</si>
  <si>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</si>
  <si>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</si>
  <si>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</si>
  <si>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</si>
  <si>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</si>
  <si>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</si>
  <si>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</si>
  <si>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</si>
  <si>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</si>
  <si>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</si>
  <si>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</si>
  <si>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</si>
  <si>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</si>
  <si>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</si>
  <si>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</si>
  <si>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</si>
  <si>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</si>
  <si>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</si>
  <si>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</si>
  <si>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</si>
  <si>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</si>
  <si>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</si>
  <si>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</si>
  <si>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</si>
  <si>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</si>
  <si>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</si>
  <si>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</si>
  <si>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</si>
  <si>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</si>
  <si>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</si>
  <si>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</si>
  <si>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</si>
  <si>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</si>
  <si>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</si>
  <si>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</si>
  <si>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</si>
  <si>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</si>
  <si>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</si>
  <si>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</si>
  <si>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</si>
  <si>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</si>
  <si>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</si>
  <si>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</si>
  <si>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</si>
  <si>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</si>
  <si>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</si>
  <si>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</si>
  <si>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</si>
  <si>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</si>
  <si>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</si>
  <si>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</si>
  <si>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</si>
  <si>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</si>
  <si>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</si>
  <si>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</si>
  <si>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</si>
  <si>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</si>
  <si>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</si>
  <si>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</si>
  <si>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</si>
  <si>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</si>
  <si>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</si>
  <si>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</si>
  <si>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</si>
  <si>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</si>
  <si>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</si>
  <si>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</si>
  <si>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</si>
  <si>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</si>
  <si>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</si>
  <si>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</si>
  <si>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</si>
  <si>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</si>
  <si>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</si>
  <si>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</si>
  <si>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</si>
  <si>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</si>
  <si>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</si>
  <si>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</si>
  <si>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</si>
  <si>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</si>
  <si>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</si>
  <si>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</si>
  <si>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</si>
  <si>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</si>
  <si>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</si>
  <si>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</si>
  <si>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</si>
  <si>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</si>
  <si>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</si>
  <si>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</si>
  <si>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</si>
  <si>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</si>
  <si>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</si>
  <si>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</si>
  <si>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</si>
  <si>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</si>
  <si>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</si>
  <si>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</si>
  <si>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</si>
  <si>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</si>
  <si>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</si>
  <si>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</si>
  <si>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</si>
  <si>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</si>
  <si>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</si>
  <si>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</si>
  <si>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</si>
  <si>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</si>
  <si>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</si>
  <si>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</si>
  <si>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</si>
  <si>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</si>
  <si>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</si>
  <si>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</si>
  <si>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</si>
  <si>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</si>
  <si>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</si>
  <si>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</si>
  <si>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</si>
  <si>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</si>
  <si>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</si>
  <si>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</si>
  <si>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</si>
  <si>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</si>
  <si>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</si>
  <si>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</si>
  <si>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</si>
  <si>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</si>
  <si>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</si>
  <si>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</si>
  <si>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</si>
  <si>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</si>
  <si>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</si>
  <si>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</si>
  <si>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</si>
  <si>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</si>
  <si>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</si>
  <si>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</si>
  <si>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</si>
  <si>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</si>
  <si>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</si>
  <si>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</si>
  <si>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</si>
  <si>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</si>
  <si>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</si>
  <si>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</si>
  <si>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</si>
  <si>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</si>
  <si>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</si>
  <si>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</si>
  <si>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</si>
  <si>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</si>
  <si>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</si>
  <si>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</si>
  <si>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</si>
  <si>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</si>
  <si>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</si>
  <si>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</si>
  <si>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</si>
  <si>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</si>
  <si>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</si>
  <si>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</si>
  <si>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</si>
  <si>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</si>
  <si>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</si>
  <si>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</si>
  <si>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</si>
  <si>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</si>
  <si>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</si>
  <si>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</si>
  <si>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</si>
  <si>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</si>
  <si>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</si>
  <si>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</si>
  <si>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</si>
  <si>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</si>
  <si>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</si>
  <si>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</si>
  <si>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</si>
  <si>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</si>
  <si>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</si>
  <si>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</si>
  <si>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</si>
  <si>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</si>
  <si>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</si>
  <si>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</si>
  <si>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</si>
  <si>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</si>
  <si>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</si>
  <si>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</si>
  <si>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</si>
  <si>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</si>
  <si>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</si>
  <si>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</si>
  <si>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</si>
  <si>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</si>
  <si>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</si>
  <si>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</si>
  <si>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</si>
  <si>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</si>
  <si>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</si>
  <si>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</si>
  <si>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</si>
  <si>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</si>
  <si>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</si>
  <si>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</si>
  <si>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</si>
  <si>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</si>
  <si>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</si>
  <si>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</si>
  <si>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</si>
  <si>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</si>
  <si>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</si>
  <si>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</si>
  <si>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</si>
  <si>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</si>
  <si>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</si>
  <si>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</si>
  <si>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</si>
  <si>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</si>
  <si>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</si>
  <si>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</si>
  <si>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</si>
  <si>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</si>
  <si>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</si>
  <si>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</si>
  <si>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</si>
  <si>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</si>
  <si>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</si>
  <si>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</si>
  <si>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</si>
  <si>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</si>
  <si>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</si>
  <si>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</si>
  <si>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</si>
  <si>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</si>
  <si>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</si>
  <si>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</si>
  <si>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</si>
  <si>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</si>
  <si>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</si>
  <si>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</si>
  <si>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</si>
  <si>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</si>
  <si>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</si>
  <si>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</si>
  <si>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</si>
  <si>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</si>
  <si>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</si>
  <si>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</si>
  <si>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</si>
  <si>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</si>
  <si>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</si>
  <si>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</si>
  <si>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</si>
  <si>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</si>
  <si>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</si>
  <si>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</si>
  <si>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</si>
  <si>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</si>
  <si>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</si>
  <si>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</si>
  <si>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</si>
  <si>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</si>
  <si>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</si>
  <si>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</si>
  <si>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</si>
  <si>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</si>
  <si>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</si>
  <si>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</si>
  <si>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</si>
  <si>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</si>
  <si>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</si>
  <si>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</si>
  <si>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</si>
  <si>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</si>
  <si>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</si>
  <si>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</si>
  <si>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</si>
  <si>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</si>
  <si>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</si>
  <si>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</si>
  <si>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</si>
  <si>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</si>
  <si>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</si>
  <si>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</si>
  <si>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</si>
  <si>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</si>
  <si>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</si>
  <si>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</si>
  <si>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</si>
  <si>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</si>
  <si>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</si>
  <si>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</si>
  <si>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</si>
  <si>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</si>
  <si>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</si>
  <si>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</si>
  <si>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</si>
  <si>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</si>
  <si>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</si>
  <si>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</si>
  <si>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</si>
  <si>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</si>
  <si>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</si>
  <si>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</si>
  <si>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</si>
  <si>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</si>
  <si>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</si>
  <si>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</si>
  <si>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</si>
  <si>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</si>
  <si>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</si>
  <si>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</si>
  <si>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</si>
  <si>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</si>
  <si>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</si>
  <si>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</si>
  <si>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</si>
  <si>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</si>
  <si>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</si>
  <si>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</si>
  <si>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</si>
  <si>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</si>
  <si>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</si>
  <si>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</si>
  <si>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</si>
  <si>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</si>
  <si>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</si>
  <si>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</si>
  <si>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</si>
  <si>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</si>
  <si>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</si>
  <si>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</si>
  <si>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</si>
  <si>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</si>
  <si>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</si>
  <si>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</si>
  <si>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</si>
  <si>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</si>
  <si>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</si>
  <si>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</si>
  <si>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</si>
  <si>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</si>
  <si>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</si>
  <si>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</si>
  <si>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</si>
  <si>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</si>
  <si>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</si>
  <si>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</si>
  <si>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</si>
  <si>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</si>
  <si>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</si>
  <si>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</si>
  <si>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</si>
  <si>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</si>
  <si>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</si>
  <si>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</si>
  <si>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</si>
  <si>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</si>
  <si>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</si>
  <si>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</si>
  <si>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</si>
  <si>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</si>
  <si>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</si>
  <si>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</si>
  <si>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</si>
  <si>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</si>
  <si>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</si>
  <si>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</si>
  <si>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</si>
  <si>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</si>
  <si>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</si>
  <si>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</si>
  <si>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</si>
  <si>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</si>
  <si>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</si>
  <si>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</si>
  <si>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</si>
  <si>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</si>
  <si>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</si>
  <si>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</si>
  <si>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</si>
  <si>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</si>
  <si>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</si>
  <si>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</si>
  <si>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</si>
  <si>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</si>
  <si>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</si>
  <si>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</si>
  <si>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</si>
  <si>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</si>
  <si>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</si>
  <si>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</si>
  <si>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</si>
  <si>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</si>
  <si>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</si>
  <si>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</si>
  <si>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</si>
  <si>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</si>
  <si>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</si>
  <si>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</si>
  <si>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</si>
  <si>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</si>
  <si>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</si>
  <si>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</si>
  <si>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</si>
  <si>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</si>
  <si>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</si>
  <si>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</si>
  <si>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</si>
  <si>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</si>
  <si>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</si>
  <si>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</si>
  <si>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</si>
  <si>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</si>
  <si>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</si>
  <si>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</si>
  <si>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</si>
  <si>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</si>
  <si>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</si>
  <si>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</si>
  <si>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</si>
  <si>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</si>
  <si>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</si>
  <si>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</si>
  <si>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</si>
  <si>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</si>
  <si>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</si>
  <si>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</si>
  <si>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</si>
  <si>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</si>
  <si>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</si>
  <si>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</si>
  <si>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</si>
  <si>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</si>
  <si>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</si>
  <si>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</si>
  <si>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</si>
  <si>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</si>
  <si>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</si>
  <si>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</si>
  <si>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</si>
  <si>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</si>
  <si>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</si>
  <si>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</si>
  <si>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</si>
  <si>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</si>
  <si>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</si>
  <si>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</si>
  <si>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</si>
  <si>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</si>
  <si>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</si>
  <si>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</si>
  <si>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</si>
  <si>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</si>
  <si>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</si>
  <si>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</si>
  <si>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</si>
  <si>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</si>
  <si>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</si>
  <si>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</si>
  <si>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</si>
  <si>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</si>
  <si>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</si>
  <si>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</si>
  <si>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</si>
  <si>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</si>
  <si>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</si>
  <si>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</si>
  <si>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</si>
  <si>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</si>
  <si>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</si>
  <si>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</si>
  <si>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</si>
  <si>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</si>
  <si>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</si>
  <si>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</si>
  <si>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</si>
  <si>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</si>
  <si>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</si>
  <si>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</si>
  <si>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</si>
  <si>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</si>
  <si>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</si>
  <si>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</si>
  <si>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</si>
  <si>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</si>
  <si>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</si>
  <si>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</si>
  <si>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</si>
  <si>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</si>
  <si>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</si>
  <si>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</si>
  <si>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</si>
  <si>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</si>
  <si>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</si>
  <si>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</si>
  <si>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</si>
  <si>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</si>
  <si>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</si>
  <si>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</si>
  <si>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</si>
  <si>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</si>
  <si>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</si>
  <si>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</si>
  <si>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</si>
  <si>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</si>
  <si>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</si>
  <si>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</si>
  <si>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</si>
  <si>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</si>
  <si>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</si>
  <si>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</si>
  <si>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</si>
  <si>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</si>
  <si>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</si>
  <si>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</si>
  <si>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</si>
  <si>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</si>
  <si>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</si>
  <si>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</si>
  <si>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</si>
  <si>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</si>
  <si>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</si>
  <si>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</si>
  <si>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</si>
  <si>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</si>
  <si>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</si>
  <si>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</si>
  <si>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</si>
  <si>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</si>
  <si>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</si>
  <si>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</si>
  <si>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</si>
  <si>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</si>
  <si>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</si>
  <si>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</si>
  <si>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</si>
  <si>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</si>
  <si>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</si>
  <si>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</si>
  <si>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</si>
  <si>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</si>
  <si>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</si>
  <si>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</si>
  <si>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</si>
  <si>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</si>
  <si>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</si>
  <si>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</si>
  <si>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</si>
  <si>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</si>
  <si>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</si>
  <si>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</si>
  <si>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</si>
  <si>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</si>
  <si>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</si>
  <si>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</si>
  <si>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</si>
  <si>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</si>
  <si>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</si>
  <si>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</si>
  <si>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</si>
  <si>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</si>
  <si>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</si>
  <si>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</si>
  <si>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</si>
  <si>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</si>
  <si>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</si>
  <si>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</si>
  <si>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</si>
  <si>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</si>
  <si>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</si>
  <si>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</si>
  <si>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</si>
  <si>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</si>
  <si>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</si>
  <si>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</si>
  <si>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</si>
  <si>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</si>
  <si>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</si>
  <si>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</si>
  <si>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</si>
  <si>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</si>
  <si>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</si>
  <si>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</si>
  <si>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</si>
  <si>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</si>
  <si>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</si>
  <si>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</si>
  <si>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</si>
  <si>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</si>
  <si>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</si>
  <si>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</si>
  <si>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</si>
  <si>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</si>
  <si>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</si>
  <si>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</si>
  <si>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</si>
  <si>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</si>
  <si>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</si>
  <si>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</si>
  <si>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</si>
  <si>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</si>
  <si>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</si>
  <si>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</si>
  <si>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</si>
  <si>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</si>
  <si>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</si>
  <si>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</si>
  <si>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</si>
  <si>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</si>
  <si>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</si>
  <si>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</si>
  <si>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</si>
  <si>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</si>
  <si>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</si>
  <si>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</si>
  <si>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</si>
  <si>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</si>
  <si>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</si>
  <si>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</si>
  <si>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</si>
  <si>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</si>
  <si>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</si>
  <si>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</si>
  <si>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</si>
  <si>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</si>
  <si>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</si>
  <si>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</si>
  <si>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</si>
  <si>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</si>
  <si>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</si>
  <si>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</si>
  <si>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</si>
  <si>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</si>
  <si>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</si>
  <si>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</si>
  <si>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</si>
  <si>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</si>
  <si>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</si>
  <si>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</si>
  <si>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</si>
  <si>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</si>
  <si>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</si>
  <si>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</si>
  <si>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</si>
  <si>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</si>
  <si>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</si>
  <si>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</si>
  <si>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</si>
  <si>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</si>
  <si>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</si>
  <si>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</si>
  <si>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</si>
  <si>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</si>
  <si>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</si>
  <si>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</si>
  <si>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</si>
  <si>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</si>
  <si>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</si>
  <si>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</si>
  <si>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</si>
  <si>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</si>
  <si>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</si>
  <si>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</si>
  <si>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</si>
  <si>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</si>
  <si>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</si>
  <si>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</si>
  <si>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</si>
  <si>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</si>
  <si>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</si>
  <si>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</si>
  <si>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</si>
  <si>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</si>
  <si>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</si>
  <si>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</si>
  <si>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</si>
  <si>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</si>
  <si>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</si>
  <si>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</si>
  <si>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</si>
  <si>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</si>
  <si>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</si>
  <si>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</si>
  <si>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</si>
  <si>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</si>
  <si>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</si>
  <si>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</si>
  <si>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</si>
  <si>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</si>
  <si>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</si>
  <si>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</si>
  <si>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</si>
  <si>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</si>
  <si>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</si>
  <si>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</si>
  <si>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</si>
  <si>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</si>
  <si>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</si>
  <si>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</si>
  <si>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</si>
  <si>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</si>
  <si>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</si>
  <si>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</si>
  <si>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</si>
  <si>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</si>
  <si>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</si>
  <si>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</si>
  <si>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</si>
  <si>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</si>
  <si>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</si>
  <si>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</si>
  <si>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</si>
  <si>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</si>
  <si>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</si>
  <si>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</si>
  <si>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</si>
  <si>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</si>
  <si>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</si>
  <si>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</si>
  <si>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</si>
  <si>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</si>
  <si>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</si>
  <si>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</si>
  <si>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</si>
  <si>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</si>
  <si>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</si>
  <si>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</si>
  <si>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</si>
  <si>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</si>
  <si>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</si>
  <si>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</si>
  <si>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</si>
  <si>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</si>
  <si>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</si>
  <si>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</si>
  <si>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</si>
  <si>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</si>
  <si>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</si>
  <si>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</si>
  <si>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</si>
  <si>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</si>
  <si>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</si>
  <si>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</si>
  <si>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</si>
  <si>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</si>
  <si>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</si>
  <si>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</si>
  <si>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</si>
  <si>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</si>
  <si>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</si>
  <si>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</si>
  <si>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</si>
  <si>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</si>
  <si>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</si>
  <si>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</si>
  <si>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</si>
  <si>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</si>
  <si>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</si>
  <si>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</si>
  <si>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</si>
  <si>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</si>
  <si>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</si>
  <si>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</si>
  <si>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</si>
  <si>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</si>
  <si>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</si>
  <si>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</si>
  <si>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</si>
  <si>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</si>
  <si>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</si>
  <si>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</si>
  <si>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</si>
  <si>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</si>
  <si>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</si>
  <si>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</si>
  <si>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</si>
  <si>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</si>
  <si>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</si>
  <si>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</si>
  <si>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</si>
  <si>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</si>
  <si>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</si>
  <si>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</si>
  <si>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</si>
  <si>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</si>
  <si>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</si>
  <si>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</si>
  <si>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</si>
  <si>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</si>
  <si>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</si>
  <si>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Column Labels</t>
  </si>
  <si>
    <t>Grand Total</t>
  </si>
  <si>
    <t>Row Labels</t>
  </si>
  <si>
    <t>Count of Parent category</t>
  </si>
  <si>
    <t>Count of Sub-category</t>
  </si>
  <si>
    <t>Date Created Conversion</t>
  </si>
  <si>
    <t>Date Ended Conversion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</si>
  <si>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</si>
  <si>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</si>
  <si>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</si>
  <si>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</si>
  <si>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</si>
  <si>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</si>
  <si>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</si>
  <si>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</si>
  <si>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</si>
  <si>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</si>
  <si>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</si>
  <si>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</si>
  <si>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</si>
  <si>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</si>
  <si>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</si>
  <si>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</si>
  <si>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</si>
  <si>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</si>
  <si>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</si>
  <si>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</si>
  <si>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</si>
  <si>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</si>
  <si>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</si>
  <si>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</si>
  <si>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</si>
  <si>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</si>
  <si>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</si>
  <si>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</si>
  <si>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</si>
  <si>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</si>
  <si>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</si>
  <si>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</si>
  <si>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</si>
  <si>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</si>
  <si>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Summary statistics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</si>
  <si>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</si>
  <si>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</si>
  <si>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</si>
  <si>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</si>
  <si>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</si>
  <si>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</si>
  <si>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Successful campaign</t>
  </si>
  <si>
    <t>Failed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</si>
</sst>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9" fontId="16" fillId="0" borderId="0" xfId="42" applyFon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1941-B488-A3FEA2ABB77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8-1941-B488-A3FEA2ABB77A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8-1941-B488-A3FEA2ABB77A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8-1941-B488-A3FEA2AB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339376"/>
        <c:axId val="1039341056"/>
      </c:barChart>
      <c:catAx>
        <c:axId val="10393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41056"/>
        <c:crosses val="autoZero"/>
        <c:auto val="1"/>
        <c:lblAlgn val="ctr"/>
        <c:lblOffset val="100"/>
        <c:noMultiLvlLbl val="0"/>
      </c:catAx>
      <c:valAx>
        <c:axId val="1039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9-6141-B7D0-3ECB899BAAB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15-014C-805F-EFF7F1ED3BC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15-014C-805F-EFF7F1ED3BC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15-014C-805F-EFF7F1ED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165472"/>
        <c:axId val="1519718992"/>
      </c:barChart>
      <c:catAx>
        <c:axId val="10851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18992"/>
        <c:crosses val="autoZero"/>
        <c:auto val="1"/>
        <c:lblAlgn val="ctr"/>
        <c:lblOffset val="100"/>
        <c:noMultiLvlLbl val="0"/>
      </c:catAx>
      <c:valAx>
        <c:axId val="15197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4-8542-A49D-0066A964BA3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4-8542-A49D-0066A964BA30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4-8542-A49D-0066A964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849600"/>
        <c:axId val="1100873760"/>
      </c:lineChart>
      <c:catAx>
        <c:axId val="1100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73760"/>
        <c:crosses val="autoZero"/>
        <c:auto val="1"/>
        <c:lblAlgn val="ctr"/>
        <c:lblOffset val="100"/>
        <c:noMultiLvlLbl val="0"/>
      </c:catAx>
      <c:valAx>
        <c:axId val="1100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D-3D41-8249-213C7A30F5D0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D-3D41-8249-213C7A30F5D0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D-3D41-8249-213C7A30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561504"/>
        <c:axId val="1104555200"/>
      </c:lineChart>
      <c:catAx>
        <c:axId val="11045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55200"/>
        <c:crosses val="autoZero"/>
        <c:auto val="1"/>
        <c:lblAlgn val="ctr"/>
        <c:lblOffset val="100"/>
        <c:noMultiLvlLbl val="0"/>
      </c:catAx>
      <c:valAx>
        <c:axId val="11045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D5262680-DB34-9444-B52C-6D5253A97B31}">
          <cx:spPr>
            <a:solidFill>
              <a:schemeClr val="lt1"/>
            </a:solidFill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DC0F67C4-8DEA-1B49-BE09-4F895B5DD0AF}">
          <cx:spPr>
            <a:solidFill>
              <a:schemeClr val="lt1"/>
            </a:solidFill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107950</xdr:rowOff>
    </xdr:from>
    <xdr:to>
      <xdr:col>14</xdr:col>
      <xdr:colOff>12700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3C8E-9782-1D4F-A970-F270960A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7</xdr:row>
      <xdr:rowOff>57150</xdr:rowOff>
    </xdr:from>
    <xdr:to>
      <xdr:col>18</xdr:col>
      <xdr:colOff>393700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D0AC8-ACFC-584E-88CD-84252F99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95250</xdr:rowOff>
    </xdr:from>
    <xdr:to>
      <xdr:col>12</xdr:col>
      <xdr:colOff>88900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7127-4A64-6F4B-83F9-BD6D3349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1075468</xdr:colOff>
      <xdr:row>13</xdr:row>
      <xdr:rowOff>159960</xdr:rowOff>
    </xdr:from>
    <xdr:to>
      <xdr:col>8</xdr:col>
      <xdr:colOff>290286</xdr:colOff>
      <xdr:row>27</xdr:row>
      <xdr:rowOff>43643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3AE01-13FD-0F4D-A87A-493FFA6E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51269</xdr:colOff>
      <xdr:row>8</xdr:row>
      <xdr:rowOff>95014</xdr:rowOff>
    </xdr:from>
    <xdr:to>
      <xdr:col>8</xdr:col>
      <xdr:colOff>662751</xdr:colOff>
      <xdr:row>29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F7ACC6-04E0-144F-AA61-6056D3B81A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469" y="1720614"/>
              <a:ext cx="4573882" cy="4299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946150</xdr:colOff>
      <xdr:row>8</xdr:row>
      <xdr:rowOff>44450</xdr:rowOff>
    </xdr:from>
    <xdr:to>
      <xdr:col>13</xdr:col>
      <xdr:colOff>400050</xdr:colOff>
      <xdr:row>29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E2C788-42CF-3D47-8405-8B7CC27BD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1750" y="1670050"/>
              <a:ext cx="4572000" cy="427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3.53441064815" createdVersion="6" refreshedVersion="6" minRefreshableVersion="3" recordCount="1000" xr:uid="{7B066A3F-FBE2-7044-9A0D-0B7456B2A346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026BC-76A4-5144-98EE-3D0E4B458DE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4359E-4CA4-F74C-8FBF-21A47CBA51C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3431B-699D-9549-9110-EF9E96784A0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0" zoomScaleNormal="90" workbookViewId="0">
      <selection activeCell="C17" sqref="C17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7.1640625" customWidth="1"/>
    <col min="8" max="8" width="13" bestFit="1" customWidth="1"/>
    <col min="9" max="9" width="13" customWidth="1"/>
    <col min="12" max="12" width="17.1640625" customWidth="1"/>
    <col min="13" max="13" width="26.33203125" style="8" customWidth="1"/>
    <col min="14" max="14" width="26.33203125" customWidth="1"/>
    <col min="15" max="15" width="24.83203125" style="8" customWidth="1"/>
    <col min="18" max="18" width="28" bestFit="1" customWidth="1"/>
    <col min="19" max="19" width="22" customWidth="1"/>
    <col min="20" max="20" width="23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3" t="s">
        <v>2072</v>
      </c>
      <c r="N1" s="1" t="s">
        <v>9</v>
      </c>
      <c r="O1" s="13" t="s">
        <v>2073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65" si="0"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ref="F66:F129" si="4">(E66/D66)*100</f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4"/>
        <v>236.14754098360655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ref="F130:F193" si="8">(E130/D130)*100</f>
        <v>60.334277620396605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8"/>
        <v>3.202693602693603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ref="F194:F257" si="12">(E194/D194)*100</f>
        <v>19.992957746478872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2"/>
        <v>45.636363636363633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ref="F258:F321" si="16">(E258/D258)*100</f>
        <v>23.390243902439025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ref="F322:F385" si="20">(E322/D322)*100</f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20"/>
        <v>94.144366197183089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ref="F386:F449" si="24">(E386/D386)*100</f>
        <v>172.00961538461539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24"/>
        <v>146.16709511568124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ref="F450:F513" si="28">(E450/D450)*100</f>
        <v>50.482758620689658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01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ref="I503:I566" si="32">E503/H503</f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32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32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32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32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32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32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32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32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32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32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ref="F514:F577" si="33">(E514/D514)*100</f>
        <v>139.31868131868131</v>
      </c>
      <c r="G514" t="s">
        <v>20</v>
      </c>
      <c r="H514">
        <v>239</v>
      </c>
      <c r="I514">
        <f t="shared" si="32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33"/>
        <v>39.277108433734945</v>
      </c>
      <c r="G515" t="s">
        <v>74</v>
      </c>
      <c r="H515">
        <v>35</v>
      </c>
      <c r="I515">
        <f t="shared" si="32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3"/>
        <v>22.439077144917089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3"/>
        <v>55.779069767441861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3"/>
        <v>42.523125996810208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3"/>
        <v>112.00000000000001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3"/>
        <v>7.0681818181818183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3"/>
        <v>101.74563871693867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3"/>
        <v>425.75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3"/>
        <v>145.53947368421052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3"/>
        <v>32.453465346534657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3"/>
        <v>700.33333333333326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3"/>
        <v>83.904860392967933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3"/>
        <v>84.19047619047619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3"/>
        <v>155.95180722891567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3"/>
        <v>99.619450317124731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3"/>
        <v>80.300000000000011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3"/>
        <v>11.254901960784313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3"/>
        <v>91.740952380952379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3"/>
        <v>95.521156936261391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3"/>
        <v>502.87499999999994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3"/>
        <v>159.24394463667818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3"/>
        <v>15.022446689113355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3"/>
        <v>482.03846153846149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3"/>
        <v>149.96938775510205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3"/>
        <v>117.22156398104266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3"/>
        <v>37.695968274950431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3"/>
        <v>72.653061224489804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3"/>
        <v>265.98113207547169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3"/>
        <v>24.205617977528089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3"/>
        <v>2.5064935064935066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3"/>
        <v>16.329799764428738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3"/>
        <v>276.5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3"/>
        <v>88.803571428571431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3"/>
        <v>163.57142857142856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3"/>
        <v>270.91376701966715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3"/>
        <v>284.21355932203392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3"/>
        <v>58.6329816768462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3"/>
        <v>98.51111111111112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3"/>
        <v>43.975381008206334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3"/>
        <v>151.66315789473683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3"/>
        <v>223.63492063492063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3"/>
        <v>239.75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3"/>
        <v>199.33333333333334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3"/>
        <v>137.34482758620689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3"/>
        <v>100.9696106362773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3"/>
        <v>794.16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3"/>
        <v>369.7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3"/>
        <v>12.818181818181817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3"/>
        <v>138.02702702702703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3"/>
        <v>83.813278008298752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3"/>
        <v>204.60063224446787</v>
      </c>
      <c r="G567" t="s">
        <v>20</v>
      </c>
      <c r="H567">
        <v>3596</v>
      </c>
      <c r="I567">
        <f t="shared" ref="I567:I630" si="36">E567/H567</f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3"/>
        <v>44.344086021505376</v>
      </c>
      <c r="G568" t="s">
        <v>14</v>
      </c>
      <c r="H568">
        <v>37</v>
      </c>
      <c r="I568">
        <f t="shared" si="36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3"/>
        <v>218.60294117647058</v>
      </c>
      <c r="G569" t="s">
        <v>20</v>
      </c>
      <c r="H569">
        <v>244</v>
      </c>
      <c r="I569">
        <f t="shared" si="36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3"/>
        <v>186.03314917127071</v>
      </c>
      <c r="G570" t="s">
        <v>20</v>
      </c>
      <c r="H570">
        <v>5180</v>
      </c>
      <c r="I570">
        <f t="shared" si="36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3"/>
        <v>237.33830845771143</v>
      </c>
      <c r="G571" t="s">
        <v>20</v>
      </c>
      <c r="H571">
        <v>589</v>
      </c>
      <c r="I571">
        <f t="shared" si="36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3"/>
        <v>305.65384615384613</v>
      </c>
      <c r="G572" t="s">
        <v>20</v>
      </c>
      <c r="H572">
        <v>2725</v>
      </c>
      <c r="I572">
        <f t="shared" si="36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3"/>
        <v>94.142857142857139</v>
      </c>
      <c r="G573" t="s">
        <v>14</v>
      </c>
      <c r="H573">
        <v>35</v>
      </c>
      <c r="I573">
        <f t="shared" si="36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3"/>
        <v>54.400000000000006</v>
      </c>
      <c r="G574" t="s">
        <v>74</v>
      </c>
      <c r="H574">
        <v>94</v>
      </c>
      <c r="I574">
        <f t="shared" si="36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3"/>
        <v>111.88059701492537</v>
      </c>
      <c r="G575" t="s">
        <v>20</v>
      </c>
      <c r="H575">
        <v>300</v>
      </c>
      <c r="I575">
        <f t="shared" si="36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3"/>
        <v>369.14814814814815</v>
      </c>
      <c r="G576" t="s">
        <v>20</v>
      </c>
      <c r="H576">
        <v>144</v>
      </c>
      <c r="I576">
        <f t="shared" si="36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3"/>
        <v>62.930372148859547</v>
      </c>
      <c r="G577" t="s">
        <v>14</v>
      </c>
      <c r="H577">
        <v>558</v>
      </c>
      <c r="I577">
        <f t="shared" si="36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ref="F578:F641" si="37">(E578/D578)*100</f>
        <v>64.927835051546396</v>
      </c>
      <c r="G578" t="s">
        <v>14</v>
      </c>
      <c r="H578">
        <v>64</v>
      </c>
      <c r="I578">
        <f t="shared" si="36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37"/>
        <v>18.853658536585368</v>
      </c>
      <c r="G579" t="s">
        <v>74</v>
      </c>
      <c r="H579">
        <v>37</v>
      </c>
      <c r="I579">
        <f t="shared" si="36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7"/>
        <v>16.754404145077721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7"/>
        <v>101.11290322580646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7"/>
        <v>341.5022831050228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7"/>
        <v>64.016666666666666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7"/>
        <v>52.080459770114942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7"/>
        <v>322.40211640211641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7"/>
        <v>119.50810185185186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7"/>
        <v>146.79775280898878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7"/>
        <v>950.57142857142856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7"/>
        <v>72.893617021276597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7"/>
        <v>79.008248730964468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7"/>
        <v>64.721518987341781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7"/>
        <v>82.028169014084511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7"/>
        <v>1037.6666666666667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7"/>
        <v>12.910076530612244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7"/>
        <v>154.84210526315789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7"/>
        <v>7.0991735537190088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7"/>
        <v>208.52773826458036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7"/>
        <v>99.683544303797461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7"/>
        <v>201.59756097560978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7"/>
        <v>162.09032258064516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7"/>
        <v>3.6436208125445471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7"/>
        <v>206.63492063492063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7"/>
        <v>128.23628691983123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7"/>
        <v>119.66037735849055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7"/>
        <v>170.73055242390078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7"/>
        <v>187.21212121212122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7"/>
        <v>188.38235294117646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7"/>
        <v>131.29869186046511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7"/>
        <v>283.97435897435901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7"/>
        <v>120.41999999999999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7"/>
        <v>419.0560747663551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7"/>
        <v>13.853658536585368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7"/>
        <v>139.43548387096774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7"/>
        <v>155.49056603773585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7"/>
        <v>170.44705882352943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7"/>
        <v>189.515625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7"/>
        <v>249.71428571428572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7"/>
        <v>48.860523665659613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7"/>
        <v>28.461970393057683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7"/>
        <v>268.02325581395348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7"/>
        <v>619.80078125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7"/>
        <v>3.1301587301587301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7"/>
        <v>159.92152704135739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7"/>
        <v>279.39215686274508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7"/>
        <v>77.373333333333335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7"/>
        <v>206.32812500000003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7"/>
        <v>694.25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7"/>
        <v>151.78947368421052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7"/>
        <v>64.58207217694995</v>
      </c>
      <c r="G631" t="s">
        <v>14</v>
      </c>
      <c r="H631">
        <v>750</v>
      </c>
      <c r="I631">
        <f t="shared" ref="I631:I694" si="40">E631/H631</f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7"/>
        <v>62.873684210526314</v>
      </c>
      <c r="G632" t="s">
        <v>74</v>
      </c>
      <c r="H632">
        <v>87</v>
      </c>
      <c r="I632">
        <f t="shared" si="40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7"/>
        <v>310.39864864864865</v>
      </c>
      <c r="G633" t="s">
        <v>20</v>
      </c>
      <c r="H633">
        <v>3063</v>
      </c>
      <c r="I633">
        <f t="shared" si="40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7"/>
        <v>42.859916782246884</v>
      </c>
      <c r="G634" t="s">
        <v>47</v>
      </c>
      <c r="H634">
        <v>278</v>
      </c>
      <c r="I634">
        <f t="shared" si="40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7"/>
        <v>83.119402985074629</v>
      </c>
      <c r="G635" t="s">
        <v>14</v>
      </c>
      <c r="H635">
        <v>105</v>
      </c>
      <c r="I635">
        <f t="shared" si="40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7"/>
        <v>78.531302876480552</v>
      </c>
      <c r="G636" t="s">
        <v>74</v>
      </c>
      <c r="H636">
        <v>1658</v>
      </c>
      <c r="I636">
        <f t="shared" si="40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7"/>
        <v>114.09352517985612</v>
      </c>
      <c r="G637" t="s">
        <v>20</v>
      </c>
      <c r="H637">
        <v>2266</v>
      </c>
      <c r="I637">
        <f t="shared" si="40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7"/>
        <v>64.537683358624179</v>
      </c>
      <c r="G638" t="s">
        <v>14</v>
      </c>
      <c r="H638">
        <v>2604</v>
      </c>
      <c r="I638">
        <f t="shared" si="40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7"/>
        <v>79.411764705882348</v>
      </c>
      <c r="G639" t="s">
        <v>14</v>
      </c>
      <c r="H639">
        <v>65</v>
      </c>
      <c r="I639">
        <f t="shared" si="40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7"/>
        <v>11.419117647058824</v>
      </c>
      <c r="G640" t="s">
        <v>14</v>
      </c>
      <c r="H640">
        <v>94</v>
      </c>
      <c r="I640">
        <f t="shared" si="40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7"/>
        <v>56.186046511627907</v>
      </c>
      <c r="G641" t="s">
        <v>47</v>
      </c>
      <c r="H641">
        <v>45</v>
      </c>
      <c r="I641">
        <f t="shared" si="40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ref="F642:F705" si="41">(E642/D642)*100</f>
        <v>16.501669449081803</v>
      </c>
      <c r="G642" t="s">
        <v>14</v>
      </c>
      <c r="H642">
        <v>257</v>
      </c>
      <c r="I642">
        <f t="shared" si="40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41"/>
        <v>119.96808510638297</v>
      </c>
      <c r="G643" t="s">
        <v>20</v>
      </c>
      <c r="H643">
        <v>194</v>
      </c>
      <c r="I643">
        <f t="shared" si="40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1"/>
        <v>145.45652173913044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1"/>
        <v>221.38255033557047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1"/>
        <v>48.396694214876035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1"/>
        <v>92.911504424778755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1"/>
        <v>88.599797365754824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1"/>
        <v>41.4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1"/>
        <v>63.056795131845846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1"/>
        <v>48.482333607230892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1"/>
        <v>88.47941026944585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1"/>
        <v>126.84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1"/>
        <v>2338.833333333333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1"/>
        <v>508.38857142857148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1"/>
        <v>191.47826086956522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1"/>
        <v>42.127533783783782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1"/>
        <v>8.24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1"/>
        <v>60.064638783269963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1"/>
        <v>47.232808616404313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1"/>
        <v>81.736263736263737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1"/>
        <v>54.187265917603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1"/>
        <v>97.868131868131869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1"/>
        <v>77.239999999999995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1"/>
        <v>33.464735516372798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1"/>
        <v>239.58823529411765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1"/>
        <v>64.032258064516128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1"/>
        <v>176.15942028985506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1"/>
        <v>20.33818181818182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1"/>
        <v>358.64754098360658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1"/>
        <v>468.85802469135803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1"/>
        <v>122.05635245901641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1"/>
        <v>55.931783729156137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1"/>
        <v>43.660714285714285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1"/>
        <v>33.53837141183363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1"/>
        <v>122.97938144329896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1"/>
        <v>189.74959871589084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1"/>
        <v>83.622641509433961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1"/>
        <v>17.968844221105527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1"/>
        <v>1036.5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1"/>
        <v>97.405219780219781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1"/>
        <v>86.386203150461711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1"/>
        <v>150.16666666666666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1"/>
        <v>358.43478260869563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1"/>
        <v>542.85714285714289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1"/>
        <v>67.500714285714281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1"/>
        <v>191.74666666666667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1"/>
        <v>429.27586206896552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1"/>
        <v>100.65753424657535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1"/>
        <v>226.61111111111109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1"/>
        <v>142.38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1"/>
        <v>90.633333333333326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1"/>
        <v>63.966740576496676</v>
      </c>
      <c r="G695" t="s">
        <v>14</v>
      </c>
      <c r="H695">
        <v>1748</v>
      </c>
      <c r="I695">
        <f t="shared" ref="I695:I758" si="44">E695/H695</f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1"/>
        <v>84.131868131868131</v>
      </c>
      <c r="G696" t="s">
        <v>14</v>
      </c>
      <c r="H696">
        <v>79</v>
      </c>
      <c r="I696">
        <f t="shared" si="44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1"/>
        <v>133.93478260869566</v>
      </c>
      <c r="G697" t="s">
        <v>20</v>
      </c>
      <c r="H697">
        <v>196</v>
      </c>
      <c r="I697">
        <f t="shared" si="44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1"/>
        <v>59.042047531992694</v>
      </c>
      <c r="G698" t="s">
        <v>14</v>
      </c>
      <c r="H698">
        <v>889</v>
      </c>
      <c r="I698">
        <f t="shared" si="44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1"/>
        <v>152.80062063615205</v>
      </c>
      <c r="G699" t="s">
        <v>20</v>
      </c>
      <c r="H699">
        <v>7295</v>
      </c>
      <c r="I699">
        <f t="shared" si="44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1"/>
        <v>446.69121140142522</v>
      </c>
      <c r="G700" t="s">
        <v>20</v>
      </c>
      <c r="H700">
        <v>2893</v>
      </c>
      <c r="I700">
        <f t="shared" si="44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1"/>
        <v>84.391891891891888</v>
      </c>
      <c r="G701" t="s">
        <v>14</v>
      </c>
      <c r="H701">
        <v>56</v>
      </c>
      <c r="I701">
        <f t="shared" si="44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4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1"/>
        <v>175.02692307692308</v>
      </c>
      <c r="G703" t="s">
        <v>20</v>
      </c>
      <c r="H703">
        <v>820</v>
      </c>
      <c r="I703">
        <f t="shared" si="44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1"/>
        <v>54.137931034482754</v>
      </c>
      <c r="G704" t="s">
        <v>14</v>
      </c>
      <c r="H704">
        <v>83</v>
      </c>
      <c r="I704">
        <f t="shared" si="44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1"/>
        <v>311.87381703470032</v>
      </c>
      <c r="G705" t="s">
        <v>20</v>
      </c>
      <c r="H705">
        <v>2038</v>
      </c>
      <c r="I705">
        <f t="shared" si="44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ref="F706:F769" si="45">(E706/D706)*100</f>
        <v>122.78160919540231</v>
      </c>
      <c r="G706" t="s">
        <v>20</v>
      </c>
      <c r="H706">
        <v>116</v>
      </c>
      <c r="I706">
        <f t="shared" si="44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45"/>
        <v>99.026517383618156</v>
      </c>
      <c r="G707" t="s">
        <v>14</v>
      </c>
      <c r="H707">
        <v>2025</v>
      </c>
      <c r="I707">
        <f t="shared" si="44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5"/>
        <v>127.84686346863469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5"/>
        <v>158.61643835616439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5"/>
        <v>707.05882352941171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5"/>
        <v>142.38775510204081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5"/>
        <v>147.86046511627907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5"/>
        <v>20.322580645161288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5"/>
        <v>1840.625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5"/>
        <v>161.94202898550725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5"/>
        <v>472.82077922077923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5"/>
        <v>24.466101694915253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5"/>
        <v>517.65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5"/>
        <v>247.64285714285714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5"/>
        <v>100.20481927710843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5"/>
        <v>37.091954022988503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5"/>
        <v>4.392394822006473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5"/>
        <v>156.50721649484535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5"/>
        <v>270.40816326530609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5"/>
        <v>134.05952380952382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5"/>
        <v>50.398033126293996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5"/>
        <v>88.815837937384899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5"/>
        <v>17.5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5"/>
        <v>185.66071428571428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5"/>
        <v>412.6631944444444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5"/>
        <v>90.25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5"/>
        <v>91.984615384615381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5"/>
        <v>527.00632911392404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5"/>
        <v>319.14285714285711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5"/>
        <v>354.18867924528303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5"/>
        <v>32.896103896103895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5"/>
        <v>135.8918918918919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5"/>
        <v>2.0843373493975905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5"/>
        <v>30.037735849056602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5"/>
        <v>1179.1666666666665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5"/>
        <v>1126.0833333333335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5"/>
        <v>12.923076923076923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5"/>
        <v>30.304347826086957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5"/>
        <v>212.50896057347671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5"/>
        <v>228.85714285714286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5"/>
        <v>34.959979476654695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5"/>
        <v>157.29069767441862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5"/>
        <v>232.30555555555554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5"/>
        <v>92.448275862068968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5"/>
        <v>256.70212765957444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5"/>
        <v>168.47017045454547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5"/>
        <v>166.57777777777778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5"/>
        <v>772.07692307692309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5"/>
        <v>406.85714285714283</v>
      </c>
      <c r="G759" t="s">
        <v>20</v>
      </c>
      <c r="H759">
        <v>114</v>
      </c>
      <c r="I759">
        <f t="shared" ref="I759:I822" si="48">E759/H759</f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5"/>
        <v>564.20608108108115</v>
      </c>
      <c r="G760" t="s">
        <v>20</v>
      </c>
      <c r="H760">
        <v>1518</v>
      </c>
      <c r="I760">
        <f t="shared" si="48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5"/>
        <v>68.426865671641792</v>
      </c>
      <c r="G761" t="s">
        <v>14</v>
      </c>
      <c r="H761">
        <v>1274</v>
      </c>
      <c r="I761">
        <f t="shared" si="48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5"/>
        <v>34.351966873706004</v>
      </c>
      <c r="G762" t="s">
        <v>14</v>
      </c>
      <c r="H762">
        <v>210</v>
      </c>
      <c r="I762">
        <f t="shared" si="48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5"/>
        <v>655.4545454545455</v>
      </c>
      <c r="G763" t="s">
        <v>20</v>
      </c>
      <c r="H763">
        <v>166</v>
      </c>
      <c r="I763">
        <f t="shared" si="48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5"/>
        <v>177.25714285714284</v>
      </c>
      <c r="G764" t="s">
        <v>20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5"/>
        <v>113.17857142857144</v>
      </c>
      <c r="G765" t="s">
        <v>20</v>
      </c>
      <c r="H765">
        <v>235</v>
      </c>
      <c r="I765">
        <f t="shared" si="48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5"/>
        <v>728.18181818181824</v>
      </c>
      <c r="G766" t="s">
        <v>20</v>
      </c>
      <c r="H766">
        <v>148</v>
      </c>
      <c r="I766">
        <f t="shared" si="48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5"/>
        <v>208.33333333333334</v>
      </c>
      <c r="G767" t="s">
        <v>20</v>
      </c>
      <c r="H767">
        <v>198</v>
      </c>
      <c r="I767">
        <f t="shared" si="48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5"/>
        <v>31.171232876712331</v>
      </c>
      <c r="G768" t="s">
        <v>14</v>
      </c>
      <c r="H768">
        <v>248</v>
      </c>
      <c r="I768">
        <f t="shared" si="48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5"/>
        <v>56.967078189300416</v>
      </c>
      <c r="G769" t="s">
        <v>14</v>
      </c>
      <c r="H769">
        <v>513</v>
      </c>
      <c r="I769">
        <f t="shared" si="48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ref="F770:F833" si="49">(E770/D770)*100</f>
        <v>231</v>
      </c>
      <c r="G770" t="s">
        <v>20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49"/>
        <v>86.867834394904463</v>
      </c>
      <c r="G771" t="s">
        <v>14</v>
      </c>
      <c r="H771">
        <v>3410</v>
      </c>
      <c r="I771">
        <f t="shared" si="48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9"/>
        <v>270.74418604651163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9"/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9"/>
        <v>113.3596256684492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9"/>
        <v>190.55555555555554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9"/>
        <v>135.5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9"/>
        <v>10.297872340425531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9"/>
        <v>65.544223826714799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9"/>
        <v>49.026652452025587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9"/>
        <v>787.92307692307691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9"/>
        <v>80.306347746090154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9"/>
        <v>106.29411764705883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9"/>
        <v>50.735632183908038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9"/>
        <v>215.31372549019611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9"/>
        <v>141.22972972972974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9"/>
        <v>115.33745781777279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9"/>
        <v>193.11940298507463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9"/>
        <v>729.73333333333335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9"/>
        <v>99.66339869281046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9"/>
        <v>88.166666666666671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9"/>
        <v>37.233333333333334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9"/>
        <v>30.540075309306079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9"/>
        <v>25.714285714285712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9"/>
        <v>1185.909090909091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9"/>
        <v>125.39393939393939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9"/>
        <v>14.394366197183098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9"/>
        <v>54.807692307692314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9"/>
        <v>109.63157894736841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9"/>
        <v>188.47058823529412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9"/>
        <v>87.008284023668637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9"/>
        <v>202.9130434782609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9"/>
        <v>197.03225806451613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9"/>
        <v>268.73076923076923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9"/>
        <v>50.845360824742272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9"/>
        <v>1180.2857142857142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9"/>
        <v>30.44230769230769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9"/>
        <v>62.880681818181813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9"/>
        <v>193.125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9"/>
        <v>77.102702702702715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9"/>
        <v>225.52763819095478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9"/>
        <v>239.40625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9"/>
        <v>92.1875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9"/>
        <v>130.23333333333335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9"/>
        <v>615.21739130434787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9"/>
        <v>368.79532163742692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9"/>
        <v>1094.8571428571429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9"/>
        <v>50.662921348314605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9"/>
        <v>800.6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9"/>
        <v>291.28571428571428</v>
      </c>
      <c r="G823" t="s">
        <v>20</v>
      </c>
      <c r="H823">
        <v>210</v>
      </c>
      <c r="I823">
        <f t="shared" ref="I823:I886" si="52">E823/H823</f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9"/>
        <v>349.9666666666667</v>
      </c>
      <c r="G824" t="s">
        <v>20</v>
      </c>
      <c r="H824">
        <v>2100</v>
      </c>
      <c r="I824">
        <f t="shared" si="52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9"/>
        <v>357.07317073170731</v>
      </c>
      <c r="G825" t="s">
        <v>20</v>
      </c>
      <c r="H825">
        <v>252</v>
      </c>
      <c r="I825">
        <f t="shared" si="52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9"/>
        <v>126.48941176470588</v>
      </c>
      <c r="G826" t="s">
        <v>20</v>
      </c>
      <c r="H826">
        <v>1280</v>
      </c>
      <c r="I826">
        <f t="shared" si="52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9"/>
        <v>387.5</v>
      </c>
      <c r="G827" t="s">
        <v>20</v>
      </c>
      <c r="H827">
        <v>157</v>
      </c>
      <c r="I827">
        <f t="shared" si="52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9"/>
        <v>457.03571428571428</v>
      </c>
      <c r="G828" t="s">
        <v>20</v>
      </c>
      <c r="H828">
        <v>194</v>
      </c>
      <c r="I828">
        <f t="shared" si="52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9"/>
        <v>266.69565217391306</v>
      </c>
      <c r="G829" t="s">
        <v>20</v>
      </c>
      <c r="H829">
        <v>82</v>
      </c>
      <c r="I829">
        <f t="shared" si="52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2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9"/>
        <v>51.34375</v>
      </c>
      <c r="G831" t="s">
        <v>14</v>
      </c>
      <c r="H831">
        <v>154</v>
      </c>
      <c r="I831">
        <f t="shared" si="52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9"/>
        <v>1.1710526315789473</v>
      </c>
      <c r="G832" t="s">
        <v>14</v>
      </c>
      <c r="H832">
        <v>22</v>
      </c>
      <c r="I832">
        <f t="shared" si="52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9"/>
        <v>108.97734294541709</v>
      </c>
      <c r="G833" t="s">
        <v>20</v>
      </c>
      <c r="H833">
        <v>4233</v>
      </c>
      <c r="I833">
        <f t="shared" si="52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ref="F834:F897" si="53">(E834/D834)*100</f>
        <v>315.17592592592592</v>
      </c>
      <c r="G834" t="s">
        <v>20</v>
      </c>
      <c r="H834">
        <v>1297</v>
      </c>
      <c r="I834">
        <f t="shared" si="52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53"/>
        <v>157.69117647058823</v>
      </c>
      <c r="G835" t="s">
        <v>20</v>
      </c>
      <c r="H835">
        <v>165</v>
      </c>
      <c r="I835">
        <f t="shared" si="52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3"/>
        <v>153.8082191780822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3"/>
        <v>89.738979118329468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3"/>
        <v>75.135802469135797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3"/>
        <v>852.88135593220341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3"/>
        <v>138.90625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3"/>
        <v>190.18181818181819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3"/>
        <v>100.24333619948409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3"/>
        <v>142.75824175824175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3"/>
        <v>563.13333333333333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3"/>
        <v>30.715909090909086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3"/>
        <v>99.39772727272728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3"/>
        <v>197.54935622317598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3"/>
        <v>508.5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3"/>
        <v>237.74468085106383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3"/>
        <v>338.46875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3"/>
        <v>133.08955223880596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3"/>
        <v>207.79999999999998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3"/>
        <v>51.122448979591837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3"/>
        <v>652.05847953216369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3"/>
        <v>113.63099415204678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3"/>
        <v>102.37606837606839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3"/>
        <v>356.58333333333331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3"/>
        <v>139.86792452830187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3"/>
        <v>69.45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3"/>
        <v>35.534246575342465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3"/>
        <v>251.65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3"/>
        <v>105.87500000000001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3"/>
        <v>187.42857142857144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3"/>
        <v>386.78571428571428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3"/>
        <v>347.07142857142856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3"/>
        <v>185.82098765432099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3"/>
        <v>43.241247264770237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3"/>
        <v>162.4375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3"/>
        <v>184.84285714285716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3"/>
        <v>23.703520691785052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3"/>
        <v>89.870129870129873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3"/>
        <v>272.6041958041958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3"/>
        <v>170.04255319148936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3"/>
        <v>188.28503562945369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3"/>
        <v>346.93532338308455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3"/>
        <v>69.177215189873422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3"/>
        <v>25.433734939759034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3"/>
        <v>77.400977995110026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3"/>
        <v>37.481481481481481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3"/>
        <v>543.79999999999995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3"/>
        <v>228.52189349112427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3"/>
        <v>38.948339483394832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3"/>
        <v>237.91176470588232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3"/>
        <v>64.036299765807954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3"/>
        <v>118.27777777777777</v>
      </c>
      <c r="G887" t="s">
        <v>20</v>
      </c>
      <c r="H887">
        <v>52</v>
      </c>
      <c r="I887">
        <f t="shared" ref="I887:I950" si="56">E887/H887</f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3"/>
        <v>84.824037184594957</v>
      </c>
      <c r="G888" t="s">
        <v>14</v>
      </c>
      <c r="H888">
        <v>1825</v>
      </c>
      <c r="I888">
        <f t="shared" si="56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3"/>
        <v>29.346153846153843</v>
      </c>
      <c r="G889" t="s">
        <v>14</v>
      </c>
      <c r="H889">
        <v>31</v>
      </c>
      <c r="I889">
        <f t="shared" si="56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3"/>
        <v>209.89655172413794</v>
      </c>
      <c r="G890" t="s">
        <v>20</v>
      </c>
      <c r="H890">
        <v>290</v>
      </c>
      <c r="I890">
        <f t="shared" si="56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3"/>
        <v>169.78571428571431</v>
      </c>
      <c r="G891" t="s">
        <v>20</v>
      </c>
      <c r="H891">
        <v>122</v>
      </c>
      <c r="I891">
        <f t="shared" si="56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3"/>
        <v>115.95907738095239</v>
      </c>
      <c r="G892" t="s">
        <v>20</v>
      </c>
      <c r="H892">
        <v>1470</v>
      </c>
      <c r="I892">
        <f t="shared" si="56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3"/>
        <v>258.59999999999997</v>
      </c>
      <c r="G893" t="s">
        <v>20</v>
      </c>
      <c r="H893">
        <v>165</v>
      </c>
      <c r="I893">
        <f t="shared" si="56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3"/>
        <v>230.58333333333331</v>
      </c>
      <c r="G894" t="s">
        <v>20</v>
      </c>
      <c r="H894">
        <v>182</v>
      </c>
      <c r="I894">
        <f t="shared" si="56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3"/>
        <v>128.21428571428572</v>
      </c>
      <c r="G895" t="s">
        <v>20</v>
      </c>
      <c r="H895">
        <v>199</v>
      </c>
      <c r="I895">
        <f t="shared" si="56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3"/>
        <v>188.70588235294116</v>
      </c>
      <c r="G896" t="s">
        <v>20</v>
      </c>
      <c r="H896">
        <v>56</v>
      </c>
      <c r="I896">
        <f t="shared" si="56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3"/>
        <v>6.9511889862327907</v>
      </c>
      <c r="G897" t="s">
        <v>14</v>
      </c>
      <c r="H897">
        <v>107</v>
      </c>
      <c r="I897">
        <f t="shared" si="56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ref="F898:F961" si="57">(E898/D898)*100</f>
        <v>774.43434343434342</v>
      </c>
      <c r="G898" t="s">
        <v>20</v>
      </c>
      <c r="H898">
        <v>1460</v>
      </c>
      <c r="I898">
        <f t="shared" si="56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57"/>
        <v>27.693181818181817</v>
      </c>
      <c r="G899" t="s">
        <v>14</v>
      </c>
      <c r="H899">
        <v>27</v>
      </c>
      <c r="I899">
        <f t="shared" si="56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7"/>
        <v>52.479620323841424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7"/>
        <v>407.09677419354841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7"/>
        <v>156.17857142857144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7"/>
        <v>252.42857142857144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7"/>
        <v>1.729268292682927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7"/>
        <v>12.230769230769232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7"/>
        <v>163.98734177215189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7"/>
        <v>162.98181818181817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7"/>
        <v>20.252747252747252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7"/>
        <v>319.24083769633506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7"/>
        <v>478.94444444444446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7"/>
        <v>19.556634304207122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7"/>
        <v>198.94827586206895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7"/>
        <v>50.621082621082621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7"/>
        <v>57.4375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7"/>
        <v>155.62827640984909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7"/>
        <v>36.297297297297298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7"/>
        <v>58.25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7"/>
        <v>237.39473684210526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7"/>
        <v>58.75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7"/>
        <v>182.56603773584905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7"/>
        <v>0.75436408977556113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7"/>
        <v>175.95330739299609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7"/>
        <v>237.88235294117646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7"/>
        <v>488.05076142131981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7"/>
        <v>224.06666666666669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7"/>
        <v>18.126436781609197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7"/>
        <v>45.847222222222221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7"/>
        <v>117.31541218637993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7"/>
        <v>217.30909090909088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7"/>
        <v>112.28571428571428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7"/>
        <v>72.51898734177216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7"/>
        <v>212.30434782608697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7"/>
        <v>239.74657534246577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7"/>
        <v>181.93548387096774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7"/>
        <v>164.13114754098362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7"/>
        <v>1.6375968992248062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7"/>
        <v>49.64385964912281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7"/>
        <v>109.70652173913042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7"/>
        <v>49.217948717948715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7"/>
        <v>62.232323232323225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7"/>
        <v>13.05813953488372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7"/>
        <v>64.635416666666671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7"/>
        <v>159.58666666666667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7"/>
        <v>81.42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7"/>
        <v>32.444767441860463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7"/>
        <v>9.9141184124918666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7"/>
        <v>26.694444444444443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7"/>
        <v>62.957446808510639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7"/>
        <v>161.35593220338984</v>
      </c>
      <c r="G951" t="s">
        <v>20</v>
      </c>
      <c r="H951">
        <v>203</v>
      </c>
      <c r="I951">
        <f t="shared" ref="I951:I1001" si="60">E951/H951</f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60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7"/>
        <v>1096.9379310344827</v>
      </c>
      <c r="G953" t="s">
        <v>20</v>
      </c>
      <c r="H953">
        <v>1559</v>
      </c>
      <c r="I953">
        <f t="shared" si="60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7"/>
        <v>70.094158075601371</v>
      </c>
      <c r="G954" t="s">
        <v>74</v>
      </c>
      <c r="H954">
        <v>2266</v>
      </c>
      <c r="I954">
        <f t="shared" si="60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60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7"/>
        <v>367.0985915492958</v>
      </c>
      <c r="G956" t="s">
        <v>20</v>
      </c>
      <c r="H956">
        <v>1548</v>
      </c>
      <c r="I956">
        <f t="shared" si="60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60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7"/>
        <v>19.028784648187631</v>
      </c>
      <c r="G958" t="s">
        <v>14</v>
      </c>
      <c r="H958">
        <v>830</v>
      </c>
      <c r="I958">
        <f t="shared" si="60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7"/>
        <v>126.87755102040816</v>
      </c>
      <c r="G959" t="s">
        <v>20</v>
      </c>
      <c r="H959">
        <v>131</v>
      </c>
      <c r="I959">
        <f t="shared" si="60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7"/>
        <v>734.63636363636363</v>
      </c>
      <c r="G960" t="s">
        <v>20</v>
      </c>
      <c r="H960">
        <v>112</v>
      </c>
      <c r="I960">
        <f t="shared" si="60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7"/>
        <v>4.5731034482758623</v>
      </c>
      <c r="G961" t="s">
        <v>14</v>
      </c>
      <c r="H961">
        <v>130</v>
      </c>
      <c r="I961">
        <f t="shared" si="60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ref="F962:F1001" si="61">(E962/D962)*100</f>
        <v>85.054545454545448</v>
      </c>
      <c r="G962" t="s">
        <v>14</v>
      </c>
      <c r="H962">
        <v>55</v>
      </c>
      <c r="I962">
        <f t="shared" si="60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61"/>
        <v>119.29824561403508</v>
      </c>
      <c r="G963" t="s">
        <v>20</v>
      </c>
      <c r="H963">
        <v>155</v>
      </c>
      <c r="I963">
        <f t="shared" si="60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1"/>
        <v>296.02777777777777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1"/>
        <v>84.694915254237287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1"/>
        <v>355.7837837837838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1"/>
        <v>386.40909090909093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1"/>
        <v>792.23529411764707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1"/>
        <v>137.03393665158373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1"/>
        <v>338.20833333333337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1"/>
        <v>108.22784810126582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1"/>
        <v>60.757639620653315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1"/>
        <v>27.725490196078432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1"/>
        <v>228.3934426229508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1"/>
        <v>21.615194054500414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1"/>
        <v>373.875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1"/>
        <v>154.92592592592592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1"/>
        <v>322.14999999999998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1"/>
        <v>73.957142857142856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1"/>
        <v>864.1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1"/>
        <v>143.26245847176079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1"/>
        <v>40.281762295081968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1"/>
        <v>178.22388059701493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1"/>
        <v>84.930555555555557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1"/>
        <v>145.93648334624322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1"/>
        <v>152.46153846153848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1"/>
        <v>67.129542790152414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1"/>
        <v>40.307692307692307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1"/>
        <v>216.79032258064518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1"/>
        <v>52.117021276595743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1"/>
        <v>499.58333333333337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1"/>
        <v>87.679487179487182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1"/>
        <v>113.17346938775511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1"/>
        <v>426.54838709677421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1"/>
        <v>77.632653061224488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1"/>
        <v>52.496810772501767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1"/>
        <v>157.46762589928059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1"/>
        <v>72.939393939393938</v>
      </c>
      <c r="G998" t="s">
        <v>14</v>
      </c>
      <c r="H998">
        <v>112</v>
      </c>
      <c r="I998">
        <f t="shared" si="60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1"/>
        <v>60.565789473684205</v>
      </c>
      <c r="G999" t="s">
        <v>74</v>
      </c>
      <c r="H999">
        <v>139</v>
      </c>
      <c r="I999">
        <f t="shared" si="60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1"/>
        <v>56.791291291291287</v>
      </c>
      <c r="G1000" t="s">
        <v>14</v>
      </c>
      <c r="H1000">
        <v>374</v>
      </c>
      <c r="I1000">
        <f t="shared" si="60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1"/>
        <v>56.542754275427541</v>
      </c>
      <c r="G1001" t="s">
        <v>74</v>
      </c>
      <c r="H1001">
        <v>1122</v>
      </c>
      <c r="I1001">
        <f t="shared" si="60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ntainsText" dxfId="7" priority="4" operator="containsText" text="live">
      <formula>NOT(ISERROR(SEARCH("live",G1)))</formula>
    </cfRule>
    <cfRule type="containsText" dxfId="6" priority="5" operator="containsText" text="canceled">
      <formula>NOT(ISERROR(SEARCH("canceled",G1)))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  <cfRule type="colorScale" priority="3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9BE2-E1AC-8747-BC77-40F5F29EE14A}">
  <dimension ref="A1:F14"/>
  <sheetViews>
    <sheetView topLeftCell="B1" zoomScale="160" zoomScaleNormal="160" workbookViewId="0">
      <selection activeCell="D9" sqref="D9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2070</v>
      </c>
      <c r="B3" s="5" t="s">
        <v>2067</v>
      </c>
    </row>
    <row r="4" spans="1:6" x14ac:dyDescent="0.2">
      <c r="A4" s="5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D451-1699-B54F-B3F3-EF809A974B95}">
  <dimension ref="A1:F30"/>
  <sheetViews>
    <sheetView zoomScaleNormal="70" workbookViewId="0">
      <selection activeCell="D11" sqref="D11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2030</v>
      </c>
      <c r="B2" t="s">
        <v>2066</v>
      </c>
    </row>
    <row r="4" spans="1:6" x14ac:dyDescent="0.2">
      <c r="A4" s="5" t="s">
        <v>2071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CAEC-3388-9144-9C62-57569C8CB63C}">
  <dimension ref="A1:E18"/>
  <sheetViews>
    <sheetView workbookViewId="0">
      <selection activeCell="K2" sqref="K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2030</v>
      </c>
      <c r="B1" t="s">
        <v>2066</v>
      </c>
    </row>
    <row r="2" spans="1:5" x14ac:dyDescent="0.2">
      <c r="A2" s="5" t="s">
        <v>2106</v>
      </c>
      <c r="B2" t="s">
        <v>2066</v>
      </c>
    </row>
    <row r="4" spans="1:5" x14ac:dyDescent="0.2">
      <c r="A4" s="5" t="s">
        <v>2107</v>
      </c>
      <c r="B4" s="5" t="s">
        <v>2067</v>
      </c>
    </row>
    <row r="5" spans="1:5" x14ac:dyDescent="0.2">
      <c r="A5" s="5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2" t="s">
        <v>2094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2" t="s">
        <v>2095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2" t="s">
        <v>2096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2" t="s">
        <v>2097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2" t="s">
        <v>2098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2" t="s">
        <v>2099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2" t="s">
        <v>2100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2" t="s">
        <v>2101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2" t="s">
        <v>2102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2" t="s">
        <v>2103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2" t="s">
        <v>2104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2" t="s">
        <v>2105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2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8F09-10C8-A14E-AB51-C96350EE80C4}">
  <dimension ref="A1:H13"/>
  <sheetViews>
    <sheetView zoomScale="140" zoomScaleNormal="140" workbookViewId="0">
      <selection activeCell="K17" sqref="K17"/>
    </sheetView>
  </sheetViews>
  <sheetFormatPr baseColWidth="10" defaultRowHeight="16" x14ac:dyDescent="0.2"/>
  <cols>
    <col min="1" max="1" width="16.33203125" customWidth="1"/>
    <col min="2" max="2" width="16.6640625" customWidth="1"/>
    <col min="3" max="3" width="15" customWidth="1"/>
    <col min="4" max="4" width="16.33203125" customWidth="1"/>
    <col min="5" max="5" width="12.5" customWidth="1"/>
    <col min="6" max="6" width="16.1640625" style="10" customWidth="1"/>
    <col min="7" max="7" width="12.83203125" style="10" customWidth="1"/>
    <col min="8" max="8" width="15.83203125" style="10" customWidth="1"/>
  </cols>
  <sheetData>
    <row r="1" spans="1:8" s="9" customFormat="1" x14ac:dyDescent="0.2">
      <c r="A1" s="9" t="s">
        <v>2074</v>
      </c>
      <c r="B1" s="9" t="s">
        <v>2087</v>
      </c>
      <c r="C1" s="9" t="s">
        <v>2088</v>
      </c>
      <c r="D1" s="9" t="s">
        <v>2089</v>
      </c>
      <c r="E1" s="9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2075</v>
      </c>
      <c r="B2">
        <f>COUNTIFS(outcomes,"=successful",goal,"&lt;1000")</f>
        <v>30</v>
      </c>
      <c r="C2">
        <f>COUNTIFS(outcomes,"=failed",goal,"&lt;1000")</f>
        <v>20</v>
      </c>
      <c r="D2">
        <f>COUNTIFS(outcomes,"=canceled",goal,"&lt;1000")</f>
        <v>1</v>
      </c>
      <c r="E2">
        <f>SUM(B2:D2)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">
      <c r="A3" t="s">
        <v>2076</v>
      </c>
      <c r="B3">
        <f>COUNTIFS(outcomes,"=successful",goal, "&gt;=1000",goal,"&lt;5000")</f>
        <v>191</v>
      </c>
      <c r="C3">
        <f>COUNTIFS(outcomes,"=failed",goal, "&gt;=1000",goal,"&lt;5000")</f>
        <v>38</v>
      </c>
      <c r="D3">
        <f>COUNTIFS(outcomes,"=canceled",goal, "&gt;=1000",goal,"&lt;5000")</f>
        <v>2</v>
      </c>
      <c r="E3">
        <f t="shared" ref="E3:E13" si="0">SUM(B3:D3)</f>
        <v>231</v>
      </c>
      <c r="F3" s="10">
        <f t="shared" ref="F3:F13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 x14ac:dyDescent="0.2">
      <c r="A4" t="s">
        <v>2077</v>
      </c>
      <c r="B4">
        <f>COUNTIFS(outcomes,"=successful",goal, "&gt;=5000",goal,"&lt;10000")</f>
        <v>164</v>
      </c>
      <c r="C4">
        <f>COUNTIFS(outcomes,"=failed",goal, "&gt;=5000",goal,"&lt;10000")</f>
        <v>126</v>
      </c>
      <c r="D4">
        <f>COUNTIFS(outcomes,"=canceled",goal, "&gt;=5000",goal,"&lt;10000")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2078</v>
      </c>
      <c r="B5">
        <f>COUNTIFS(outcomes,"=successful",goal, "&gt;=10000",goal,"&lt;15000")</f>
        <v>4</v>
      </c>
      <c r="C5">
        <f>COUNTIFS(outcomes,"=failed",goal, "&gt;=10000",goal,"&lt;15000")</f>
        <v>5</v>
      </c>
      <c r="D5">
        <f>COUNTIFS(outcomes,"=canceled",goal, "&gt;=10000",goal,"&lt;15000")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2079</v>
      </c>
      <c r="B6">
        <f>COUNTIFS(outcomes,"=successful",goal, "&gt;=15000",goal,"&lt;20000")</f>
        <v>10</v>
      </c>
      <c r="C6">
        <f>COUNTIFS(outcomes,"=failed",goal, "&gt;=15000",goal,"&lt;20000")</f>
        <v>0</v>
      </c>
      <c r="D6">
        <f>COUNTIFS(outcomes,"=canceled",goal, "&gt;=15000",goal,"&lt;20000")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2080</v>
      </c>
      <c r="B7">
        <f>COUNTIFS(outcomes,"=successful",goal, "&gt;=20000",goal,"&lt;25000")</f>
        <v>7</v>
      </c>
      <c r="C7">
        <f>COUNTIFS(outcomes,"=failed",goal, "&gt;=20000",goal,"&lt;25000")</f>
        <v>0</v>
      </c>
      <c r="D7">
        <f>COUNTIFS(outcomes,"=canceled",goal, "&gt;=20000",goal,"&lt;25000")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2081</v>
      </c>
      <c r="B8">
        <f>COUNTIFS(outcomes,"=successful",goal, "&gt;=25000",goal,"&lt;30000")</f>
        <v>11</v>
      </c>
      <c r="C8">
        <f>COUNTIFS(outcomes,"=failed",goal, "&gt;=25000",goal,"&lt;30000")</f>
        <v>3</v>
      </c>
      <c r="D8">
        <f>COUNTIFS(outcomes,"=canceled",goal, "&gt;=25000",goal,"&lt;30000")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2082</v>
      </c>
      <c r="B9">
        <f>COUNTIFS(outcomes,"=successful",goal, "&gt;=30000",goal,"&lt;35000")</f>
        <v>7</v>
      </c>
      <c r="C9">
        <f>COUNTIFS(outcomes,"=failed",goal, "&gt;=30000",goal,"&lt;35000")</f>
        <v>0</v>
      </c>
      <c r="D9">
        <f>COUNTIFS(outcomes,"=canceled",goal, "&gt;=30000",goal,"&lt;35000")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2083</v>
      </c>
      <c r="B10">
        <f>COUNTIFS(outcomes,"=successful",goal, "&gt;=35000",goal,"&lt;40000")</f>
        <v>8</v>
      </c>
      <c r="C10">
        <f>COUNTIFS(outcomes,"=failed",goal, "&gt;=35000",goal,"&lt;40000")</f>
        <v>3</v>
      </c>
      <c r="D10">
        <f>COUNTIFS(outcomes,"=canceled",goal, "&gt;=35000",goal,"&lt;40000")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2084</v>
      </c>
      <c r="B11">
        <f>COUNTIFS(outcomes,"=successful",goal, "&gt;=40000",goal,"&lt;45000")</f>
        <v>11</v>
      </c>
      <c r="C11">
        <f>COUNTIFS(outcomes,"=failed",goal, "&gt;=40000",goal,"&lt;45000")</f>
        <v>3</v>
      </c>
      <c r="D11">
        <f>COUNTIFS(outcomes,"=canceled",goal, "&gt;=40000",goal,"&lt;45000")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2085</v>
      </c>
      <c r="B12">
        <f>COUNTIFS(outcomes,"=successful",goal, "&gt;=45000",goal,"&lt;50000")</f>
        <v>8</v>
      </c>
      <c r="C12">
        <f>COUNTIFS(outcomes,"=failed",goal, "&gt;=45000",goal,"&lt;50000")</f>
        <v>3</v>
      </c>
      <c r="D12">
        <f>COUNTIFS(outcomes,"=canceled",goal, "&gt;=45000",goal,"&lt;50000")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2086</v>
      </c>
      <c r="B13">
        <f>COUNTIFS(outcomes,"=successful",goal,"&gt;=50000")</f>
        <v>114</v>
      </c>
      <c r="C13">
        <f>COUNTIFS(outcomes,"=failed",goal,"&gt;=50000")</f>
        <v>163</v>
      </c>
      <c r="D13">
        <f>COUNTIFS(outcomes,"=canceled",goal,"&gt;=50000")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BBD5-B101-1143-BAED-F6F8ECC7DF89}">
  <dimension ref="A1:I566"/>
  <sheetViews>
    <sheetView zoomScaleNormal="100" workbookViewId="0">
      <selection activeCell="L4" sqref="L4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32.83203125" style="9" customWidth="1"/>
    <col min="8" max="8" width="19.1640625" customWidth="1"/>
    <col min="9" max="9" width="23.83203125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s="9" t="s">
        <v>2108</v>
      </c>
      <c r="H1" s="14" t="s">
        <v>2115</v>
      </c>
      <c r="I1" s="14" t="s">
        <v>2116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9" t="s">
        <v>2109</v>
      </c>
      <c r="H2">
        <f>AVERAGE(B$2:B$566)</f>
        <v>851.14690265486729</v>
      </c>
      <c r="I2">
        <f>AVERAGE(E$2:E$365)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9" t="s">
        <v>2110</v>
      </c>
      <c r="H3">
        <f>MEDIAN(B$2:B$566)</f>
        <v>201</v>
      </c>
      <c r="I3">
        <f>MEDIAN(E$2:E$365)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9" t="s">
        <v>2111</v>
      </c>
      <c r="H4">
        <f>MIN(B$2:B$566)</f>
        <v>16</v>
      </c>
      <c r="I4">
        <f>MIN(E$2:E$365)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9" t="s">
        <v>2112</v>
      </c>
      <c r="H5">
        <f>MAX(B$2:B$566)</f>
        <v>7295</v>
      </c>
      <c r="I5">
        <f>MAX(E$2:E$365)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9" t="s">
        <v>2113</v>
      </c>
      <c r="H6">
        <f>_xlfn.VAR.P(B$2:B$566)</f>
        <v>1603373.7324019109</v>
      </c>
      <c r="I6">
        <f>_xlfn.VAR.P(E$2:E$365)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9" t="s">
        <v>2114</v>
      </c>
      <c r="H7">
        <f>_xlfn.STDEV.P(B$2:B$566)</f>
        <v>1266.2439466397898</v>
      </c>
      <c r="I7">
        <f>_xlfn.STDEV.P(E$2:E$365)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B566" xr:uid="{24A83FF5-6794-3344-ACC6-C7DB4D66F93B}">
    <sortState ref="A2:B365">
      <sortCondition ref="A1:A365"/>
    </sortState>
  </autoFilter>
  <conditionalFormatting sqref="A1:A1048576 D1:D1048576">
    <cfRule type="containsText" dxfId="3" priority="5" operator="containsText" text="live">
      <formula>NOT(ISERROR(SEARCH("live",A1)))</formula>
    </cfRule>
    <cfRule type="containsText" dxfId="2" priority="6" operator="containsText" text="canceled">
      <formula>NOT(ISERROR(SEARCH("canceled",A1)))</formula>
    </cfRule>
    <cfRule type="containsText" dxfId="1" priority="7" operator="containsText" text="successful">
      <formula>NOT(ISERROR(SEARCH("successful",A1)))</formula>
    </cfRule>
    <cfRule type="containsText" dxfId="0" priority="8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Pivot Table 1</vt:lpstr>
      <vt:lpstr>Pivot Table 2</vt:lpstr>
      <vt:lpstr>Pivot Table 3</vt:lpstr>
      <vt:lpstr>Crowfunding Goal Analysis</vt:lpstr>
      <vt:lpstr>Statistical Analysis</vt:lpstr>
      <vt:lpstr>goal</vt:lpstr>
      <vt:lpstr>outcomes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2023-03-22T21:28:59Z</dcterms:modified>
</cp:coreProperties>
</file>