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zzle Analysis Calculations - " sheetId="1" r:id="rId5"/>
    <sheet state="visible" name="NASA CEA 01-29-2026" sheetId="2" r:id="rId6"/>
    <sheet state="visible" name="RPA" sheetId="3" r:id="rId7"/>
    <sheet state="visible" name="IGNORE Nozzle Pressure Vessel C" sheetId="4" r:id="rId8"/>
  </sheets>
  <definedNames/>
  <calcPr/>
</workbook>
</file>

<file path=xl/sharedStrings.xml><?xml version="1.0" encoding="utf-8"?>
<sst xmlns="http://schemas.openxmlformats.org/spreadsheetml/2006/main" count="629" uniqueCount="308">
  <si>
    <t>Sanity Check</t>
  </si>
  <si>
    <t>Nozzle Design Calculations</t>
  </si>
  <si>
    <t>mdot</t>
  </si>
  <si>
    <t>kg/s</t>
  </si>
  <si>
    <t>Design Goal/Criterial</t>
  </si>
  <si>
    <t>v_exit</t>
  </si>
  <si>
    <t>m/s</t>
  </si>
  <si>
    <t>Output from CEA</t>
  </si>
  <si>
    <t>P_exit</t>
  </si>
  <si>
    <t>Pa</t>
  </si>
  <si>
    <t>Input</t>
  </si>
  <si>
    <t>RE:</t>
  </si>
  <si>
    <t>Last Updated</t>
  </si>
  <si>
    <t>Comments for Reviewer:</t>
  </si>
  <si>
    <t>P_amb</t>
  </si>
  <si>
    <t>Postive Margin</t>
  </si>
  <si>
    <t>Teddy Polkosnik, Jonathan Shan</t>
  </si>
  <si>
    <t>All equations for calculations are derrived and displayed, see the legend for key metrics.</t>
  </si>
  <si>
    <t>A_exit</t>
  </si>
  <si>
    <t>m^2</t>
  </si>
  <si>
    <t>Negative Margin</t>
  </si>
  <si>
    <t>Key Output</t>
  </si>
  <si>
    <t>IGNORE ALL THE BOXES IN RED</t>
  </si>
  <si>
    <t>Thrust</t>
  </si>
  <si>
    <t>N</t>
  </si>
  <si>
    <t>Actual Wanted</t>
  </si>
  <si>
    <t>Percent Propogated Error</t>
  </si>
  <si>
    <t>%</t>
  </si>
  <si>
    <t>Objectives</t>
  </si>
  <si>
    <t>Determine dimensions of nozzle geometry based on our application.</t>
  </si>
  <si>
    <t>Assumptions</t>
  </si>
  <si>
    <t>Isentropic flow, Chemical equilibrium via NASA CEA, infinite area combustor for flow propogation</t>
  </si>
  <si>
    <t>Result Summary</t>
  </si>
  <si>
    <t>Inputs, Design Goals, Operating Conditions - See Legend</t>
  </si>
  <si>
    <t>Converted For Calcs</t>
  </si>
  <si>
    <t>Notes</t>
  </si>
  <si>
    <t>Nozzle Results - Conical Nozzle</t>
  </si>
  <si>
    <t>Fixed Geometry</t>
  </si>
  <si>
    <t>Inlet Area</t>
  </si>
  <si>
    <t>in^2</t>
  </si>
  <si>
    <t>ID_chamber</t>
  </si>
  <si>
    <t>in</t>
  </si>
  <si>
    <t>m</t>
  </si>
  <si>
    <t>Driven by Fuel Grain ID</t>
  </si>
  <si>
    <t>Inlet Radius (Ri)</t>
  </si>
  <si>
    <t>A_chamber</t>
  </si>
  <si>
    <t>Calculated for Referance</t>
  </si>
  <si>
    <t>Inlet Diameter</t>
  </si>
  <si>
    <t>Known Design Conditions</t>
  </si>
  <si>
    <t>Throat Area</t>
  </si>
  <si>
    <t>Page 3-&gt;</t>
  </si>
  <si>
    <t>https://engineering.purdue.edu/~wassgren/teaching/ME30800/NotesAndReading/CompressibleFlow_ConvergingNozzle_Reading.pdf</t>
  </si>
  <si>
    <t>Average Thrust</t>
  </si>
  <si>
    <t>lbf</t>
  </si>
  <si>
    <t>Average Steady State</t>
  </si>
  <si>
    <t>Throat Radius (Rt)</t>
  </si>
  <si>
    <t>Burn Time</t>
  </si>
  <si>
    <t>s</t>
  </si>
  <si>
    <t>Throat Diameter</t>
  </si>
  <si>
    <t>Total Impluse</t>
  </si>
  <si>
    <t>N-s</t>
  </si>
  <si>
    <t>M-Class Rocket (see chart)</t>
  </si>
  <si>
    <t>m_dot</t>
  </si>
  <si>
    <t>Exit Area</t>
  </si>
  <si>
    <t>R</t>
  </si>
  <si>
    <t>Gas Constant</t>
  </si>
  <si>
    <t>Exit Radius (Re)</t>
  </si>
  <si>
    <t>M (1/n)</t>
  </si>
  <si>
    <t>Molar Weight of Combustion</t>
  </si>
  <si>
    <t>Exit Diameter</t>
  </si>
  <si>
    <t>R_combustion_products</t>
  </si>
  <si>
    <t>J/kg-K</t>
  </si>
  <si>
    <t>Real Combusion Products</t>
  </si>
  <si>
    <t>Converging Half Angle (alpha)</t>
  </si>
  <si>
    <t>deg</t>
  </si>
  <si>
    <t>rad</t>
  </si>
  <si>
    <t>Empircal</t>
  </si>
  <si>
    <t>Known Pressure Conditions</t>
  </si>
  <si>
    <t>Converging Length</t>
  </si>
  <si>
    <t>psi</t>
  </si>
  <si>
    <t>Designed to operate best at lift off</t>
  </si>
  <si>
    <t>P_chamber</t>
  </si>
  <si>
    <t>Steady State Pressure</t>
  </si>
  <si>
    <t>Diverging Half Angle (alpha)</t>
  </si>
  <si>
    <t>Diverging Length</t>
  </si>
  <si>
    <t>Pressure Ratios</t>
  </si>
  <si>
    <t>Pc/Pe</t>
  </si>
  <si>
    <t>Chamber Pressure/Exit Pressure</t>
  </si>
  <si>
    <t>Minimum Total Nozzle Length</t>
  </si>
  <si>
    <t>Pc/Pt</t>
  </si>
  <si>
    <t>Chamber Presure/Throat Pressure</t>
  </si>
  <si>
    <t>Temperature Ratios</t>
  </si>
  <si>
    <t>Tc</t>
  </si>
  <si>
    <t>K</t>
  </si>
  <si>
    <t>C</t>
  </si>
  <si>
    <t>Chamber Temperature</t>
  </si>
  <si>
    <t>Tt</t>
  </si>
  <si>
    <t>Throat Temperature</t>
  </si>
  <si>
    <t>Te</t>
  </si>
  <si>
    <t>Exit Temperature</t>
  </si>
  <si>
    <t>Area Ratios</t>
  </si>
  <si>
    <t>Ac/At</t>
  </si>
  <si>
    <t>Calculated after throat area</t>
  </si>
  <si>
    <t>5 Percent Reduction</t>
  </si>
  <si>
    <t>Ae/At</t>
  </si>
  <si>
    <t>Mach Numbers</t>
  </si>
  <si>
    <t>M_chamber</t>
  </si>
  <si>
    <t>Stagnation Conditions</t>
  </si>
  <si>
    <t>M_throat</t>
  </si>
  <si>
    <t>Perfect Chocked Flow</t>
  </si>
  <si>
    <t>M_exit</t>
  </si>
  <si>
    <t>Ideal Expansion</t>
  </si>
  <si>
    <t>Local Speed of Sound (Sonic Velocity)</t>
  </si>
  <si>
    <t>v_chamber</t>
  </si>
  <si>
    <t>v_throat</t>
  </si>
  <si>
    <t>NASA CEA useful metrics</t>
  </si>
  <si>
    <t>Gamma (γ)</t>
  </si>
  <si>
    <t>Cf</t>
  </si>
  <si>
    <t>Thrust Coefficent</t>
  </si>
  <si>
    <t>Isp</t>
  </si>
  <si>
    <t>Isp (converted)</t>
  </si>
  <si>
    <t>Bolting Data</t>
  </si>
  <si>
    <t>Heat Transfer Analysis (@ throat)</t>
  </si>
  <si>
    <t>Bolt Link</t>
  </si>
  <si>
    <t>https://www.mcmaster.com/92949A535</t>
  </si>
  <si>
    <t>Cost</t>
  </si>
  <si>
    <t>Pack of 50</t>
  </si>
  <si>
    <t>Throat diameter (D*)</t>
  </si>
  <si>
    <t>Source</t>
  </si>
  <si>
    <t>https://ntrs.nasa.gov/api/citations/19990025912/downloads/19990025912.pdf</t>
  </si>
  <si>
    <t>Bolt Material</t>
  </si>
  <si>
    <t>18-8 Stainless Steel</t>
  </si>
  <si>
    <t>Characteristic velocity (c*)</t>
  </si>
  <si>
    <t>CEA</t>
  </si>
  <si>
    <t>Thread Size</t>
  </si>
  <si>
    <t>1/4-20</t>
  </si>
  <si>
    <t>Specific heat (Cp)</t>
  </si>
  <si>
    <t>J / kg * K</t>
  </si>
  <si>
    <t>Head Height</t>
  </si>
  <si>
    <t>Chamber pressure (Po)</t>
  </si>
  <si>
    <t>Head Diameter</t>
  </si>
  <si>
    <t>Radius of curvature (Rc)</t>
  </si>
  <si>
    <t>Assume to be 0.1</t>
  </si>
  <si>
    <t>Drive Size [Tool]</t>
  </si>
  <si>
    <t>5/32</t>
  </si>
  <si>
    <t>Prantdl number (Pr)</t>
  </si>
  <si>
    <t>RPA</t>
  </si>
  <si>
    <t>Thread Type</t>
  </si>
  <si>
    <t>UNC</t>
  </si>
  <si>
    <t>Viscosity (u)</t>
  </si>
  <si>
    <t>kg / m * s</t>
  </si>
  <si>
    <t>Thread Direction</t>
  </si>
  <si>
    <t>Right</t>
  </si>
  <si>
    <t>A*/A</t>
  </si>
  <si>
    <t xml:space="preserve"> </t>
  </si>
  <si>
    <t>Bolt Nominal (Major) OD</t>
  </si>
  <si>
    <t>Exponent of a viscosity-temperature power law for the combustion gas - ω</t>
  </si>
  <si>
    <t>Assume to be 0.6</t>
  </si>
  <si>
    <t>Bolt Minor OD</t>
  </si>
  <si>
    <t>Smallest bolt diameter</t>
  </si>
  <si>
    <t>Wall temp (Tw)</t>
  </si>
  <si>
    <t>Guess</t>
  </si>
  <si>
    <t>Bolt Length</t>
  </si>
  <si>
    <t>Stagnation temp (To)</t>
  </si>
  <si>
    <t>Chamber temp</t>
  </si>
  <si>
    <t>Tensile Strength</t>
  </si>
  <si>
    <t>MPa</t>
  </si>
  <si>
    <t>Correction factor (sigma)</t>
  </si>
  <si>
    <t>Calc --&gt;</t>
  </si>
  <si>
    <t>Bartz coefficient</t>
  </si>
  <si>
    <t>Nozzle Data</t>
  </si>
  <si>
    <t>Thermal conductivity of copper</t>
  </si>
  <si>
    <t>W / m * K</t>
  </si>
  <si>
    <t>Copper</t>
  </si>
  <si>
    <t>Thermal conductivity of graphite</t>
  </si>
  <si>
    <t>Graphite</t>
  </si>
  <si>
    <t>Nozzle Material</t>
  </si>
  <si>
    <t>Steel</t>
  </si>
  <si>
    <t xml:space="preserve">Throat insert thickness </t>
  </si>
  <si>
    <t xml:space="preserve">Source </t>
  </si>
  <si>
    <t>https://cecs.wright.edu/~sthomas/htchapter03.pdf?utm_source=chatgpt.com</t>
  </si>
  <si>
    <t>Nozzle OD</t>
  </si>
  <si>
    <t>https://coeng.uobaghdad.edu.iq/wp-content/uploads/sites/3/uploads/ammar%20data%202017/lectures/chemistry/clases/انتقال%20حرارة%20مرحلة%20ثالثة/Heat%20Transfer,%20Tenth%20Edition.pdf</t>
  </si>
  <si>
    <t>Nozzle outer radius</t>
  </si>
  <si>
    <t>Nozzle throat ID</t>
  </si>
  <si>
    <t>IM PRETTY SURE USE THIS HEAT FLUX</t>
  </si>
  <si>
    <t>BUT DOUBLE CHECL</t>
  </si>
  <si>
    <t>Heat and Mass Transfer Fundamentals - Ch. 4</t>
  </si>
  <si>
    <t>Nozzle throat inner radius</t>
  </si>
  <si>
    <t>Nozzle insert thickness</t>
  </si>
  <si>
    <t>Heat flux (q)</t>
  </si>
  <si>
    <t>W / m^2</t>
  </si>
  <si>
    <t>Nozzle outer structure inner radius</t>
  </si>
  <si>
    <t>Wall Thickness</t>
  </si>
  <si>
    <t>Transient Heat Conduction Model</t>
  </si>
  <si>
    <t xml:space="preserve">Length </t>
  </si>
  <si>
    <t>Density of steel</t>
  </si>
  <si>
    <t>kg / m^3</t>
  </si>
  <si>
    <t>g/cc</t>
  </si>
  <si>
    <t>Yield Strength</t>
  </si>
  <si>
    <t>@ 516 ºC</t>
  </si>
  <si>
    <t>Specific heat capacity of steel</t>
  </si>
  <si>
    <t>J/g-°C</t>
  </si>
  <si>
    <t>Poisson's Ratio</t>
  </si>
  <si>
    <t>Density of copper</t>
  </si>
  <si>
    <t>Modulus of Elasticity</t>
  </si>
  <si>
    <t>GPa</t>
  </si>
  <si>
    <t>Specific heat capacity of copper</t>
  </si>
  <si>
    <t>Density of graphite</t>
  </si>
  <si>
    <t>Specific heat capacity of graphite</t>
  </si>
  <si>
    <t>J/g-ºC</t>
  </si>
  <si>
    <t>Nozzle Insert Data</t>
  </si>
  <si>
    <t>Diffusivity of steel (a)</t>
  </si>
  <si>
    <t>Insert Material</t>
  </si>
  <si>
    <t>Diffusivity of copper (a)</t>
  </si>
  <si>
    <t>Diffusivity of graphite (a)</t>
  </si>
  <si>
    <t>@ room temp</t>
  </si>
  <si>
    <t>x</t>
  </si>
  <si>
    <t>Surface</t>
  </si>
  <si>
    <t xml:space="preserve">Modulus of Elasticitiy </t>
  </si>
  <si>
    <t>t</t>
  </si>
  <si>
    <t>Transient temp (x = 0, t = 3.5)</t>
  </si>
  <si>
    <t>(iterate Tw until converge)</t>
  </si>
  <si>
    <t>Interface</t>
  </si>
  <si>
    <t xml:space="preserve">t </t>
  </si>
  <si>
    <t>Transient temp (x = 0.013, t = 3.5)</t>
  </si>
  <si>
    <t>Thermal Calculations</t>
  </si>
  <si>
    <t>Thermal Expansion and Stress For 1018</t>
  </si>
  <si>
    <t>Source -&gt;</t>
  </si>
  <si>
    <t xml:space="preserve">Starting Temperature </t>
  </si>
  <si>
    <t>F</t>
  </si>
  <si>
    <t>Averg Temp of NY</t>
  </si>
  <si>
    <t>Worst Case Cold Temperature</t>
  </si>
  <si>
    <t>Freezing Bounding</t>
  </si>
  <si>
    <t>Worst Case Hot Temperature</t>
  </si>
  <si>
    <t>N20 Boil Point</t>
  </si>
  <si>
    <t>Thermal Conductivity @ 77F</t>
  </si>
  <si>
    <t>W/m-K</t>
  </si>
  <si>
    <t>CTE, Linear @ 68F</t>
  </si>
  <si>
    <t>in/in-F</t>
  </si>
  <si>
    <t>m/m-C</t>
  </si>
  <si>
    <t>Specific heat capacity, k</t>
  </si>
  <si>
    <t>J/kg-C</t>
  </si>
  <si>
    <t>Thermal Stress (Cold)</t>
  </si>
  <si>
    <t>Thermal Contraction (Cold)</t>
  </si>
  <si>
    <t>mm</t>
  </si>
  <si>
    <t>Thermal Stress (Hot)</t>
  </si>
  <si>
    <t>Thermal Expansion (Hot)</t>
  </si>
  <si>
    <t>Thermal Expansion and Stress For Copper</t>
  </si>
  <si>
    <t>Nozzle Pressure Vessel Calculations</t>
  </si>
  <si>
    <t>Manufacturer Spec</t>
  </si>
  <si>
    <t>Half Cat Rocketry-&gt;</t>
  </si>
  <si>
    <t>How to Design Pressure Vessels</t>
  </si>
  <si>
    <t>Material data was pulled from ASM standards or McMaster where needed. Used linear CTE and k values for thermal shock.</t>
  </si>
  <si>
    <t>Shown in Green</t>
  </si>
  <si>
    <t>Tank Data and Starting N20 Data</t>
  </si>
  <si>
    <t>Tank Material</t>
  </si>
  <si>
    <t>6061 - T6</t>
  </si>
  <si>
    <t>Aluminum</t>
  </si>
  <si>
    <t>Temperature Range</t>
  </si>
  <si>
    <t>-320 to 210</t>
  </si>
  <si>
    <t>Tank OD</t>
  </si>
  <si>
    <t>Tank ID</t>
  </si>
  <si>
    <t>% Yeild Decrease</t>
  </si>
  <si>
    <t>Yeild Strength</t>
  </si>
  <si>
    <t>50 percent</t>
  </si>
  <si>
    <t>Ultimate Tensile Strength</t>
  </si>
  <si>
    <t>Bearing Yeild Strength</t>
  </si>
  <si>
    <t>Shear Strength</t>
  </si>
  <si>
    <t>Fatigue Strength</t>
  </si>
  <si>
    <t>https://www.mcmaster.com/91255A643/</t>
  </si>
  <si>
    <t>Pack of 25</t>
  </si>
  <si>
    <t>Black-Oxide Alloy Steel</t>
  </si>
  <si>
    <t>3/8-24</t>
  </si>
  <si>
    <t>7/32</t>
  </si>
  <si>
    <t>UNF</t>
  </si>
  <si>
    <t>Smallest Bolt Diameter</t>
  </si>
  <si>
    <t>Design Values</t>
  </si>
  <si>
    <t>Bolting Design Factors</t>
  </si>
  <si>
    <t>Number of Bolts</t>
  </si>
  <si>
    <t>Actual Hole Diameter</t>
  </si>
  <si>
    <t>Bolt Center Distance to Edge</t>
  </si>
  <si>
    <t>Bolt Minor Distance to Edge</t>
  </si>
  <si>
    <t>See Yellow Arrow</t>
  </si>
  <si>
    <t>Nominal Operating Pressure</t>
  </si>
  <si>
    <t>% Above Operating Pressure</t>
  </si>
  <si>
    <t>MEOP</t>
  </si>
  <si>
    <t>Stress Calculations</t>
  </si>
  <si>
    <t>Hoop Stress</t>
  </si>
  <si>
    <t>sigma_h</t>
  </si>
  <si>
    <t>FOS</t>
  </si>
  <si>
    <t>Axial Stress</t>
  </si>
  <si>
    <t>sigma_a</t>
  </si>
  <si>
    <t>Casing Tensile Stress</t>
  </si>
  <si>
    <t>sigma_tensile</t>
  </si>
  <si>
    <t>Bolt Shear Out</t>
  </si>
  <si>
    <t>sigma_bolt_shear</t>
  </si>
  <si>
    <t>Bolt Tear Out</t>
  </si>
  <si>
    <t>F_bolt (single)</t>
  </si>
  <si>
    <t>sigma_tear_out</t>
  </si>
  <si>
    <t>Bearing Stress</t>
  </si>
  <si>
    <t>sigma_bearing</t>
  </si>
  <si>
    <t>Thermal Calculations - Carrier</t>
  </si>
  <si>
    <t>Replace</t>
  </si>
  <si>
    <t>Worried</t>
  </si>
  <si>
    <t>Thermal Calculations - Insert</t>
  </si>
  <si>
    <t>Thermal Expansion and Stress For Graphite C</t>
  </si>
  <si>
    <t>W rizz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</si>
</sst>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21">
    <font>
      <sz val="10.0"/>
      <color rgb="FF000000"/>
      <name val="Arial"/>
      <scheme val="minor"/>
    </font>
    <font>
      <color rgb="FFFFFFFF"/>
      <name val="Arial"/>
    </font>
    <font>
      <b/>
      <sz val="15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  <font>
      <sz val="10.0"/>
      <color rgb="FF333333"/>
      <name val="Arial"/>
      <scheme val="minor"/>
    </font>
    <font>
      <sz val="17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i/>
      <color rgb="FF999999"/>
      <name val="Arial"/>
      <scheme val="minor"/>
    </font>
    <font>
      <color rgb="FFFFFFFF"/>
      <name val="Arial"/>
      <scheme val="minor"/>
    </font>
    <font>
      <u/>
      <color rgb="FF0000FF"/>
    </font>
    <font>
      <b/>
      <i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i/>
      <color rgb="FF999999"/>
      <name val="Arial"/>
      <scheme val="minor"/>
    </font>
    <font>
      <i/>
      <color rgb="FF999999"/>
      <name val="Arial"/>
    </font>
    <font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3" numFmtId="0" xfId="0" applyAlignment="1" applyFill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5" fontId="3" numFmtId="0" xfId="0" applyAlignment="1" applyFill="1" applyFont="1">
      <alignment vertical="center"/>
    </xf>
    <xf borderId="0" fillId="6" fontId="3" numFmtId="0" xfId="0" applyAlignment="1" applyFill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vertical="center"/>
    </xf>
    <xf borderId="0" fillId="7" fontId="3" numFmtId="0" xfId="0" applyAlignment="1" applyFill="1" applyFont="1">
      <alignment vertical="center"/>
    </xf>
    <xf borderId="0" fillId="8" fontId="1" numFmtId="0" xfId="0" applyAlignment="1" applyFill="1" applyFont="1">
      <alignment vertical="center"/>
    </xf>
    <xf borderId="0" fillId="0" fontId="5" numFmtId="0" xfId="0" applyAlignment="1" applyFont="1">
      <alignment readingOrder="0" vertical="bottom"/>
    </xf>
    <xf borderId="0" fillId="9" fontId="6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0" fillId="0" fontId="9" numFmtId="0" xfId="0" applyFont="1"/>
    <xf borderId="4" fillId="0" fontId="10" numFmtId="0" xfId="0" applyAlignment="1" applyBorder="1" applyFont="1">
      <alignment readingOrder="0"/>
    </xf>
    <xf borderId="5" fillId="0" fontId="11" numFmtId="0" xfId="0" applyBorder="1" applyFont="1"/>
    <xf borderId="5" fillId="0" fontId="11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  <xf borderId="4" fillId="0" fontId="9" numFmtId="0" xfId="0" applyAlignment="1" applyBorder="1" applyFont="1">
      <alignment readingOrder="0"/>
    </xf>
    <xf borderId="5" fillId="0" fontId="9" numFmtId="0" xfId="0" applyBorder="1" applyFont="1"/>
    <xf borderId="5" fillId="0" fontId="9" numFmtId="0" xfId="0" applyAlignment="1" applyBorder="1" applyFont="1">
      <alignment readingOrder="0"/>
    </xf>
    <xf borderId="6" fillId="0" fontId="9" numFmtId="0" xfId="0" applyBorder="1" applyFont="1"/>
    <xf borderId="7" fillId="3" fontId="9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8" fillId="0" fontId="4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8" fillId="0" fontId="9" numFmtId="0" xfId="0" applyBorder="1" applyFont="1"/>
    <xf borderId="9" fillId="0" fontId="9" numFmtId="0" xfId="0" applyAlignment="1" applyBorder="1" applyFont="1">
      <alignment readingOrder="0"/>
    </xf>
    <xf borderId="10" fillId="0" fontId="4" numFmtId="0" xfId="0" applyBorder="1" applyFont="1"/>
    <xf borderId="10" fillId="0" fontId="4" numFmtId="0" xfId="0" applyAlignment="1" applyBorder="1" applyFont="1">
      <alignment readingOrder="0"/>
    </xf>
    <xf borderId="10" fillId="0" fontId="9" numFmtId="0" xfId="0" applyBorder="1" applyFont="1"/>
    <xf borderId="11" fillId="0" fontId="4" numFmtId="0" xfId="0" applyAlignment="1" applyBorder="1" applyFont="1">
      <alignment readingOrder="0"/>
    </xf>
    <xf borderId="9" fillId="8" fontId="11" numFmtId="0" xfId="0" applyAlignment="1" applyBorder="1" applyFont="1">
      <alignment readingOrder="0"/>
    </xf>
    <xf borderId="10" fillId="8" fontId="11" numFmtId="0" xfId="0" applyBorder="1" applyFont="1"/>
    <xf borderId="10" fillId="8" fontId="11" numFmtId="0" xfId="0" applyAlignment="1" applyBorder="1" applyFont="1">
      <alignment readingOrder="0"/>
    </xf>
    <xf borderId="10" fillId="0" fontId="9" numFmtId="0" xfId="0" applyAlignment="1" applyBorder="1" applyFont="1">
      <alignment readingOrder="0"/>
    </xf>
    <xf borderId="11" fillId="0" fontId="9" numFmtId="0" xfId="0" applyBorder="1" applyFont="1"/>
    <xf borderId="7" fillId="0" fontId="10" numFmtId="0" xfId="0" applyAlignment="1" applyBorder="1" applyFont="1">
      <alignment readingOrder="0"/>
    </xf>
    <xf borderId="8" fillId="0" fontId="4" numFmtId="0" xfId="0" applyBorder="1" applyFont="1"/>
    <xf borderId="7" fillId="0" fontId="4" numFmtId="0" xfId="0" applyBorder="1" applyFont="1"/>
    <xf borderId="5" fillId="0" fontId="4" numFmtId="0" xfId="0" applyAlignment="1" applyBorder="1" applyFont="1">
      <alignment readingOrder="0"/>
    </xf>
    <xf borderId="0" fillId="0" fontId="12" numFmtId="0" xfId="0" applyAlignment="1" applyFont="1">
      <alignment readingOrder="0" shrinkToFit="0" wrapText="0"/>
    </xf>
    <xf borderId="7" fillId="3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8" fontId="11" numFmtId="0" xfId="0" applyAlignment="1" applyBorder="1" applyFont="1">
      <alignment readingOrder="0"/>
    </xf>
    <xf borderId="0" fillId="8" fontId="11" numFmtId="0" xfId="0" applyFont="1"/>
    <xf borderId="0" fillId="8" fontId="11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  <xf borderId="4" fillId="5" fontId="4" numFmtId="0" xfId="0" applyAlignment="1" applyBorder="1" applyFont="1">
      <alignment readingOrder="0"/>
    </xf>
    <xf borderId="5" fillId="5" fontId="4" numFmtId="0" xfId="0" applyAlignment="1" applyBorder="1" applyFont="1">
      <alignment readingOrder="0"/>
    </xf>
    <xf borderId="5" fillId="5" fontId="9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11" fillId="0" fontId="4" numFmtId="0" xfId="0" applyBorder="1" applyFont="1"/>
    <xf borderId="0" fillId="3" fontId="9" numFmtId="0" xfId="0" applyAlignment="1" applyFont="1">
      <alignment readingOrder="0"/>
    </xf>
    <xf borderId="8" fillId="0" fontId="9" numFmtId="0" xfId="0" applyAlignment="1" applyBorder="1" applyFont="1">
      <alignment readingOrder="0"/>
    </xf>
    <xf borderId="9" fillId="3" fontId="9" numFmtId="0" xfId="0" applyAlignment="1" applyBorder="1" applyFont="1">
      <alignment readingOrder="0"/>
    </xf>
    <xf borderId="10" fillId="3" fontId="9" numFmtId="0" xfId="0" applyAlignment="1" applyBorder="1" applyFont="1">
      <alignment readingOrder="0"/>
    </xf>
    <xf borderId="11" fillId="0" fontId="9" numFmtId="0" xfId="0" applyAlignment="1" applyBorder="1" applyFont="1">
      <alignment readingOrder="0"/>
    </xf>
    <xf borderId="0" fillId="3" fontId="9" numFmtId="0" xfId="0" applyFont="1"/>
    <xf borderId="1" fillId="6" fontId="4" numFmtId="0" xfId="0" applyAlignment="1" applyBorder="1" applyFont="1">
      <alignment readingOrder="0"/>
    </xf>
    <xf borderId="2" fillId="6" fontId="4" numFmtId="0" xfId="0" applyBorder="1" applyFont="1"/>
    <xf borderId="2" fillId="6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9" fillId="4" fontId="9" numFmtId="0" xfId="0" applyAlignment="1" applyBorder="1" applyFont="1">
      <alignment readingOrder="0"/>
    </xf>
    <xf borderId="10" fillId="4" fontId="9" numFmtId="0" xfId="0" applyAlignment="1" applyBorder="1" applyFont="1">
      <alignment readingOrder="0"/>
    </xf>
    <xf borderId="10" fillId="4" fontId="9" numFmtId="0" xfId="0" applyBorder="1" applyFont="1"/>
    <xf borderId="7" fillId="4" fontId="9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0" fillId="8" fontId="9" numFmtId="0" xfId="0" applyFont="1"/>
    <xf borderId="0" fillId="4" fontId="9" numFmtId="0" xfId="0" applyFont="1"/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0" fontId="3" numFmtId="0" xfId="0" applyFont="1"/>
    <xf borderId="4" fillId="2" fontId="11" numFmtId="0" xfId="0" applyAlignment="1" applyBorder="1" applyFont="1">
      <alignment readingOrder="0"/>
    </xf>
    <xf borderId="5" fillId="2" fontId="11" numFmtId="0" xfId="0" applyBorder="1" applyFont="1"/>
    <xf borderId="6" fillId="2" fontId="11" numFmtId="0" xfId="0" applyBorder="1" applyFont="1"/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5" fillId="0" fontId="14" numFmtId="0" xfId="0" applyAlignment="1" applyBorder="1" applyFont="1">
      <alignment readingOrder="0"/>
    </xf>
    <xf borderId="5" fillId="0" fontId="3" numFmtId="0" xfId="0" applyAlignment="1" applyBorder="1" applyFont="1">
      <alignment horizontal="right" readingOrder="0"/>
    </xf>
    <xf borderId="6" fillId="0" fontId="3" numFmtId="165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7" fillId="5" fontId="4" numFmtId="0" xfId="0" applyAlignment="1" applyBorder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Font="1"/>
    <xf borderId="8" fillId="5" fontId="4" numFmtId="0" xfId="0" applyBorder="1" applyFont="1"/>
    <xf borderId="0" fillId="0" fontId="15" numFmtId="0" xfId="0" applyAlignment="1" applyFont="1">
      <alignment readingOrder="0" shrinkToFit="0" wrapText="0"/>
    </xf>
    <xf borderId="7" fillId="0" fontId="3" numFmtId="0" xfId="0" applyAlignment="1" applyBorder="1" applyFont="1">
      <alignment readingOrder="0"/>
    </xf>
    <xf borderId="8" fillId="0" fontId="3" numFmtId="0" xfId="0" applyBorder="1" applyFont="1"/>
    <xf borderId="8" fillId="5" fontId="4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8" fillId="0" fontId="3" numFmtId="0" xfId="0" applyAlignment="1" applyBorder="1" applyFont="1">
      <alignment readingOrder="0"/>
    </xf>
    <xf borderId="0" fillId="5" fontId="4" numFmtId="11" xfId="0" applyAlignment="1" applyFont="1" applyNumberFormat="1">
      <alignment readingOrder="0"/>
    </xf>
    <xf borderId="8" fillId="5" fontId="16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9" fillId="10" fontId="3" numFmtId="0" xfId="0" applyAlignment="1" applyBorder="1" applyFill="1" applyFont="1">
      <alignment readingOrder="0"/>
    </xf>
    <xf borderId="10" fillId="10" fontId="3" numFmtId="0" xfId="0" applyAlignment="1" applyBorder="1" applyFont="1">
      <alignment readingOrder="0"/>
    </xf>
    <xf borderId="10" fillId="0" fontId="3" numFmtId="0" xfId="0" applyBorder="1" applyFont="1"/>
    <xf borderId="11" fillId="0" fontId="3" numFmtId="0" xfId="0" applyAlignment="1" applyBorder="1" applyFont="1">
      <alignment readingOrder="0"/>
    </xf>
    <xf borderId="7" fillId="9" fontId="4" numFmtId="0" xfId="0" applyAlignment="1" applyBorder="1" applyFont="1">
      <alignment readingOrder="0"/>
    </xf>
    <xf borderId="0" fillId="9" fontId="4" numFmtId="0" xfId="0" applyFont="1"/>
    <xf borderId="0" fillId="9" fontId="4" numFmtId="0" xfId="0" applyAlignment="1" applyFont="1">
      <alignment readingOrder="0"/>
    </xf>
    <xf borderId="8" fillId="9" fontId="4" numFmtId="0" xfId="0" applyAlignment="1" applyBorder="1" applyFont="1">
      <alignment readingOrder="0"/>
    </xf>
    <xf borderId="8" fillId="8" fontId="11" numFmtId="0" xfId="0" applyBorder="1" applyFont="1"/>
    <xf borderId="0" fillId="9" fontId="11" numFmtId="0" xfId="0" applyFont="1"/>
    <xf borderId="8" fillId="9" fontId="11" numFmtId="0" xfId="0" applyBorder="1" applyFont="1"/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8" fillId="2" fontId="1" numFmtId="0" xfId="0" applyAlignment="1" applyBorder="1" applyFont="1">
      <alignment readingOrder="0"/>
    </xf>
    <xf borderId="7" fillId="9" fontId="3" numFmtId="0" xfId="0" applyAlignment="1" applyBorder="1" applyFont="1">
      <alignment horizontal="left" readingOrder="0"/>
    </xf>
    <xf borderId="0" fillId="9" fontId="17" numFmtId="0" xfId="0" applyAlignment="1" applyFont="1">
      <alignment horizontal="right" readingOrder="0"/>
    </xf>
    <xf borderId="0" fillId="9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0"/>
    </xf>
    <xf borderId="7" fillId="9" fontId="3" numFmtId="0" xfId="0" applyAlignment="1" applyBorder="1" applyFont="1">
      <alignment readingOrder="0"/>
    </xf>
    <xf borderId="0" fillId="9" fontId="3" numFmtId="0" xfId="0" applyAlignment="1" applyFont="1">
      <alignment readingOrder="0"/>
    </xf>
    <xf borderId="7" fillId="10" fontId="3" numFmtId="0" xfId="0" applyAlignment="1" applyBorder="1" applyFont="1">
      <alignment readingOrder="0"/>
    </xf>
    <xf borderId="0" fillId="10" fontId="3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8" fillId="8" fontId="1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1" fillId="8" fontId="11" numFmtId="0" xfId="0" applyBorder="1" applyFont="1"/>
    <xf borderId="0" fillId="0" fontId="18" numFmtId="0" xfId="0" applyAlignment="1" applyFont="1">
      <alignment readingOrder="0"/>
    </xf>
    <xf borderId="4" fillId="0" fontId="1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8" fontId="1" numFmtId="0" xfId="0" applyFont="1"/>
    <xf borderId="8" fillId="8" fontId="1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10" fillId="8" fontId="1" numFmtId="0" xfId="0" applyAlignment="1" applyBorder="1" applyFont="1">
      <alignment readingOrder="0"/>
    </xf>
    <xf borderId="10" fillId="8" fontId="1" numFmtId="0" xfId="0" applyBorder="1" applyFont="1"/>
    <xf borderId="11" fillId="8" fontId="1" numFmtId="0" xfId="0" applyAlignment="1" applyBorder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12" fillId="3" fontId="3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3" fillId="5" fontId="3" numFmtId="0" xfId="0" applyAlignment="1" applyBorder="1" applyFont="1">
      <alignment vertical="bottom"/>
    </xf>
    <xf borderId="13" fillId="6" fontId="3" numFmtId="0" xfId="0" applyAlignment="1" applyBorder="1" applyFont="1">
      <alignment vertical="bottom"/>
    </xf>
    <xf borderId="13" fillId="7" fontId="3" numFmtId="0" xfId="0" applyAlignment="1" applyBorder="1" applyFont="1">
      <alignment vertical="bottom"/>
    </xf>
    <xf borderId="14" fillId="8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4" xfId="0" applyAlignment="1" applyFont="1" applyNumberFormat="1">
      <alignment readingOrder="0"/>
    </xf>
    <xf borderId="0" fillId="9" fontId="3" numFmtId="0" xfId="0" applyAlignment="1" applyFont="1">
      <alignment horizontal="right" readingOrder="0"/>
    </xf>
    <xf borderId="5" fillId="0" fontId="3" numFmtId="0" xfId="0" applyBorder="1" applyFont="1"/>
    <xf borderId="6" fillId="0" fontId="3" numFmtId="0" xfId="0" applyBorder="1" applyFont="1"/>
    <xf borderId="0" fillId="5" fontId="3" numFmtId="0" xfId="0" applyFont="1"/>
    <xf borderId="9" fillId="0" fontId="3" numFmtId="0" xfId="0" applyBorder="1" applyFont="1"/>
    <xf borderId="11" fillId="0" fontId="3" numFmtId="0" xfId="0" applyBorder="1" applyFont="1"/>
    <xf borderId="7" fillId="0" fontId="3" numFmtId="0" xfId="0" applyBorder="1" applyFont="1"/>
    <xf borderId="9" fillId="0" fontId="4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22.png"/><Relationship Id="rId10" Type="http://schemas.openxmlformats.org/officeDocument/2006/relationships/image" Target="../media/image31.png"/><Relationship Id="rId13" Type="http://schemas.openxmlformats.org/officeDocument/2006/relationships/image" Target="../media/image20.png"/><Relationship Id="rId12" Type="http://schemas.openxmlformats.org/officeDocument/2006/relationships/image" Target="../media/image21.png"/><Relationship Id="rId1" Type="http://schemas.openxmlformats.org/officeDocument/2006/relationships/image" Target="../media/image9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9" Type="http://schemas.openxmlformats.org/officeDocument/2006/relationships/image" Target="../media/image3.png"/><Relationship Id="rId14" Type="http://schemas.openxmlformats.org/officeDocument/2006/relationships/image" Target="../media/image13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10.png"/><Relationship Id="rId8" Type="http://schemas.openxmlformats.org/officeDocument/2006/relationships/image" Target="../media/image1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3.png"/><Relationship Id="rId3" Type="http://schemas.openxmlformats.org/officeDocument/2006/relationships/image" Target="../media/image2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29.png"/><Relationship Id="rId10" Type="http://schemas.openxmlformats.org/officeDocument/2006/relationships/image" Target="../media/image6.png"/><Relationship Id="rId13" Type="http://schemas.openxmlformats.org/officeDocument/2006/relationships/image" Target="../media/image27.png"/><Relationship Id="rId12" Type="http://schemas.openxmlformats.org/officeDocument/2006/relationships/image" Target="../media/image25.png"/><Relationship Id="rId1" Type="http://schemas.openxmlformats.org/officeDocument/2006/relationships/image" Target="../media/image11.png"/><Relationship Id="rId2" Type="http://schemas.openxmlformats.org/officeDocument/2006/relationships/image" Target="../media/image16.png"/><Relationship Id="rId3" Type="http://schemas.openxmlformats.org/officeDocument/2006/relationships/image" Target="../media/image23.png"/><Relationship Id="rId4" Type="http://schemas.openxmlformats.org/officeDocument/2006/relationships/image" Target="../media/image14.png"/><Relationship Id="rId9" Type="http://schemas.openxmlformats.org/officeDocument/2006/relationships/image" Target="../media/image18.png"/><Relationship Id="rId15" Type="http://schemas.openxmlformats.org/officeDocument/2006/relationships/image" Target="../media/image30.png"/><Relationship Id="rId14" Type="http://schemas.openxmlformats.org/officeDocument/2006/relationships/image" Target="../media/image34.png"/><Relationship Id="rId17" Type="http://schemas.openxmlformats.org/officeDocument/2006/relationships/image" Target="../media/image32.png"/><Relationship Id="rId16" Type="http://schemas.openxmlformats.org/officeDocument/2006/relationships/image" Target="../media/image28.png"/><Relationship Id="rId5" Type="http://schemas.openxmlformats.org/officeDocument/2006/relationships/image" Target="../media/image24.png"/><Relationship Id="rId6" Type="http://schemas.openxmlformats.org/officeDocument/2006/relationships/image" Target="../media/image5.png"/><Relationship Id="rId7" Type="http://schemas.openxmlformats.org/officeDocument/2006/relationships/image" Target="../media/image12.png"/><Relationship Id="rId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26</xdr:row>
      <xdr:rowOff>114300</xdr:rowOff>
    </xdr:from>
    <xdr:ext cx="1295400" cy="4857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28</xdr:row>
      <xdr:rowOff>200025</xdr:rowOff>
    </xdr:from>
    <xdr:ext cx="1076325" cy="590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0</xdr:row>
      <xdr:rowOff>0</xdr:rowOff>
    </xdr:from>
    <xdr:ext cx="7115175" cy="3905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952500</xdr:colOff>
      <xdr:row>20</xdr:row>
      <xdr:rowOff>95250</xdr:rowOff>
    </xdr:from>
    <xdr:ext cx="3924300" cy="590550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885825</xdr:colOff>
      <xdr:row>6</xdr:row>
      <xdr:rowOff>466725</xdr:rowOff>
    </xdr:from>
    <xdr:ext cx="3305175" cy="46672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952500</xdr:colOff>
      <xdr:row>25</xdr:row>
      <xdr:rowOff>47625</xdr:rowOff>
    </xdr:from>
    <xdr:ext cx="3486150" cy="752475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114300</xdr:colOff>
      <xdr:row>39</xdr:row>
      <xdr:rowOff>38100</xdr:rowOff>
    </xdr:from>
    <xdr:ext cx="1733550" cy="80962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29</xdr:row>
      <xdr:rowOff>104775</xdr:rowOff>
    </xdr:from>
    <xdr:ext cx="3419475" cy="1543050"/>
    <xdr:pic>
      <xdr:nvPicPr>
        <xdr:cNvPr id="0" name="image1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1638300</xdr:colOff>
      <xdr:row>42</xdr:row>
      <xdr:rowOff>171450</xdr:rowOff>
    </xdr:from>
    <xdr:ext cx="4533900" cy="244792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79</xdr:row>
      <xdr:rowOff>104775</xdr:rowOff>
    </xdr:from>
    <xdr:ext cx="3362325" cy="2314575"/>
    <xdr:pic>
      <xdr:nvPicPr>
        <xdr:cNvPr id="0" name="image3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76</xdr:row>
      <xdr:rowOff>209550</xdr:rowOff>
    </xdr:from>
    <xdr:ext cx="5495925" cy="1276350"/>
    <xdr:pic>
      <xdr:nvPicPr>
        <xdr:cNvPr id="0" name="image2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68</xdr:row>
      <xdr:rowOff>161925</xdr:rowOff>
    </xdr:from>
    <xdr:ext cx="5400675" cy="1543050"/>
    <xdr:pic>
      <xdr:nvPicPr>
        <xdr:cNvPr id="0" name="image2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914400</xdr:colOff>
      <xdr:row>97</xdr:row>
      <xdr:rowOff>161925</xdr:rowOff>
    </xdr:from>
    <xdr:ext cx="6419850" cy="1371600"/>
    <xdr:pic>
      <xdr:nvPicPr>
        <xdr:cNvPr id="0" name="image2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86</xdr:row>
      <xdr:rowOff>66675</xdr:rowOff>
    </xdr:from>
    <xdr:ext cx="1885950" cy="619125"/>
    <xdr:pic>
      <xdr:nvPicPr>
        <xdr:cNvPr id="0" name="image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34175" cy="47815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-200025</xdr:rowOff>
    </xdr:from>
    <xdr:ext cx="6734175" cy="5438775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85725</xdr:rowOff>
    </xdr:from>
    <xdr:ext cx="6734175" cy="5248275"/>
    <xdr:pic>
      <xdr:nvPicPr>
        <xdr:cNvPr id="0" name="image2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9782175" cy="13782675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54</xdr:row>
      <xdr:rowOff>9525</xdr:rowOff>
    </xdr:from>
    <xdr:ext cx="190500" cy="704850"/>
    <xdr:grpSp>
      <xdr:nvGrpSpPr>
        <xdr:cNvPr id="2" name="Shape 2" title="Drawing"/>
        <xdr:cNvGrpSpPr/>
      </xdr:nvGrpSpPr>
      <xdr:grpSpPr>
        <a:xfrm>
          <a:off x="2903125" y="581500"/>
          <a:ext cx="9900" cy="2371800"/>
          <a:chOff x="2903125" y="581500"/>
          <a:chExt cx="9900" cy="2371800"/>
        </a:xfrm>
      </xdr:grpSpPr>
      <xdr:cxnSp>
        <xdr:nvCxnSpPr>
          <xdr:cNvPr id="3" name="Shape 3"/>
          <xdr:cNvCxnSpPr/>
        </xdr:nvCxnSpPr>
        <xdr:spPr>
          <a:xfrm flipH="1">
            <a:off x="2903125" y="581500"/>
            <a:ext cx="9900" cy="2371800"/>
          </a:xfrm>
          <a:prstGeom prst="straightConnector1">
            <a:avLst/>
          </a:prstGeom>
          <a:noFill/>
          <a:ln cap="flat" cmpd="sng" w="28575">
            <a:solidFill>
              <a:srgbClr val="FFFF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952500</xdr:colOff>
      <xdr:row>63</xdr:row>
      <xdr:rowOff>209550</xdr:rowOff>
    </xdr:from>
    <xdr:ext cx="2019300" cy="9048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1114425</xdr:colOff>
      <xdr:row>52</xdr:row>
      <xdr:rowOff>190500</xdr:rowOff>
    </xdr:from>
    <xdr:ext cx="8858250" cy="242887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69</xdr:row>
      <xdr:rowOff>9525</xdr:rowOff>
    </xdr:from>
    <xdr:ext cx="2019300" cy="952500"/>
    <xdr:pic>
      <xdr:nvPicPr>
        <xdr:cNvPr id="0" name="image2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80</xdr:row>
      <xdr:rowOff>57150</xdr:rowOff>
    </xdr:from>
    <xdr:ext cx="3676650" cy="51435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82</xdr:row>
      <xdr:rowOff>180975</xdr:rowOff>
    </xdr:from>
    <xdr:ext cx="2562225" cy="619125"/>
    <xdr:pic>
      <xdr:nvPicPr>
        <xdr:cNvPr id="0" name="image2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1038225</xdr:colOff>
      <xdr:row>79</xdr:row>
      <xdr:rowOff>85725</xdr:rowOff>
    </xdr:from>
    <xdr:ext cx="3314700" cy="13525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847725</xdr:colOff>
      <xdr:row>86</xdr:row>
      <xdr:rowOff>200025</xdr:rowOff>
    </xdr:from>
    <xdr:ext cx="1924050" cy="2343150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88</xdr:row>
      <xdr:rowOff>200025</xdr:rowOff>
    </xdr:from>
    <xdr:ext cx="2714625" cy="1352550"/>
    <xdr:pic>
      <xdr:nvPicPr>
        <xdr:cNvPr id="0" name="image1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87</xdr:row>
      <xdr:rowOff>9525</xdr:rowOff>
    </xdr:from>
    <xdr:ext cx="1924050" cy="457200"/>
    <xdr:pic>
      <xdr:nvPicPr>
        <xdr:cNvPr id="0" name="image1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89</xdr:row>
      <xdr:rowOff>66675</xdr:rowOff>
    </xdr:from>
    <xdr:ext cx="1533525" cy="400050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742950</xdr:colOff>
      <xdr:row>91</xdr:row>
      <xdr:rowOff>76200</xdr:rowOff>
    </xdr:from>
    <xdr:ext cx="1809750" cy="400050"/>
    <xdr:pic>
      <xdr:nvPicPr>
        <xdr:cNvPr id="0" name="image2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74</xdr:row>
      <xdr:rowOff>19050</xdr:rowOff>
    </xdr:from>
    <xdr:ext cx="2714625" cy="400050"/>
    <xdr:pic>
      <xdr:nvPicPr>
        <xdr:cNvPr id="0" name="image2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76</xdr:row>
      <xdr:rowOff>66675</xdr:rowOff>
    </xdr:from>
    <xdr:ext cx="1533525" cy="400050"/>
    <xdr:pic>
      <xdr:nvPicPr>
        <xdr:cNvPr id="0" name="image2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96</xdr:row>
      <xdr:rowOff>76200</xdr:rowOff>
    </xdr:from>
    <xdr:ext cx="1457325" cy="457200"/>
    <xdr:pic>
      <xdr:nvPicPr>
        <xdr:cNvPr id="0" name="image3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94</xdr:row>
      <xdr:rowOff>19050</xdr:rowOff>
    </xdr:from>
    <xdr:ext cx="1924050" cy="457200"/>
    <xdr:pic>
      <xdr:nvPicPr>
        <xdr:cNvPr id="0" name="image3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109</xdr:row>
      <xdr:rowOff>152400</xdr:rowOff>
    </xdr:from>
    <xdr:ext cx="2324100" cy="257175"/>
    <xdr:pic>
      <xdr:nvPicPr>
        <xdr:cNvPr id="0" name="image2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111</xdr:row>
      <xdr:rowOff>9525</xdr:rowOff>
    </xdr:from>
    <xdr:ext cx="1390650" cy="238125"/>
    <xdr:pic>
      <xdr:nvPicPr>
        <xdr:cNvPr id="0" name="image3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Thermal_expansion" TargetMode="External"/><Relationship Id="rId10" Type="http://schemas.openxmlformats.org/officeDocument/2006/relationships/hyperlink" Target="https://en.wikipedia.org/wiki/Thermal_stress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engineering.purdue.edu/~wassgren/teaching/ME30800/NotesAndReading/CompressibleFlow_ConvergingNozzle_Reading.pdf" TargetMode="External"/><Relationship Id="rId2" Type="http://schemas.openxmlformats.org/officeDocument/2006/relationships/hyperlink" Target="https://www.mcmaster.com/92949A535" TargetMode="External"/><Relationship Id="rId3" Type="http://schemas.openxmlformats.org/officeDocument/2006/relationships/hyperlink" Target="https://ntrs.nasa.gov/api/citations/19990025912/downloads/19990025912.pdf" TargetMode="External"/><Relationship Id="rId4" Type="http://schemas.openxmlformats.org/officeDocument/2006/relationships/hyperlink" Target="https://en.wikipedia.org/wiki/Regenerative_cooling_(rocketry)" TargetMode="External"/><Relationship Id="rId9" Type="http://schemas.openxmlformats.org/officeDocument/2006/relationships/hyperlink" Target="https://asm.matweb.com/search/specificmaterial.asp?bassnum=ma6061t6" TargetMode="External"/><Relationship Id="rId5" Type="http://schemas.openxmlformats.org/officeDocument/2006/relationships/hyperlink" Target="https://www.matweb.com/search/datasheet.aspx?matguid=95817c4cf1f64922be8d30ce83fccdf3" TargetMode="External"/><Relationship Id="rId6" Type="http://schemas.openxmlformats.org/officeDocument/2006/relationships/hyperlink" Target="https://www.matweb.com/search/datasheet_print.aspx?matguid=3f64b985402445c0a5af911135909344" TargetMode="External"/><Relationship Id="rId7" Type="http://schemas.openxmlformats.org/officeDocument/2006/relationships/hyperlink" Target="https://www.matweb.com/search/datasheet_print.aspx?matguid=aca5faa6647a414b8a062c67174fa4ab" TargetMode="External"/><Relationship Id="rId8" Type="http://schemas.openxmlformats.org/officeDocument/2006/relationships/hyperlink" Target="https://cecs.wright.edu/~sthomas/htchapter03.pdf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Thermal_expansion" TargetMode="External"/><Relationship Id="rId10" Type="http://schemas.openxmlformats.org/officeDocument/2006/relationships/hyperlink" Target="https://en.wikipedia.org/wiki/Thermal_stress" TargetMode="External"/><Relationship Id="rId13" Type="http://schemas.openxmlformats.org/officeDocument/2006/relationships/hyperlink" Target="https://www.matweb.com/search/DataSheet.aspx?MatGUID=3f64b985402445c0a5af911135909344" TargetMode="External"/><Relationship Id="rId12" Type="http://schemas.openxmlformats.org/officeDocument/2006/relationships/hyperlink" Target="https://www.matweb.com/search/DataSheet.aspx?MatGUID=3f64b985402445c0a5af911135909344" TargetMode="External"/><Relationship Id="rId1" Type="http://schemas.openxmlformats.org/officeDocument/2006/relationships/hyperlink" Target="https://static1.squarespace.com/static/60d8d9b060e90a67c5c69db4/t/62997fbfa1150834ce0a9556/1654226881895/How+to+Design+Pressure+Vessels%2C+Propellant+Tanks%2C+and+Rocket+Motor+Casings.pdf" TargetMode="External"/><Relationship Id="rId2" Type="http://schemas.openxmlformats.org/officeDocument/2006/relationships/hyperlink" Target="https://www.matweb.com/search/DataSheet.aspx?MatGUID=3a2e111b27ef4e5d813bad6044b3f318&amp;ckck=1" TargetMode="External"/><Relationship Id="rId3" Type="http://schemas.openxmlformats.org/officeDocument/2006/relationships/hyperlink" Target="https://asm.matweb.com/search/specificmaterial.asp?bassnum=ma6061t6" TargetMode="External"/><Relationship Id="rId4" Type="http://schemas.openxmlformats.org/officeDocument/2006/relationships/hyperlink" Target="https://www.matweb.com/search/DataSheet.aspx?MatGUID=3a2e111b27ef4e5d813bad6044b3f318&amp;ckck=1" TargetMode="External"/><Relationship Id="rId9" Type="http://schemas.openxmlformats.org/officeDocument/2006/relationships/hyperlink" Target="https://www.matweb.com/search/datasheet_print.aspx?matguid=aca5faa6647a414b8a062c67174fa4ab" TargetMode="External"/><Relationship Id="rId15" Type="http://schemas.openxmlformats.org/officeDocument/2006/relationships/hyperlink" Target="https://en.wikipedia.org/wiki/Thermal_stress" TargetMode="External"/><Relationship Id="rId14" Type="http://schemas.openxmlformats.org/officeDocument/2006/relationships/hyperlink" Target="https://www.matweb.com/search/DataSheet.aspx?MatGUID=3f64b985402445c0a5af911135909344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en.wikipedia.org/wiki/Thermal_expansion" TargetMode="External"/><Relationship Id="rId5" Type="http://schemas.openxmlformats.org/officeDocument/2006/relationships/hyperlink" Target="https://asm.matweb.com/search/specificmaterial.asp?bassnum=ma6061t6" TargetMode="External"/><Relationship Id="rId6" Type="http://schemas.openxmlformats.org/officeDocument/2006/relationships/hyperlink" Target="https://www.mcmaster.com/91255A643/" TargetMode="External"/><Relationship Id="rId7" Type="http://schemas.openxmlformats.org/officeDocument/2006/relationships/hyperlink" Target="https://www.matweb.com/search/datasheet_print.aspx?matguid=aca5faa6647a414b8a062c67174fa4ab" TargetMode="External"/><Relationship Id="rId8" Type="http://schemas.openxmlformats.org/officeDocument/2006/relationships/hyperlink" Target="https://www.matweb.com/search/datasheet_print.aspx?matguid=aca5faa6647a414b8a062c67174fa4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4" max="4" width="17.5"/>
    <col customWidth="1" min="5" max="5" width="15.63"/>
    <col customWidth="1" min="6" max="6" width="8.13"/>
    <col customWidth="1" min="7" max="7" width="28.13"/>
    <col customWidth="1" min="8" max="8" width="21.75"/>
    <col customWidth="1" min="9" max="9" width="29.75"/>
    <col customWidth="1" min="10" max="10" width="13.5"/>
    <col customWidth="1" min="11" max="11" width="15.63"/>
    <col customWidth="1" min="12" max="12" width="15.75"/>
    <col customWidth="1" min="13" max="13" width="8.0"/>
    <col customWidth="1" min="15" max="15" width="22.13"/>
  </cols>
  <sheetData>
    <row r="2">
      <c r="O2" s="1" t="s">
        <v>0</v>
      </c>
      <c r="P2" s="1"/>
      <c r="Q2" s="1"/>
    </row>
    <row r="3">
      <c r="B3" s="2" t="s">
        <v>1</v>
      </c>
      <c r="C3" s="3"/>
      <c r="D3" s="3"/>
      <c r="E3" s="3"/>
      <c r="F3" s="3"/>
      <c r="G3" s="3"/>
      <c r="H3" s="3"/>
      <c r="O3" s="4" t="s">
        <v>2</v>
      </c>
      <c r="P3" s="5">
        <f>C30</f>
        <v>1.542529749</v>
      </c>
      <c r="Q3" s="4" t="s">
        <v>3</v>
      </c>
    </row>
    <row r="4">
      <c r="B4" s="6" t="s">
        <v>4</v>
      </c>
      <c r="C4" s="3"/>
      <c r="D4" s="3"/>
      <c r="E4" s="3"/>
      <c r="F4" s="3"/>
      <c r="G4" s="3"/>
      <c r="H4" s="3"/>
      <c r="O4" s="4" t="s">
        <v>5</v>
      </c>
      <c r="P4" s="5">
        <f>C60*C55</f>
        <v>2262.5</v>
      </c>
      <c r="Q4" s="4" t="s">
        <v>6</v>
      </c>
    </row>
    <row r="5">
      <c r="B5" s="7" t="s">
        <v>7</v>
      </c>
      <c r="C5" s="3"/>
      <c r="H5" s="3"/>
      <c r="O5" s="4" t="s">
        <v>8</v>
      </c>
      <c r="P5" s="4">
        <v>101325.0</v>
      </c>
      <c r="Q5" s="4" t="s">
        <v>9</v>
      </c>
    </row>
    <row r="6">
      <c r="B6" s="8" t="s">
        <v>10</v>
      </c>
      <c r="C6" s="3"/>
      <c r="E6" s="1" t="s">
        <v>11</v>
      </c>
      <c r="F6" s="1" t="s">
        <v>12</v>
      </c>
      <c r="G6" s="1" t="s">
        <v>13</v>
      </c>
      <c r="H6" s="3"/>
      <c r="O6" s="4" t="s">
        <v>14</v>
      </c>
      <c r="P6" s="4">
        <v>101325.0</v>
      </c>
      <c r="Q6" s="4" t="s">
        <v>9</v>
      </c>
    </row>
    <row r="7">
      <c r="B7" s="9" t="s">
        <v>15</v>
      </c>
      <c r="C7" s="3"/>
      <c r="E7" s="10" t="s">
        <v>16</v>
      </c>
      <c r="F7" s="11">
        <v>46058.0</v>
      </c>
      <c r="G7" s="10" t="s">
        <v>17</v>
      </c>
      <c r="H7" s="3"/>
      <c r="O7" s="4" t="s">
        <v>18</v>
      </c>
      <c r="P7" s="5">
        <f>L30</f>
        <v>0.004462099073</v>
      </c>
      <c r="Q7" s="4" t="s">
        <v>19</v>
      </c>
    </row>
    <row r="8">
      <c r="B8" s="12" t="s">
        <v>20</v>
      </c>
      <c r="C8" s="3"/>
      <c r="D8" s="3"/>
      <c r="E8" s="3"/>
      <c r="F8" s="3"/>
      <c r="G8" s="3"/>
      <c r="H8" s="3"/>
    </row>
    <row r="9">
      <c r="B9" s="13" t="s">
        <v>21</v>
      </c>
      <c r="C9" s="3"/>
      <c r="D9" s="3"/>
      <c r="E9" s="3"/>
      <c r="F9" s="3"/>
      <c r="G9" s="14" t="s">
        <v>22</v>
      </c>
      <c r="H9" s="3"/>
      <c r="O9" s="4" t="s">
        <v>23</v>
      </c>
      <c r="P9" s="5">
        <f>(P3*P4)+((P5-P6)*P7)</f>
        <v>3489.973557</v>
      </c>
      <c r="Q9" s="4" t="s">
        <v>24</v>
      </c>
    </row>
    <row r="10">
      <c r="B10" s="3"/>
      <c r="C10" s="3"/>
      <c r="D10" s="3"/>
      <c r="E10" s="3"/>
      <c r="F10" s="3"/>
      <c r="G10" s="3"/>
      <c r="H10" s="3"/>
      <c r="O10" s="4" t="s">
        <v>25</v>
      </c>
      <c r="P10" s="4">
        <v>3500.0</v>
      </c>
      <c r="Q10" s="4" t="s">
        <v>24</v>
      </c>
    </row>
    <row r="11">
      <c r="B11" s="3"/>
      <c r="E11" s="3"/>
      <c r="F11" s="3"/>
      <c r="G11" s="3"/>
      <c r="H11" s="3"/>
      <c r="O11" s="4" t="s">
        <v>26</v>
      </c>
      <c r="P11" s="5">
        <f> abs( (P9-P10) / (P10)) *100</f>
        <v>0.2864698105</v>
      </c>
      <c r="Q11" s="15" t="s">
        <v>27</v>
      </c>
    </row>
    <row r="12">
      <c r="B12" s="1" t="s">
        <v>28</v>
      </c>
    </row>
    <row r="13">
      <c r="B13" s="16" t="s">
        <v>29</v>
      </c>
      <c r="C13" s="16"/>
      <c r="F13" s="17"/>
      <c r="G13" s="17"/>
      <c r="H13" s="17"/>
      <c r="I13" s="17"/>
      <c r="J13" s="17"/>
    </row>
    <row r="14">
      <c r="F14" s="17"/>
      <c r="G14" s="17"/>
      <c r="H14" s="17"/>
      <c r="I14" s="17"/>
      <c r="J14" s="17"/>
    </row>
    <row r="15">
      <c r="B15" s="1" t="s">
        <v>30</v>
      </c>
      <c r="F15" s="17"/>
      <c r="G15" s="17"/>
      <c r="H15" s="17"/>
      <c r="I15" s="17"/>
      <c r="J15" s="17"/>
    </row>
    <row r="16">
      <c r="B16" s="16" t="s">
        <v>31</v>
      </c>
      <c r="C16" s="16"/>
      <c r="E16" s="18"/>
      <c r="F16" s="18"/>
      <c r="G16" s="18"/>
      <c r="H16" s="17"/>
      <c r="I16" s="17"/>
      <c r="J16" s="17"/>
    </row>
    <row r="17">
      <c r="F17" s="17"/>
      <c r="G17" s="17"/>
      <c r="H17" s="17"/>
      <c r="I17" s="17"/>
      <c r="J17" s="17"/>
    </row>
    <row r="18">
      <c r="B18" s="1" t="s">
        <v>32</v>
      </c>
      <c r="F18" s="17"/>
      <c r="G18" s="17"/>
      <c r="H18" s="17"/>
      <c r="I18" s="17"/>
      <c r="J18" s="17"/>
    </row>
    <row r="19">
      <c r="B19" s="16"/>
      <c r="C19" s="16"/>
      <c r="H19" s="17"/>
      <c r="I19" s="17"/>
      <c r="J19" s="17"/>
      <c r="K19" s="17"/>
    </row>
    <row r="20">
      <c r="H20" s="4"/>
      <c r="I20" s="4"/>
      <c r="J20" s="4"/>
      <c r="K20" s="4"/>
    </row>
    <row r="21">
      <c r="B21" s="1" t="s">
        <v>33</v>
      </c>
      <c r="C21" s="19"/>
      <c r="D21" s="19"/>
      <c r="E21" s="19" t="s">
        <v>34</v>
      </c>
      <c r="F21" s="19"/>
      <c r="G21" s="20" t="s">
        <v>35</v>
      </c>
      <c r="H21" s="4"/>
      <c r="I21" s="1" t="s">
        <v>36</v>
      </c>
      <c r="J21" s="19"/>
      <c r="K21" s="19"/>
      <c r="L21" s="19" t="s">
        <v>34</v>
      </c>
      <c r="M21" s="19"/>
      <c r="N21" s="20" t="s">
        <v>35</v>
      </c>
      <c r="O21" s="21"/>
    </row>
    <row r="22">
      <c r="B22" s="22" t="s">
        <v>37</v>
      </c>
      <c r="C22" s="23"/>
      <c r="D22" s="24"/>
      <c r="E22" s="25"/>
      <c r="F22" s="25"/>
      <c r="G22" s="26"/>
      <c r="H22" s="4"/>
      <c r="I22" s="27" t="s">
        <v>38</v>
      </c>
      <c r="J22" s="28">
        <f>C24</f>
        <v>4.908738521</v>
      </c>
      <c r="K22" s="29" t="s">
        <v>39</v>
      </c>
      <c r="L22" s="28">
        <f t="shared" ref="L22:L24" si="1">convert(J22,K22,M22)</f>
        <v>0.003166921744</v>
      </c>
      <c r="M22" s="29" t="s">
        <v>19</v>
      </c>
      <c r="N22" s="30"/>
      <c r="O22" s="21"/>
    </row>
    <row r="23">
      <c r="B23" s="31" t="s">
        <v>40</v>
      </c>
      <c r="C23" s="32">
        <f>1.25*2</f>
        <v>2.5</v>
      </c>
      <c r="D23" s="32" t="s">
        <v>41</v>
      </c>
      <c r="E23" s="21">
        <f t="shared" ref="E23:E24" si="2">convert(C23,D23,F23)</f>
        <v>0.0635</v>
      </c>
      <c r="F23" s="4" t="s">
        <v>42</v>
      </c>
      <c r="G23" s="33" t="s">
        <v>43</v>
      </c>
      <c r="H23" s="4"/>
      <c r="I23" s="34" t="s">
        <v>44</v>
      </c>
      <c r="J23" s="21">
        <f>J24/2</f>
        <v>1.25</v>
      </c>
      <c r="K23" s="35" t="s">
        <v>41</v>
      </c>
      <c r="L23" s="21">
        <f t="shared" si="1"/>
        <v>0.03175</v>
      </c>
      <c r="M23" s="35" t="s">
        <v>42</v>
      </c>
      <c r="N23" s="36"/>
      <c r="O23" s="21"/>
    </row>
    <row r="24">
      <c r="B24" s="37" t="s">
        <v>45</v>
      </c>
      <c r="C24" s="38">
        <f>(C23^2) * (pi()/4)</f>
        <v>4.908738521</v>
      </c>
      <c r="D24" s="39" t="s">
        <v>39</v>
      </c>
      <c r="E24" s="40">
        <f t="shared" si="2"/>
        <v>0.003166921744</v>
      </c>
      <c r="F24" s="39" t="s">
        <v>19</v>
      </c>
      <c r="G24" s="41" t="s">
        <v>46</v>
      </c>
      <c r="H24" s="4"/>
      <c r="I24" s="42" t="s">
        <v>47</v>
      </c>
      <c r="J24" s="43">
        <f>C23</f>
        <v>2.5</v>
      </c>
      <c r="K24" s="44" t="s">
        <v>41</v>
      </c>
      <c r="L24" s="40">
        <f t="shared" si="1"/>
        <v>0.0635</v>
      </c>
      <c r="M24" s="45" t="s">
        <v>42</v>
      </c>
      <c r="N24" s="46"/>
      <c r="O24" s="21"/>
    </row>
    <row r="25">
      <c r="B25" s="47"/>
      <c r="D25" s="4"/>
      <c r="E25" s="21"/>
      <c r="G25" s="48"/>
      <c r="H25" s="4"/>
      <c r="I25" s="49"/>
      <c r="K25" s="35"/>
      <c r="L25" s="21"/>
      <c r="M25" s="21"/>
      <c r="N25" s="36"/>
      <c r="O25" s="21"/>
    </row>
    <row r="26">
      <c r="B26" s="22" t="s">
        <v>48</v>
      </c>
      <c r="C26" s="25"/>
      <c r="D26" s="50"/>
      <c r="E26" s="28"/>
      <c r="F26" s="25"/>
      <c r="G26" s="26"/>
      <c r="H26" s="4"/>
      <c r="I26" s="27" t="s">
        <v>49</v>
      </c>
      <c r="J26" s="25">
        <f t="shared" ref="J26:J28" si="3">convert(L26,M26,K26)</f>
        <v>1.849269357</v>
      </c>
      <c r="K26" s="29" t="s">
        <v>39</v>
      </c>
      <c r="L26" s="29">
        <f>C30/( (1+ (C63-1)/2) ^ ( (1+C63)/ (2 *(1-C63))) * E37*(sqrt(C63/(C33*C44))))</f>
        <v>0.001193074618</v>
      </c>
      <c r="M26" s="29" t="s">
        <v>19</v>
      </c>
      <c r="N26" s="30"/>
      <c r="O26" s="35"/>
      <c r="R26" s="35" t="s">
        <v>50</v>
      </c>
      <c r="S26" s="51" t="s">
        <v>51</v>
      </c>
    </row>
    <row r="27">
      <c r="B27" s="52" t="s">
        <v>52</v>
      </c>
      <c r="C27" s="32">
        <v>3500.0</v>
      </c>
      <c r="D27" s="32" t="s">
        <v>24</v>
      </c>
      <c r="E27" s="21">
        <f>convert(C27,D27,F27)</f>
        <v>786.8313008</v>
      </c>
      <c r="F27" s="4" t="s">
        <v>53</v>
      </c>
      <c r="G27" s="33" t="s">
        <v>54</v>
      </c>
      <c r="H27" s="4"/>
      <c r="I27" s="34" t="s">
        <v>55</v>
      </c>
      <c r="J27" s="5">
        <f t="shared" si="3"/>
        <v>0.7672292477</v>
      </c>
      <c r="K27" s="35" t="s">
        <v>41</v>
      </c>
      <c r="L27" s="5">
        <f>L28/2</f>
        <v>0.01948762289</v>
      </c>
      <c r="M27" s="35" t="s">
        <v>42</v>
      </c>
      <c r="N27" s="36"/>
      <c r="O27" s="21"/>
    </row>
    <row r="28">
      <c r="B28" s="52" t="s">
        <v>56</v>
      </c>
      <c r="C28" s="32">
        <v>3.5</v>
      </c>
      <c r="D28" s="32" t="s">
        <v>57</v>
      </c>
      <c r="G28" s="48"/>
      <c r="H28" s="4"/>
      <c r="I28" s="42" t="s">
        <v>58</v>
      </c>
      <c r="J28" s="43">
        <f t="shared" si="3"/>
        <v>1.534458495</v>
      </c>
      <c r="K28" s="44" t="s">
        <v>41</v>
      </c>
      <c r="L28" s="38">
        <f>sqrt( (4/pi() ) * L26)</f>
        <v>0.03897524579</v>
      </c>
      <c r="M28" s="45" t="s">
        <v>42</v>
      </c>
      <c r="N28" s="46"/>
      <c r="O28" s="21"/>
    </row>
    <row r="29">
      <c r="B29" s="53" t="s">
        <v>59</v>
      </c>
      <c r="C29" s="5">
        <f>C27*C28</f>
        <v>12250</v>
      </c>
      <c r="D29" s="4" t="s">
        <v>60</v>
      </c>
      <c r="G29" s="33" t="s">
        <v>61</v>
      </c>
      <c r="I29" s="34"/>
      <c r="K29" s="35"/>
      <c r="L29" s="21"/>
      <c r="M29" s="21"/>
      <c r="N29" s="36"/>
      <c r="O29" s="21"/>
    </row>
    <row r="30">
      <c r="B30" s="54" t="s">
        <v>62</v>
      </c>
      <c r="C30" s="55">
        <f>C27/(C66*9.81)</f>
        <v>1.542529749</v>
      </c>
      <c r="D30" s="56" t="s">
        <v>3</v>
      </c>
      <c r="G30" s="48"/>
      <c r="H30" s="4"/>
      <c r="I30" s="27" t="s">
        <v>63</v>
      </c>
      <c r="J30" s="25">
        <f t="shared" ref="J30:J32" si="4">convert(L30,M30,K30)</f>
        <v>6.916267396</v>
      </c>
      <c r="K30" s="29" t="s">
        <v>39</v>
      </c>
      <c r="L30" s="28">
        <f>L26*C50</f>
        <v>0.004462099073</v>
      </c>
      <c r="M30" s="29" t="s">
        <v>19</v>
      </c>
      <c r="N30" s="30"/>
      <c r="O30" s="21"/>
    </row>
    <row r="31">
      <c r="B31" s="53" t="s">
        <v>64</v>
      </c>
      <c r="C31" s="4">
        <v>8314.0</v>
      </c>
      <c r="D31" s="4"/>
      <c r="G31" s="33" t="s">
        <v>65</v>
      </c>
      <c r="H31" s="4"/>
      <c r="I31" s="34" t="s">
        <v>66</v>
      </c>
      <c r="J31" s="5">
        <f t="shared" si="4"/>
        <v>1.48375075</v>
      </c>
      <c r="K31" s="35" t="s">
        <v>41</v>
      </c>
      <c r="L31" s="5">
        <f>L32/2</f>
        <v>0.03768726905</v>
      </c>
      <c r="M31" s="35" t="s">
        <v>42</v>
      </c>
      <c r="N31" s="36"/>
      <c r="O31" s="21"/>
    </row>
    <row r="32">
      <c r="B32" s="53" t="s">
        <v>67</v>
      </c>
      <c r="C32" s="4">
        <v>26.155</v>
      </c>
      <c r="D32" s="4"/>
      <c r="G32" s="33" t="s">
        <v>68</v>
      </c>
      <c r="H32" s="4"/>
      <c r="I32" s="42" t="s">
        <v>69</v>
      </c>
      <c r="J32" s="43">
        <f t="shared" si="4"/>
        <v>2.9675015</v>
      </c>
      <c r="K32" s="44" t="s">
        <v>41</v>
      </c>
      <c r="L32" s="38">
        <f>sqrt( (4/pi() ) * L30)</f>
        <v>0.07537453809</v>
      </c>
      <c r="M32" s="45" t="s">
        <v>42</v>
      </c>
      <c r="N32" s="46"/>
      <c r="O32" s="21"/>
    </row>
    <row r="33">
      <c r="B33" s="57" t="s">
        <v>70</v>
      </c>
      <c r="C33" s="39">
        <f>C31/C32</f>
        <v>317.8742114</v>
      </c>
      <c r="D33" s="39" t="s">
        <v>71</v>
      </c>
      <c r="E33" s="38"/>
      <c r="F33" s="38"/>
      <c r="G33" s="41" t="s">
        <v>72</v>
      </c>
      <c r="H33" s="4"/>
      <c r="I33" s="49"/>
      <c r="N33" s="48"/>
      <c r="O33" s="21"/>
    </row>
    <row r="34">
      <c r="B34" s="58"/>
      <c r="D34" s="4"/>
      <c r="G34" s="48"/>
      <c r="H34" s="4"/>
      <c r="I34" s="59" t="s">
        <v>73</v>
      </c>
      <c r="J34" s="60">
        <v>30.0</v>
      </c>
      <c r="K34" s="61" t="s">
        <v>74</v>
      </c>
      <c r="L34" s="25">
        <f>radians(J34)</f>
        <v>0.5235987756</v>
      </c>
      <c r="M34" s="29" t="s">
        <v>75</v>
      </c>
      <c r="N34" s="62" t="s">
        <v>76</v>
      </c>
      <c r="O34" s="21"/>
    </row>
    <row r="35">
      <c r="B35" s="22" t="s">
        <v>77</v>
      </c>
      <c r="C35" s="23"/>
      <c r="D35" s="24"/>
      <c r="E35" s="28"/>
      <c r="F35" s="25"/>
      <c r="G35" s="26"/>
      <c r="H35" s="4"/>
      <c r="I35" s="42" t="s">
        <v>78</v>
      </c>
      <c r="J35" s="43">
        <f>convert(L35,M35,K35)</f>
        <v>0.8361834713</v>
      </c>
      <c r="K35" s="44" t="s">
        <v>41</v>
      </c>
      <c r="L35" s="38">
        <f>(L23-L27)/(tan(L34))</f>
        <v>0.02123906017</v>
      </c>
      <c r="M35" s="45" t="s">
        <v>42</v>
      </c>
      <c r="N35" s="63"/>
    </row>
    <row r="36">
      <c r="B36" s="31" t="s">
        <v>8</v>
      </c>
      <c r="C36" s="64">
        <v>14.7</v>
      </c>
      <c r="D36" s="64" t="s">
        <v>79</v>
      </c>
      <c r="E36" s="21">
        <f t="shared" ref="E36:E37" si="5">convert(C36,D36,F36)</f>
        <v>101352.9322</v>
      </c>
      <c r="F36" s="35" t="s">
        <v>9</v>
      </c>
      <c r="G36" s="65" t="s">
        <v>80</v>
      </c>
      <c r="H36" s="4"/>
      <c r="I36" s="53"/>
      <c r="N36" s="48"/>
    </row>
    <row r="37">
      <c r="B37" s="66" t="s">
        <v>81</v>
      </c>
      <c r="C37" s="67">
        <v>300.0</v>
      </c>
      <c r="D37" s="67" t="s">
        <v>79</v>
      </c>
      <c r="E37" s="40">
        <f t="shared" si="5"/>
        <v>2068427.188</v>
      </c>
      <c r="F37" s="45" t="s">
        <v>9</v>
      </c>
      <c r="G37" s="68" t="s">
        <v>82</v>
      </c>
      <c r="H37" s="35"/>
      <c r="I37" s="59" t="s">
        <v>83</v>
      </c>
      <c r="J37" s="60">
        <v>15.0</v>
      </c>
      <c r="K37" s="61" t="s">
        <v>74</v>
      </c>
      <c r="L37" s="25">
        <f>radians(J37)</f>
        <v>0.2617993878</v>
      </c>
      <c r="M37" s="29" t="s">
        <v>75</v>
      </c>
      <c r="N37" s="62" t="s">
        <v>76</v>
      </c>
    </row>
    <row r="38">
      <c r="B38" s="49"/>
      <c r="C38" s="21"/>
      <c r="D38" s="21"/>
      <c r="E38" s="21"/>
      <c r="F38" s="21"/>
      <c r="G38" s="36"/>
      <c r="H38" s="21"/>
      <c r="I38" s="42" t="s">
        <v>84</v>
      </c>
      <c r="J38" s="43">
        <f>convert(L38,M38,K38)</f>
        <v>2.67409465</v>
      </c>
      <c r="K38" s="44" t="s">
        <v>41</v>
      </c>
      <c r="L38" s="38">
        <f>(L31-L27)/(tan(L37))</f>
        <v>0.06792200412</v>
      </c>
      <c r="M38" s="45" t="s">
        <v>42</v>
      </c>
      <c r="N38" s="63"/>
    </row>
    <row r="39">
      <c r="B39" s="22" t="s">
        <v>85</v>
      </c>
      <c r="C39" s="28"/>
      <c r="D39" s="28"/>
      <c r="E39" s="28"/>
      <c r="F39" s="28"/>
      <c r="G39" s="30"/>
      <c r="H39" s="21"/>
      <c r="I39" s="53"/>
      <c r="N39" s="48"/>
    </row>
    <row r="40">
      <c r="B40" s="31" t="s">
        <v>86</v>
      </c>
      <c r="C40" s="69">
        <f>C37/C36</f>
        <v>20.40816327</v>
      </c>
      <c r="D40" s="69"/>
      <c r="E40" s="21"/>
      <c r="F40" s="21"/>
      <c r="G40" s="65" t="s">
        <v>87</v>
      </c>
      <c r="H40" s="21"/>
      <c r="I40" s="70" t="s">
        <v>88</v>
      </c>
      <c r="J40" s="71">
        <f>J38+J35</f>
        <v>3.510278122</v>
      </c>
      <c r="K40" s="72" t="s">
        <v>41</v>
      </c>
      <c r="L40" s="73"/>
      <c r="M40" s="73"/>
      <c r="N40" s="74"/>
    </row>
    <row r="41">
      <c r="B41" s="75" t="s">
        <v>89</v>
      </c>
      <c r="C41" s="76">
        <v>1.7418</v>
      </c>
      <c r="D41" s="77"/>
      <c r="E41" s="40"/>
      <c r="F41" s="40"/>
      <c r="G41" s="68" t="s">
        <v>90</v>
      </c>
      <c r="H41" s="21"/>
    </row>
    <row r="42">
      <c r="B42" s="34"/>
      <c r="C42" s="21"/>
      <c r="D42" s="21"/>
      <c r="E42" s="21"/>
      <c r="F42" s="21"/>
      <c r="G42" s="36"/>
      <c r="H42" s="35"/>
    </row>
    <row r="43">
      <c r="B43" s="22" t="s">
        <v>91</v>
      </c>
      <c r="C43" s="28"/>
      <c r="D43" s="28"/>
      <c r="E43" s="28"/>
      <c r="F43" s="28"/>
      <c r="G43" s="30"/>
      <c r="H43" s="21"/>
    </row>
    <row r="44">
      <c r="B44" s="78" t="s">
        <v>92</v>
      </c>
      <c r="C44" s="79">
        <v>3284.0</v>
      </c>
      <c r="D44" s="79" t="s">
        <v>93</v>
      </c>
      <c r="E44" s="21">
        <f t="shared" ref="E44:E46" si="6">convert(C44,D44,F44)</f>
        <v>3010.85</v>
      </c>
      <c r="F44" s="35" t="s">
        <v>94</v>
      </c>
      <c r="G44" s="65" t="s">
        <v>95</v>
      </c>
      <c r="H44" s="21"/>
    </row>
    <row r="45">
      <c r="B45" s="78" t="s">
        <v>96</v>
      </c>
      <c r="C45" s="79">
        <v>3090.0</v>
      </c>
      <c r="D45" s="79" t="s">
        <v>93</v>
      </c>
      <c r="E45" s="21">
        <f t="shared" si="6"/>
        <v>2816.85</v>
      </c>
      <c r="F45" s="35" t="s">
        <v>94</v>
      </c>
      <c r="G45" s="65" t="s">
        <v>97</v>
      </c>
      <c r="H45" s="35"/>
    </row>
    <row r="46">
      <c r="B46" s="75" t="s">
        <v>98</v>
      </c>
      <c r="C46" s="76">
        <v>2179.0</v>
      </c>
      <c r="D46" s="76" t="s">
        <v>93</v>
      </c>
      <c r="E46" s="40">
        <f t="shared" si="6"/>
        <v>1905.85</v>
      </c>
      <c r="F46" s="45" t="s">
        <v>94</v>
      </c>
      <c r="G46" s="68" t="s">
        <v>99</v>
      </c>
      <c r="H46" s="35"/>
    </row>
    <row r="47">
      <c r="B47" s="34"/>
      <c r="C47" s="21"/>
      <c r="D47" s="21"/>
      <c r="E47" s="21"/>
      <c r="F47" s="35"/>
      <c r="G47" s="36"/>
      <c r="H47" s="35"/>
    </row>
    <row r="48">
      <c r="B48" s="22" t="s">
        <v>100</v>
      </c>
      <c r="C48" s="28"/>
      <c r="D48" s="28"/>
      <c r="E48" s="28"/>
      <c r="F48" s="29"/>
      <c r="G48" s="30"/>
      <c r="H48" s="21"/>
    </row>
    <row r="49">
      <c r="B49" s="54" t="s">
        <v>101</v>
      </c>
      <c r="C49" s="55">
        <f>L22/L26</f>
        <v>2.654420516</v>
      </c>
      <c r="D49" s="80"/>
      <c r="E49" s="21"/>
      <c r="F49" s="35"/>
      <c r="G49" s="65" t="s">
        <v>102</v>
      </c>
      <c r="H49" s="35" t="s">
        <v>103</v>
      </c>
    </row>
    <row r="50">
      <c r="B50" s="75" t="s">
        <v>104</v>
      </c>
      <c r="C50" s="76">
        <v>3.74</v>
      </c>
      <c r="D50" s="77"/>
      <c r="E50" s="40"/>
      <c r="F50" s="45"/>
      <c r="G50" s="46"/>
      <c r="H50" s="35"/>
    </row>
    <row r="51">
      <c r="B51" s="34"/>
      <c r="C51" s="21"/>
      <c r="D51" s="21"/>
      <c r="E51" s="21"/>
      <c r="F51" s="35"/>
      <c r="G51" s="36"/>
      <c r="H51" s="35"/>
    </row>
    <row r="52">
      <c r="B52" s="22" t="s">
        <v>105</v>
      </c>
      <c r="C52" s="28"/>
      <c r="D52" s="28"/>
      <c r="E52" s="28"/>
      <c r="F52" s="28"/>
      <c r="G52" s="30"/>
      <c r="H52" s="21"/>
    </row>
    <row r="53">
      <c r="B53" s="78" t="s">
        <v>106</v>
      </c>
      <c r="C53" s="79">
        <v>0.0</v>
      </c>
      <c r="D53" s="81"/>
      <c r="E53" s="21"/>
      <c r="F53" s="21"/>
      <c r="G53" s="33" t="s">
        <v>107</v>
      </c>
      <c r="H53" s="21"/>
    </row>
    <row r="54">
      <c r="B54" s="78" t="s">
        <v>108</v>
      </c>
      <c r="C54" s="79">
        <v>1.0</v>
      </c>
      <c r="D54" s="81"/>
      <c r="E54" s="21"/>
      <c r="F54" s="21"/>
      <c r="G54" s="33" t="s">
        <v>109</v>
      </c>
    </row>
    <row r="55">
      <c r="B55" s="75" t="s">
        <v>110</v>
      </c>
      <c r="C55" s="76">
        <v>2.5</v>
      </c>
      <c r="D55" s="77"/>
      <c r="E55" s="40"/>
      <c r="F55" s="40"/>
      <c r="G55" s="41" t="s">
        <v>111</v>
      </c>
    </row>
    <row r="56">
      <c r="B56" s="47"/>
      <c r="C56" s="21"/>
      <c r="D56" s="21"/>
      <c r="E56" s="21"/>
      <c r="F56" s="21"/>
      <c r="G56" s="36"/>
    </row>
    <row r="57">
      <c r="B57" s="22" t="s">
        <v>112</v>
      </c>
      <c r="C57" s="28"/>
      <c r="D57" s="28"/>
      <c r="E57" s="28"/>
      <c r="F57" s="28"/>
      <c r="G57" s="30"/>
      <c r="H57" s="21"/>
    </row>
    <row r="58">
      <c r="B58" s="78" t="s">
        <v>113</v>
      </c>
      <c r="C58" s="79">
        <v>1096.1</v>
      </c>
      <c r="D58" s="79" t="s">
        <v>6</v>
      </c>
      <c r="E58" s="21"/>
      <c r="F58" s="21"/>
      <c r="G58" s="36"/>
      <c r="H58" s="21"/>
    </row>
    <row r="59">
      <c r="B59" s="78" t="s">
        <v>114</v>
      </c>
      <c r="C59" s="79">
        <v>1057.2</v>
      </c>
      <c r="D59" s="79" t="s">
        <v>6</v>
      </c>
      <c r="E59" s="21"/>
      <c r="F59" s="21"/>
      <c r="G59" s="36"/>
      <c r="H59" s="21"/>
    </row>
    <row r="60">
      <c r="B60" s="75" t="s">
        <v>5</v>
      </c>
      <c r="C60" s="76">
        <v>905.0</v>
      </c>
      <c r="D60" s="76" t="s">
        <v>6</v>
      </c>
      <c r="E60" s="40"/>
      <c r="F60" s="40"/>
      <c r="G60" s="46"/>
      <c r="H60" s="21"/>
    </row>
    <row r="61">
      <c r="B61" s="47"/>
      <c r="C61" s="21"/>
      <c r="D61" s="21"/>
      <c r="E61" s="21"/>
      <c r="F61" s="21"/>
      <c r="G61" s="36"/>
      <c r="H61" s="21"/>
    </row>
    <row r="62">
      <c r="B62" s="22" t="s">
        <v>115</v>
      </c>
      <c r="C62" s="28"/>
      <c r="D62" s="28"/>
      <c r="E62" s="28"/>
      <c r="F62" s="28"/>
      <c r="G62" s="30"/>
      <c r="H62" s="21"/>
    </row>
    <row r="63">
      <c r="B63" s="78" t="s">
        <v>116</v>
      </c>
      <c r="C63" s="79">
        <v>1.15</v>
      </c>
      <c r="D63" s="81"/>
      <c r="E63" s="21"/>
      <c r="F63" s="21"/>
      <c r="G63" s="36"/>
      <c r="H63" s="21"/>
    </row>
    <row r="64">
      <c r="B64" s="78" t="s">
        <v>117</v>
      </c>
      <c r="C64" s="79">
        <v>1.42</v>
      </c>
      <c r="D64" s="81"/>
      <c r="E64" s="21"/>
      <c r="F64" s="21"/>
      <c r="G64" s="65" t="s">
        <v>118</v>
      </c>
      <c r="H64" s="35"/>
    </row>
    <row r="65">
      <c r="B65" s="78" t="s">
        <v>119</v>
      </c>
      <c r="C65" s="79">
        <v>2269.0</v>
      </c>
      <c r="D65" s="79" t="s">
        <v>6</v>
      </c>
      <c r="E65" s="21"/>
      <c r="F65" s="21"/>
      <c r="G65" s="36"/>
      <c r="H65" s="35"/>
    </row>
    <row r="66">
      <c r="B66" s="37" t="s">
        <v>120</v>
      </c>
      <c r="C66" s="40">
        <f>C65/9.81</f>
        <v>231.2945973</v>
      </c>
      <c r="D66" s="45" t="s">
        <v>57</v>
      </c>
      <c r="E66" s="40"/>
      <c r="F66" s="40"/>
      <c r="G66" s="46"/>
      <c r="H66" s="21"/>
    </row>
    <row r="67">
      <c r="H67" s="21"/>
    </row>
    <row r="68">
      <c r="H68" s="21"/>
    </row>
    <row r="69">
      <c r="B69" s="82" t="s">
        <v>121</v>
      </c>
      <c r="C69" s="83"/>
      <c r="D69" s="83"/>
      <c r="E69" s="83"/>
      <c r="F69" s="84"/>
      <c r="G69" s="85"/>
      <c r="H69" s="21"/>
      <c r="I69" s="86" t="s">
        <v>122</v>
      </c>
      <c r="J69" s="87"/>
      <c r="K69" s="87"/>
      <c r="L69" s="87"/>
      <c r="M69" s="87"/>
      <c r="N69" s="88"/>
    </row>
    <row r="70">
      <c r="B70" s="89" t="s">
        <v>123</v>
      </c>
      <c r="C70" s="90"/>
      <c r="D70" s="91" t="s">
        <v>124</v>
      </c>
      <c r="E70" s="92" t="s">
        <v>125</v>
      </c>
      <c r="F70" s="93">
        <v>7.47</v>
      </c>
      <c r="G70" s="94" t="s">
        <v>126</v>
      </c>
      <c r="H70" s="21"/>
      <c r="I70" s="95" t="s">
        <v>127</v>
      </c>
      <c r="J70" s="96">
        <v>0.038</v>
      </c>
      <c r="K70" s="96" t="s">
        <v>42</v>
      </c>
      <c r="L70" s="97"/>
      <c r="M70" s="97"/>
      <c r="N70" s="98"/>
      <c r="T70" s="4" t="s">
        <v>128</v>
      </c>
      <c r="U70" s="99" t="s">
        <v>129</v>
      </c>
    </row>
    <row r="71">
      <c r="B71" s="100" t="s">
        <v>130</v>
      </c>
      <c r="C71" s="94" t="s">
        <v>131</v>
      </c>
      <c r="D71" s="85"/>
      <c r="E71" s="85"/>
      <c r="F71" s="101"/>
      <c r="G71" s="85"/>
      <c r="I71" s="95" t="s">
        <v>132</v>
      </c>
      <c r="J71" s="96">
        <v>1599.7</v>
      </c>
      <c r="K71" s="96" t="s">
        <v>6</v>
      </c>
      <c r="L71" s="97"/>
      <c r="M71" s="97"/>
      <c r="N71" s="102" t="s">
        <v>133</v>
      </c>
    </row>
    <row r="72">
      <c r="B72" s="100" t="s">
        <v>134</v>
      </c>
      <c r="C72" s="103" t="s">
        <v>135</v>
      </c>
      <c r="D72" s="85"/>
      <c r="E72" s="85"/>
      <c r="F72" s="101"/>
      <c r="G72" s="85"/>
      <c r="I72" s="95" t="s">
        <v>136</v>
      </c>
      <c r="J72" s="96">
        <v>3701.2</v>
      </c>
      <c r="K72" s="96" t="s">
        <v>137</v>
      </c>
      <c r="L72" s="97"/>
      <c r="M72" s="97"/>
      <c r="N72" s="102" t="s">
        <v>133</v>
      </c>
    </row>
    <row r="73">
      <c r="B73" s="53" t="s">
        <v>138</v>
      </c>
      <c r="C73" s="4">
        <v>0.132</v>
      </c>
      <c r="D73" s="94" t="s">
        <v>41</v>
      </c>
      <c r="E73" s="85">
        <f t="shared" ref="E73:E74" si="7">CONVERT(C73,D73,F73)</f>
        <v>0.0033528</v>
      </c>
      <c r="F73" s="104" t="s">
        <v>42</v>
      </c>
      <c r="G73" s="85"/>
      <c r="I73" s="95" t="s">
        <v>139</v>
      </c>
      <c r="J73" s="96">
        <f>6894.757*L73</f>
        <v>2068427.1</v>
      </c>
      <c r="K73" s="96" t="s">
        <v>9</v>
      </c>
      <c r="L73" s="96">
        <v>300.0</v>
      </c>
      <c r="M73" s="96" t="s">
        <v>79</v>
      </c>
      <c r="N73" s="98"/>
    </row>
    <row r="74">
      <c r="B74" s="53" t="s">
        <v>140</v>
      </c>
      <c r="C74" s="4">
        <v>0.437</v>
      </c>
      <c r="D74" s="4" t="s">
        <v>41</v>
      </c>
      <c r="E74" s="85">
        <f t="shared" si="7"/>
        <v>0.0110998</v>
      </c>
      <c r="F74" s="104" t="s">
        <v>42</v>
      </c>
      <c r="G74" s="85"/>
      <c r="I74" s="95" t="s">
        <v>141</v>
      </c>
      <c r="J74" s="96">
        <f>L74/39.37</f>
        <v>0.00254000508</v>
      </c>
      <c r="K74" s="96" t="s">
        <v>42</v>
      </c>
      <c r="L74" s="96">
        <v>0.1</v>
      </c>
      <c r="M74" s="96" t="s">
        <v>41</v>
      </c>
      <c r="N74" s="102" t="s">
        <v>142</v>
      </c>
    </row>
    <row r="75">
      <c r="B75" s="100" t="s">
        <v>143</v>
      </c>
      <c r="C75" s="103" t="s">
        <v>144</v>
      </c>
      <c r="D75" s="94" t="s">
        <v>41</v>
      </c>
      <c r="E75" s="94"/>
      <c r="F75" s="101"/>
      <c r="G75" s="85"/>
      <c r="I75" s="95" t="s">
        <v>145</v>
      </c>
      <c r="J75" s="96">
        <v>0.5007</v>
      </c>
      <c r="K75" s="96"/>
      <c r="L75" s="97"/>
      <c r="M75" s="97"/>
      <c r="N75" s="102" t="s">
        <v>146</v>
      </c>
    </row>
    <row r="76">
      <c r="B76" s="100" t="s">
        <v>147</v>
      </c>
      <c r="C76" s="103" t="s">
        <v>148</v>
      </c>
      <c r="D76" s="85"/>
      <c r="E76" s="85"/>
      <c r="F76" s="101"/>
      <c r="G76" s="85"/>
      <c r="I76" s="95" t="s">
        <v>149</v>
      </c>
      <c r="J76" s="105">
        <v>9.181E-5</v>
      </c>
      <c r="K76" s="96" t="s">
        <v>150</v>
      </c>
      <c r="L76" s="97"/>
      <c r="M76" s="97"/>
      <c r="N76" s="102" t="s">
        <v>146</v>
      </c>
    </row>
    <row r="77">
      <c r="B77" s="100" t="s">
        <v>151</v>
      </c>
      <c r="C77" s="103" t="s">
        <v>152</v>
      </c>
      <c r="D77" s="85"/>
      <c r="E77" s="85"/>
      <c r="F77" s="101"/>
      <c r="G77" s="85"/>
      <c r="I77" s="95" t="s">
        <v>153</v>
      </c>
      <c r="J77" s="96">
        <v>1.0</v>
      </c>
      <c r="K77" s="97"/>
      <c r="L77" s="96" t="s">
        <v>154</v>
      </c>
      <c r="M77" s="97"/>
      <c r="N77" s="98"/>
    </row>
    <row r="78">
      <c r="B78" s="95" t="s">
        <v>155</v>
      </c>
      <c r="C78" s="96">
        <v>0.25</v>
      </c>
      <c r="D78" s="96" t="s">
        <v>41</v>
      </c>
      <c r="E78" s="85">
        <f t="shared" ref="E78:E81" si="8">CONVERT(C78,D78,F78)</f>
        <v>0.00635</v>
      </c>
      <c r="F78" s="104" t="s">
        <v>42</v>
      </c>
      <c r="G78" s="85"/>
      <c r="I78" s="95" t="s">
        <v>156</v>
      </c>
      <c r="J78" s="96">
        <v>0.6</v>
      </c>
      <c r="K78" s="96"/>
      <c r="L78" s="96"/>
      <c r="M78" s="97"/>
      <c r="N78" s="106" t="s">
        <v>157</v>
      </c>
    </row>
    <row r="79">
      <c r="B79" s="95" t="s">
        <v>158</v>
      </c>
      <c r="C79" s="96">
        <v>0.1887</v>
      </c>
      <c r="D79" s="96" t="s">
        <v>41</v>
      </c>
      <c r="E79" s="85">
        <f t="shared" si="8"/>
        <v>0.00479298</v>
      </c>
      <c r="F79" s="104" t="s">
        <v>42</v>
      </c>
      <c r="G79" s="94" t="s">
        <v>159</v>
      </c>
      <c r="I79" s="95" t="s">
        <v>160</v>
      </c>
      <c r="J79" s="96">
        <v>1761.0</v>
      </c>
      <c r="K79" s="96" t="s">
        <v>93</v>
      </c>
      <c r="L79" s="96"/>
      <c r="M79" s="97"/>
      <c r="N79" s="102" t="s">
        <v>161</v>
      </c>
    </row>
    <row r="80">
      <c r="B80" s="107" t="s">
        <v>162</v>
      </c>
      <c r="C80" s="108">
        <v>0.375</v>
      </c>
      <c r="D80" s="108" t="s">
        <v>41</v>
      </c>
      <c r="E80" s="85">
        <f t="shared" si="8"/>
        <v>0.009525</v>
      </c>
      <c r="F80" s="104" t="s">
        <v>42</v>
      </c>
      <c r="G80" s="85"/>
      <c r="I80" s="95" t="s">
        <v>163</v>
      </c>
      <c r="J80" s="96">
        <v>3284.0</v>
      </c>
      <c r="K80" s="96" t="s">
        <v>93</v>
      </c>
      <c r="L80" s="96"/>
      <c r="M80" s="97"/>
      <c r="N80" s="102" t="s">
        <v>164</v>
      </c>
    </row>
    <row r="81">
      <c r="B81" s="109" t="s">
        <v>165</v>
      </c>
      <c r="C81" s="110">
        <v>70000.0</v>
      </c>
      <c r="D81" s="110" t="s">
        <v>79</v>
      </c>
      <c r="E81" s="111">
        <f t="shared" si="8"/>
        <v>482.6330105</v>
      </c>
      <c r="F81" s="112" t="s">
        <v>166</v>
      </c>
      <c r="G81" s="85"/>
      <c r="I81" s="113" t="s">
        <v>167</v>
      </c>
      <c r="J81" s="4">
        <v>1.0</v>
      </c>
      <c r="K81" s="114"/>
      <c r="L81" s="115"/>
      <c r="M81" s="4" t="s">
        <v>168</v>
      </c>
      <c r="N81" s="116">
        <f>1/((0.5*J79/J80*(1+(C63-1)/2*1^2)+0.5)^(0.8-2*J78)*(1+(C63-1)/2*1^2)^(0.2*J78))</f>
        <v>0.9013459451</v>
      </c>
    </row>
    <row r="82">
      <c r="G82" s="85"/>
      <c r="I82" s="54" t="s">
        <v>169</v>
      </c>
      <c r="J82" s="55">
        <f>N81*J77^0.9*(0.026/(J70^0.2))*((J76^0.2)*J72/(J75^0.6))*((J73/J71)^0.8)*((J70/J74)^0.1)</f>
        <v>15916.89586</v>
      </c>
      <c r="K82" s="55"/>
      <c r="L82" s="55"/>
      <c r="M82" s="55"/>
      <c r="N82" s="117"/>
    </row>
    <row r="83">
      <c r="G83" s="85"/>
      <c r="I83" s="49"/>
      <c r="J83" s="118"/>
      <c r="K83" s="118"/>
      <c r="L83" s="118"/>
      <c r="M83" s="118"/>
      <c r="N83" s="119"/>
    </row>
    <row r="84">
      <c r="B84" s="120" t="s">
        <v>170</v>
      </c>
      <c r="C84" s="121"/>
      <c r="D84" s="121"/>
      <c r="E84" s="121"/>
      <c r="F84" s="122"/>
      <c r="G84" s="85"/>
      <c r="I84" s="95" t="s">
        <v>171</v>
      </c>
      <c r="J84" s="96">
        <v>355.0</v>
      </c>
      <c r="K84" s="96" t="s">
        <v>172</v>
      </c>
      <c r="L84" s="96"/>
      <c r="M84" s="96"/>
      <c r="N84" s="106" t="s">
        <v>173</v>
      </c>
    </row>
    <row r="85">
      <c r="B85" s="123"/>
      <c r="C85" s="124"/>
      <c r="D85" s="124"/>
      <c r="E85" s="124"/>
      <c r="F85" s="125"/>
      <c r="G85" s="85"/>
      <c r="I85" s="95" t="s">
        <v>174</v>
      </c>
      <c r="J85" s="96">
        <v>24.0</v>
      </c>
      <c r="K85" s="96" t="s">
        <v>172</v>
      </c>
      <c r="L85" s="96"/>
      <c r="M85" s="96"/>
      <c r="N85" s="106" t="s">
        <v>175</v>
      </c>
    </row>
    <row r="86">
      <c r="B86" s="126" t="s">
        <v>176</v>
      </c>
      <c r="C86" s="127">
        <v>1018.0</v>
      </c>
      <c r="D86" s="128" t="s">
        <v>177</v>
      </c>
      <c r="E86" s="85"/>
      <c r="F86" s="104"/>
      <c r="G86" s="85"/>
      <c r="I86" s="95" t="s">
        <v>178</v>
      </c>
      <c r="J86" s="97">
        <f>L86/39.37</f>
        <v>0.0254000508</v>
      </c>
      <c r="K86" s="96" t="s">
        <v>42</v>
      </c>
      <c r="L86" s="96">
        <v>1.0</v>
      </c>
      <c r="M86" s="96" t="s">
        <v>41</v>
      </c>
      <c r="N86" s="102"/>
      <c r="R86" s="4" t="s">
        <v>179</v>
      </c>
      <c r="S86" s="51" t="s">
        <v>180</v>
      </c>
    </row>
    <row r="87">
      <c r="B87" s="107" t="s">
        <v>181</v>
      </c>
      <c r="C87" s="108">
        <v>3.5</v>
      </c>
      <c r="D87" s="108" t="s">
        <v>41</v>
      </c>
      <c r="E87" s="85">
        <f>CONVERT(C87,D87,F87)</f>
        <v>0.0889</v>
      </c>
      <c r="F87" s="104" t="s">
        <v>42</v>
      </c>
      <c r="G87" s="85"/>
      <c r="I87" s="49"/>
      <c r="N87" s="48"/>
      <c r="R87" s="4" t="s">
        <v>179</v>
      </c>
      <c r="S87" s="129" t="s">
        <v>182</v>
      </c>
    </row>
    <row r="88">
      <c r="B88" s="107" t="s">
        <v>183</v>
      </c>
      <c r="C88" s="108">
        <f>C87/2</f>
        <v>1.75</v>
      </c>
      <c r="D88" s="108" t="s">
        <v>41</v>
      </c>
      <c r="E88" s="85"/>
      <c r="F88" s="104"/>
      <c r="G88" s="85"/>
      <c r="I88" s="49"/>
      <c r="N88" s="48"/>
      <c r="R88" s="4"/>
      <c r="S88" s="129"/>
    </row>
    <row r="89">
      <c r="B89" s="107" t="s">
        <v>184</v>
      </c>
      <c r="C89" s="96">
        <v>1.5</v>
      </c>
      <c r="D89" s="108" t="s">
        <v>41</v>
      </c>
      <c r="E89" s="85">
        <f>CONVERT(C89,D89,F89)</f>
        <v>0.0381</v>
      </c>
      <c r="F89" s="104" t="s">
        <v>42</v>
      </c>
      <c r="G89" s="85"/>
      <c r="I89" s="53" t="s">
        <v>185</v>
      </c>
      <c r="J89" s="4" t="s">
        <v>186</v>
      </c>
      <c r="N89" s="48"/>
      <c r="R89" s="4" t="s">
        <v>179</v>
      </c>
      <c r="S89" s="4" t="s">
        <v>187</v>
      </c>
    </row>
    <row r="90">
      <c r="B90" s="107" t="s">
        <v>188</v>
      </c>
      <c r="C90" s="96">
        <f>C89/2</f>
        <v>0.75</v>
      </c>
      <c r="D90" s="108" t="s">
        <v>41</v>
      </c>
      <c r="E90" s="85"/>
      <c r="F90" s="104"/>
      <c r="G90" s="85"/>
      <c r="I90" s="53"/>
      <c r="J90" s="4"/>
      <c r="N90" s="48"/>
      <c r="R90" s="4"/>
      <c r="S90" s="4"/>
    </row>
    <row r="91">
      <c r="B91" s="107" t="s">
        <v>189</v>
      </c>
      <c r="C91" s="96">
        <v>0.5</v>
      </c>
      <c r="D91" s="108" t="s">
        <v>41</v>
      </c>
      <c r="E91" s="85"/>
      <c r="F91" s="104"/>
      <c r="G91" s="85"/>
      <c r="I91" s="54" t="s">
        <v>190</v>
      </c>
      <c r="J91" s="55">
        <f>(J80-J79)*J82</f>
        <v>24241432.39</v>
      </c>
      <c r="K91" s="56" t="s">
        <v>191</v>
      </c>
      <c r="L91" s="55"/>
      <c r="M91" s="55"/>
      <c r="N91" s="117"/>
    </row>
    <row r="92">
      <c r="B92" s="107" t="s">
        <v>192</v>
      </c>
      <c r="C92" s="96">
        <f>C89/2+C91</f>
        <v>1.25</v>
      </c>
      <c r="D92" s="108" t="s">
        <v>41</v>
      </c>
      <c r="E92" s="85"/>
      <c r="F92" s="104"/>
      <c r="G92" s="85"/>
      <c r="I92" s="49"/>
      <c r="N92" s="48"/>
    </row>
    <row r="93">
      <c r="B93" s="130" t="s">
        <v>193</v>
      </c>
      <c r="C93" s="131">
        <f>(C87-C89)/2-C91</f>
        <v>0.5</v>
      </c>
      <c r="D93" s="131" t="s">
        <v>41</v>
      </c>
      <c r="E93" s="85">
        <f t="shared" ref="E93:E94" si="9">CONVERT(C93,D93,F93)</f>
        <v>0.0127</v>
      </c>
      <c r="F93" s="104" t="s">
        <v>42</v>
      </c>
      <c r="G93" s="85"/>
      <c r="I93" s="47" t="s">
        <v>194</v>
      </c>
      <c r="N93" s="48"/>
    </row>
    <row r="94">
      <c r="B94" s="107" t="s">
        <v>195</v>
      </c>
      <c r="C94" s="108">
        <v>3.5</v>
      </c>
      <c r="D94" s="108" t="s">
        <v>41</v>
      </c>
      <c r="E94" s="85">
        <f t="shared" si="9"/>
        <v>0.0889</v>
      </c>
      <c r="F94" s="104" t="s">
        <v>42</v>
      </c>
      <c r="G94" s="85"/>
      <c r="I94" s="53" t="s">
        <v>196</v>
      </c>
      <c r="J94" s="4">
        <v>787.0</v>
      </c>
      <c r="K94" s="4" t="s">
        <v>197</v>
      </c>
      <c r="L94" s="4">
        <v>0.787</v>
      </c>
      <c r="M94" s="4" t="s">
        <v>198</v>
      </c>
      <c r="N94" s="48"/>
    </row>
    <row r="95">
      <c r="B95" s="132" t="s">
        <v>199</v>
      </c>
      <c r="C95" s="133">
        <f>CONVERT(E95,F95,D95)</f>
        <v>42060.94394</v>
      </c>
      <c r="D95" s="133" t="s">
        <v>79</v>
      </c>
      <c r="E95" s="94">
        <v>290.0</v>
      </c>
      <c r="F95" s="104" t="s">
        <v>166</v>
      </c>
      <c r="G95" s="94" t="s">
        <v>200</v>
      </c>
      <c r="I95" s="53" t="s">
        <v>201</v>
      </c>
      <c r="J95" s="4">
        <f>L95*1000</f>
        <v>486</v>
      </c>
      <c r="K95" s="4" t="s">
        <v>137</v>
      </c>
      <c r="L95" s="4">
        <v>0.486</v>
      </c>
      <c r="M95" s="4" t="s">
        <v>202</v>
      </c>
      <c r="N95" s="48"/>
    </row>
    <row r="96">
      <c r="B96" s="100" t="s">
        <v>203</v>
      </c>
      <c r="C96" s="94">
        <v>0.29</v>
      </c>
      <c r="D96" s="94"/>
      <c r="E96" s="94"/>
      <c r="F96" s="104"/>
      <c r="G96" s="94"/>
      <c r="I96" s="95" t="s">
        <v>204</v>
      </c>
      <c r="J96" s="96">
        <v>8940.0</v>
      </c>
      <c r="K96" s="96" t="s">
        <v>197</v>
      </c>
      <c r="L96" s="96"/>
      <c r="M96" s="96"/>
      <c r="N96" s="98"/>
      <c r="O96" s="134"/>
      <c r="P96" s="134"/>
      <c r="Q96" s="134"/>
      <c r="R96" s="134"/>
      <c r="S96" s="134"/>
      <c r="T96" s="134"/>
    </row>
    <row r="97">
      <c r="B97" s="135" t="s">
        <v>205</v>
      </c>
      <c r="C97" s="136">
        <f>CONVERT(E97,F97,D97)</f>
        <v>29007547.55</v>
      </c>
      <c r="D97" s="136" t="s">
        <v>79</v>
      </c>
      <c r="E97" s="136">
        <v>200.0</v>
      </c>
      <c r="F97" s="112" t="s">
        <v>206</v>
      </c>
      <c r="G97" s="94" t="s">
        <v>200</v>
      </c>
      <c r="I97" s="95" t="s">
        <v>207</v>
      </c>
      <c r="J97" s="96">
        <v>385.2</v>
      </c>
      <c r="K97" s="96" t="s">
        <v>137</v>
      </c>
      <c r="L97" s="96"/>
      <c r="M97" s="96"/>
      <c r="N97" s="98"/>
      <c r="O97" s="134"/>
      <c r="P97" s="134"/>
      <c r="Q97" s="134"/>
      <c r="R97" s="134"/>
      <c r="S97" s="134"/>
      <c r="T97" s="134"/>
    </row>
    <row r="98">
      <c r="B98" s="94"/>
      <c r="C98" s="94"/>
      <c r="D98" s="94"/>
      <c r="E98" s="94"/>
      <c r="F98" s="94"/>
      <c r="G98" s="94"/>
      <c r="I98" s="95" t="s">
        <v>208</v>
      </c>
      <c r="J98" s="96">
        <v>2250.0</v>
      </c>
      <c r="K98" s="96" t="s">
        <v>197</v>
      </c>
      <c r="L98" s="96">
        <v>2.25</v>
      </c>
      <c r="M98" s="96" t="s">
        <v>198</v>
      </c>
      <c r="N98" s="98"/>
      <c r="O98" s="134"/>
      <c r="P98" s="134"/>
      <c r="Q98" s="134"/>
      <c r="R98" s="134"/>
      <c r="S98" s="134"/>
      <c r="T98" s="134"/>
    </row>
    <row r="99">
      <c r="B99" s="94"/>
      <c r="C99" s="94"/>
      <c r="D99" s="94"/>
      <c r="E99" s="94"/>
      <c r="F99" s="94"/>
      <c r="I99" s="95" t="s">
        <v>209</v>
      </c>
      <c r="J99" s="96">
        <v>707.7</v>
      </c>
      <c r="K99" s="96" t="s">
        <v>137</v>
      </c>
      <c r="L99" s="96">
        <v>0.7077</v>
      </c>
      <c r="M99" s="96" t="s">
        <v>210</v>
      </c>
      <c r="N99" s="98"/>
      <c r="O99" s="134"/>
      <c r="P99" s="134"/>
      <c r="Q99" s="134"/>
      <c r="R99" s="134"/>
      <c r="S99" s="134"/>
      <c r="T99" s="134"/>
    </row>
    <row r="100">
      <c r="B100" s="120" t="s">
        <v>211</v>
      </c>
      <c r="C100" s="121"/>
      <c r="D100" s="121"/>
      <c r="E100" s="121"/>
      <c r="F100" s="122"/>
      <c r="I100" s="53" t="s">
        <v>212</v>
      </c>
      <c r="J100" s="5">
        <f>51.4/(J94*J95)</f>
        <v>0.000134385409</v>
      </c>
      <c r="N100" s="48"/>
      <c r="O100" s="134"/>
      <c r="P100" s="134"/>
      <c r="Q100" s="134"/>
      <c r="R100" s="134"/>
      <c r="S100" s="134"/>
      <c r="T100" s="134"/>
    </row>
    <row r="101">
      <c r="B101" s="100" t="s">
        <v>213</v>
      </c>
      <c r="C101" s="94" t="s">
        <v>175</v>
      </c>
      <c r="D101" s="94"/>
      <c r="E101" s="94"/>
      <c r="F101" s="104"/>
      <c r="I101" s="95" t="s">
        <v>214</v>
      </c>
      <c r="J101" s="97">
        <f>J84/(J96*J97)</f>
        <v>0.0001030871554</v>
      </c>
      <c r="K101" s="97"/>
      <c r="L101" s="97"/>
      <c r="M101" s="97"/>
      <c r="N101" s="98"/>
      <c r="O101" s="134"/>
      <c r="P101" s="134"/>
      <c r="Q101" s="134"/>
      <c r="R101" s="134"/>
      <c r="S101" s="134"/>
      <c r="T101" s="134"/>
    </row>
    <row r="102">
      <c r="B102" s="100" t="s">
        <v>199</v>
      </c>
      <c r="C102" s="94"/>
      <c r="D102" s="94"/>
      <c r="E102" s="94"/>
      <c r="F102" s="104"/>
      <c r="I102" s="95" t="s">
        <v>215</v>
      </c>
      <c r="J102" s="97">
        <f>J85/(J98*J99)</f>
        <v>0.00001507229994</v>
      </c>
      <c r="K102" s="97"/>
      <c r="L102" s="97"/>
      <c r="M102" s="97"/>
      <c r="N102" s="98"/>
      <c r="O102" s="134"/>
      <c r="P102" s="134"/>
      <c r="Q102" s="134"/>
      <c r="R102" s="134"/>
      <c r="S102" s="134"/>
      <c r="T102" s="134"/>
    </row>
    <row r="103">
      <c r="B103" s="100" t="s">
        <v>203</v>
      </c>
      <c r="C103" s="94">
        <v>0.31</v>
      </c>
      <c r="D103" s="94"/>
      <c r="E103" s="94"/>
      <c r="F103" s="104"/>
      <c r="G103" s="4" t="s">
        <v>216</v>
      </c>
      <c r="I103" s="95" t="s">
        <v>217</v>
      </c>
      <c r="J103" s="96">
        <v>0.0</v>
      </c>
      <c r="K103" s="96" t="s">
        <v>42</v>
      </c>
      <c r="L103" s="97"/>
      <c r="M103" s="97"/>
      <c r="N103" s="102" t="s">
        <v>218</v>
      </c>
      <c r="O103" s="134"/>
      <c r="P103" s="134"/>
      <c r="Q103" s="134"/>
      <c r="R103" s="134"/>
      <c r="S103" s="134"/>
      <c r="T103" s="134"/>
    </row>
    <row r="104">
      <c r="B104" s="135" t="s">
        <v>219</v>
      </c>
      <c r="C104" s="136">
        <f>CONVERT(E104,F104,D104)</f>
        <v>16679339.84</v>
      </c>
      <c r="D104" s="136" t="s">
        <v>79</v>
      </c>
      <c r="E104" s="136">
        <v>115.0</v>
      </c>
      <c r="F104" s="112" t="s">
        <v>206</v>
      </c>
      <c r="G104" s="4" t="s">
        <v>216</v>
      </c>
      <c r="I104" s="95" t="s">
        <v>220</v>
      </c>
      <c r="J104" s="96">
        <v>3.5</v>
      </c>
      <c r="K104" s="96" t="s">
        <v>57</v>
      </c>
      <c r="L104" s="97"/>
      <c r="M104" s="97"/>
      <c r="N104" s="98"/>
      <c r="O104" s="134"/>
      <c r="P104" s="134"/>
      <c r="Q104" s="134"/>
      <c r="R104" s="134"/>
      <c r="S104" s="134"/>
      <c r="T104" s="134"/>
    </row>
    <row r="105">
      <c r="B105" s="94"/>
      <c r="C105" s="94"/>
      <c r="D105" s="94"/>
      <c r="E105" s="94"/>
      <c r="F105" s="94"/>
      <c r="I105" s="54" t="s">
        <v>221</v>
      </c>
      <c r="J105" s="55">
        <f>J91/J84*(sqrt(4*J101*J104/pi())*exp(-J103^2/(4*J101*J104))-J103*erfc(J103/2*sqrt(J101*J104)))+298.15</f>
        <v>1761.746238</v>
      </c>
      <c r="K105" s="56" t="s">
        <v>93</v>
      </c>
      <c r="L105" s="55"/>
      <c r="M105" s="55"/>
      <c r="N105" s="137" t="s">
        <v>222</v>
      </c>
      <c r="O105" s="134"/>
      <c r="P105" s="134"/>
      <c r="Q105" s="134"/>
      <c r="R105" s="134"/>
      <c r="S105" s="134"/>
      <c r="T105" s="134"/>
    </row>
    <row r="106">
      <c r="B106" s="138"/>
      <c r="C106" s="138"/>
      <c r="D106" s="138"/>
      <c r="E106" s="138"/>
      <c r="F106" s="138"/>
      <c r="I106" s="95" t="s">
        <v>217</v>
      </c>
      <c r="J106" s="96">
        <v>0.013</v>
      </c>
      <c r="K106" s="96" t="s">
        <v>42</v>
      </c>
      <c r="L106" s="97"/>
      <c r="M106" s="97"/>
      <c r="N106" s="102" t="s">
        <v>223</v>
      </c>
      <c r="O106" s="134"/>
      <c r="P106" s="134"/>
      <c r="Q106" s="134"/>
      <c r="R106" s="134"/>
      <c r="S106" s="134"/>
      <c r="T106" s="134"/>
    </row>
    <row r="107">
      <c r="B107" s="35"/>
      <c r="C107" s="85"/>
      <c r="D107" s="85"/>
      <c r="E107" s="85"/>
      <c r="F107" s="85"/>
      <c r="I107" s="95" t="s">
        <v>224</v>
      </c>
      <c r="J107" s="96">
        <v>3.5</v>
      </c>
      <c r="K107" s="96" t="s">
        <v>57</v>
      </c>
      <c r="L107" s="97"/>
      <c r="M107" s="97"/>
      <c r="N107" s="98"/>
      <c r="O107" s="134"/>
      <c r="P107" s="134"/>
      <c r="Q107" s="134"/>
      <c r="R107" s="134"/>
      <c r="S107" s="134"/>
      <c r="T107" s="134"/>
    </row>
    <row r="108">
      <c r="B108" s="35"/>
      <c r="C108" s="85"/>
      <c r="D108" s="85"/>
      <c r="E108" s="85"/>
      <c r="F108" s="85"/>
      <c r="I108" s="42" t="s">
        <v>225</v>
      </c>
      <c r="J108" s="43">
        <f>J91/J84*(sqrt(4*J101*J107/pi())*exp(-J106^2/(4*J101*J107))-J106*erfc(J106/2*sqrt(J101*J107)))+298.15</f>
        <v>1055.979516</v>
      </c>
      <c r="K108" s="44" t="s">
        <v>93</v>
      </c>
      <c r="L108" s="43">
        <f>CONVERT(J108,K108,M108)</f>
        <v>782.8295159</v>
      </c>
      <c r="M108" s="44" t="s">
        <v>94</v>
      </c>
      <c r="N108" s="139"/>
      <c r="O108" s="134"/>
      <c r="P108" s="134"/>
      <c r="Q108" s="134"/>
      <c r="R108" s="134"/>
      <c r="S108" s="134"/>
      <c r="T108" s="134"/>
    </row>
    <row r="109">
      <c r="B109" s="35"/>
      <c r="C109" s="85"/>
      <c r="D109" s="85"/>
      <c r="E109" s="85"/>
      <c r="F109" s="85"/>
      <c r="O109" s="134"/>
      <c r="P109" s="134"/>
      <c r="Q109" s="134"/>
      <c r="R109" s="134"/>
      <c r="S109" s="134"/>
      <c r="T109" s="134"/>
    </row>
    <row r="110">
      <c r="B110" s="140"/>
      <c r="C110" s="85"/>
      <c r="D110" s="85"/>
      <c r="E110" s="85"/>
      <c r="F110" s="85"/>
      <c r="G110" s="85"/>
      <c r="O110" s="134"/>
      <c r="P110" s="134"/>
      <c r="Q110" s="134"/>
      <c r="R110" s="134"/>
      <c r="S110" s="134"/>
      <c r="T110" s="134"/>
    </row>
    <row r="111">
      <c r="B111" s="140"/>
      <c r="C111" s="85"/>
      <c r="D111" s="85"/>
      <c r="E111" s="85"/>
      <c r="F111" s="85"/>
      <c r="G111" s="85"/>
      <c r="I111" s="82" t="s">
        <v>226</v>
      </c>
      <c r="J111" s="83"/>
      <c r="K111" s="83"/>
      <c r="L111" s="83"/>
      <c r="M111" s="84"/>
      <c r="N111" s="85"/>
      <c r="O111" s="134"/>
      <c r="P111" s="134"/>
      <c r="Q111" s="134"/>
      <c r="R111" s="134"/>
      <c r="S111" s="134"/>
      <c r="T111" s="134"/>
    </row>
    <row r="112">
      <c r="B112" s="94"/>
      <c r="C112" s="85"/>
      <c r="D112" s="94"/>
      <c r="F112" s="85"/>
      <c r="G112" s="85"/>
      <c r="I112" s="141" t="s">
        <v>227</v>
      </c>
      <c r="J112" s="25"/>
      <c r="K112" s="25"/>
      <c r="L112" s="25"/>
      <c r="M112" s="26"/>
      <c r="N112" s="94" t="s">
        <v>228</v>
      </c>
      <c r="O112" s="134"/>
      <c r="P112" s="134"/>
      <c r="Q112" s="134"/>
      <c r="R112" s="134"/>
      <c r="S112" s="134"/>
      <c r="T112" s="134"/>
    </row>
    <row r="113">
      <c r="B113" s="94"/>
      <c r="C113" s="85"/>
      <c r="D113" s="85"/>
      <c r="F113" s="85"/>
      <c r="G113" s="85"/>
      <c r="I113" s="107" t="s">
        <v>229</v>
      </c>
      <c r="J113" s="96">
        <v>70.0</v>
      </c>
      <c r="K113" s="96" t="s">
        <v>230</v>
      </c>
      <c r="L113" s="5">
        <f t="shared" ref="L113:L115" si="10">convert(J113,K113,M113)</f>
        <v>21.11111111</v>
      </c>
      <c r="M113" s="33" t="s">
        <v>94</v>
      </c>
      <c r="N113" s="94" t="s">
        <v>231</v>
      </c>
      <c r="O113" s="134"/>
      <c r="P113" s="134"/>
      <c r="Q113" s="134"/>
      <c r="R113" s="134"/>
      <c r="S113" s="134"/>
      <c r="T113" s="134"/>
    </row>
    <row r="114">
      <c r="B114" s="85"/>
      <c r="C114" s="85"/>
      <c r="D114" s="85"/>
      <c r="E114" s="85"/>
      <c r="F114" s="85"/>
      <c r="G114" s="85"/>
      <c r="I114" s="95" t="s">
        <v>232</v>
      </c>
      <c r="J114" s="96">
        <v>0.0</v>
      </c>
      <c r="K114" s="96" t="s">
        <v>230</v>
      </c>
      <c r="L114" s="5">
        <f t="shared" si="10"/>
        <v>-17.77777778</v>
      </c>
      <c r="M114" s="33" t="s">
        <v>94</v>
      </c>
      <c r="N114" s="94" t="s">
        <v>233</v>
      </c>
      <c r="O114" s="134"/>
      <c r="P114" s="134"/>
      <c r="Q114" s="134"/>
      <c r="R114" s="134"/>
      <c r="S114" s="134"/>
      <c r="T114" s="134"/>
    </row>
    <row r="115">
      <c r="B115" s="85"/>
      <c r="C115" s="85"/>
      <c r="E115" s="85"/>
      <c r="F115" s="85"/>
      <c r="G115" s="85"/>
      <c r="I115" s="95" t="s">
        <v>234</v>
      </c>
      <c r="J115" s="96">
        <v>1055.0</v>
      </c>
      <c r="K115" s="96" t="s">
        <v>93</v>
      </c>
      <c r="L115" s="5">
        <f t="shared" si="10"/>
        <v>781.85</v>
      </c>
      <c r="M115" s="33" t="s">
        <v>94</v>
      </c>
      <c r="N115" s="94" t="s">
        <v>235</v>
      </c>
      <c r="O115" s="134"/>
      <c r="P115" s="134"/>
      <c r="Q115" s="134"/>
      <c r="R115" s="134"/>
      <c r="S115" s="134"/>
      <c r="T115" s="134"/>
    </row>
    <row r="116">
      <c r="B116" s="142"/>
      <c r="C116" s="85"/>
      <c r="D116" s="85"/>
      <c r="E116" s="85"/>
      <c r="F116" s="85"/>
      <c r="G116" s="85"/>
      <c r="I116" s="53" t="s">
        <v>236</v>
      </c>
      <c r="J116" s="4">
        <v>51.9</v>
      </c>
      <c r="K116" s="4" t="s">
        <v>237</v>
      </c>
      <c r="M116" s="48"/>
      <c r="N116" s="85"/>
      <c r="O116" s="134"/>
      <c r="P116" s="134"/>
      <c r="Q116" s="134"/>
      <c r="R116" s="134"/>
      <c r="S116" s="134"/>
      <c r="T116" s="134"/>
    </row>
    <row r="117">
      <c r="B117" s="94"/>
      <c r="C117" s="85"/>
      <c r="D117" s="94"/>
      <c r="F117" s="85"/>
      <c r="G117" s="85"/>
      <c r="I117" s="53" t="s">
        <v>238</v>
      </c>
      <c r="J117" s="5">
        <f>13.9*10^-6</f>
        <v>0.0000139</v>
      </c>
      <c r="K117" s="4" t="s">
        <v>239</v>
      </c>
      <c r="L117" s="5">
        <f>2.358*10^-5</f>
        <v>0.00002358</v>
      </c>
      <c r="M117" s="33" t="s">
        <v>240</v>
      </c>
      <c r="N117" s="143" t="s">
        <v>128</v>
      </c>
      <c r="O117" s="134"/>
      <c r="P117" s="134"/>
      <c r="Q117" s="134"/>
      <c r="R117" s="134"/>
      <c r="S117" s="134"/>
      <c r="T117" s="134"/>
    </row>
    <row r="118">
      <c r="B118" s="94"/>
      <c r="C118" s="85"/>
      <c r="D118" s="85"/>
      <c r="F118" s="85"/>
      <c r="G118" s="85"/>
      <c r="I118" s="53" t="s">
        <v>241</v>
      </c>
      <c r="J118" s="94">
        <v>486.0</v>
      </c>
      <c r="K118" s="94" t="s">
        <v>242</v>
      </c>
      <c r="L118" s="85"/>
      <c r="M118" s="101"/>
      <c r="N118" s="85"/>
      <c r="O118" s="134"/>
      <c r="P118" s="134"/>
      <c r="Q118" s="134"/>
      <c r="R118" s="134"/>
      <c r="S118" s="134"/>
      <c r="T118" s="134"/>
    </row>
    <row r="119">
      <c r="B119" s="85"/>
      <c r="C119" s="85"/>
      <c r="D119" s="85"/>
      <c r="E119" s="85"/>
      <c r="F119" s="85"/>
      <c r="G119" s="85"/>
      <c r="I119" s="49"/>
      <c r="J119" s="85"/>
      <c r="K119" s="85"/>
      <c r="L119" s="85"/>
      <c r="M119" s="101"/>
      <c r="N119" s="85"/>
    </row>
    <row r="120">
      <c r="B120" s="85"/>
      <c r="C120" s="85"/>
      <c r="D120" s="85"/>
      <c r="E120" s="85"/>
      <c r="F120" s="85"/>
      <c r="G120" s="85"/>
      <c r="I120" s="100" t="s">
        <v>243</v>
      </c>
      <c r="J120" s="85">
        <f>$C$30*$C$107*(J114-$C$103)</f>
        <v>0</v>
      </c>
      <c r="K120" s="94" t="s">
        <v>79</v>
      </c>
      <c r="L120" s="85"/>
      <c r="M120" s="101"/>
      <c r="N120" s="143" t="s">
        <v>128</v>
      </c>
    </row>
    <row r="121">
      <c r="B121" s="142"/>
      <c r="C121" s="85"/>
      <c r="D121" s="85"/>
      <c r="E121" s="85"/>
      <c r="F121" s="85"/>
      <c r="G121" s="85"/>
      <c r="I121" s="54" t="s">
        <v>244</v>
      </c>
      <c r="J121" s="55">
        <f>J120/$C$30</f>
        <v>0</v>
      </c>
      <c r="K121" s="56" t="s">
        <v>41</v>
      </c>
      <c r="L121" s="144">
        <f>convert(J121,K121,M121)</f>
        <v>0</v>
      </c>
      <c r="M121" s="145" t="s">
        <v>245</v>
      </c>
      <c r="N121" s="143" t="s">
        <v>128</v>
      </c>
    </row>
    <row r="122">
      <c r="B122" s="94"/>
      <c r="C122" s="85"/>
      <c r="E122" s="85"/>
      <c r="F122" s="85"/>
      <c r="G122" s="85"/>
      <c r="I122" s="100" t="s">
        <v>246</v>
      </c>
      <c r="J122" s="85">
        <f>C97*J117*(1439-J113)</f>
        <v>551987.523</v>
      </c>
      <c r="K122" s="94" t="s">
        <v>79</v>
      </c>
      <c r="L122" s="85"/>
      <c r="M122" s="101"/>
      <c r="N122" s="85"/>
    </row>
    <row r="123">
      <c r="B123" s="94"/>
      <c r="C123" s="85"/>
      <c r="E123" s="85"/>
      <c r="F123" s="85"/>
      <c r="G123" s="85"/>
      <c r="I123" s="146" t="s">
        <v>247</v>
      </c>
      <c r="J123" s="43">
        <f>J122/C97</f>
        <v>0.0190291</v>
      </c>
      <c r="K123" s="147" t="s">
        <v>41</v>
      </c>
      <c r="L123" s="148">
        <f>convert(J123,K123,M123)</f>
        <v>0.48333914</v>
      </c>
      <c r="M123" s="149" t="s">
        <v>245</v>
      </c>
      <c r="N123" s="85"/>
    </row>
    <row r="124">
      <c r="B124" s="94"/>
      <c r="C124" s="85"/>
      <c r="E124" s="85"/>
      <c r="F124" s="85"/>
      <c r="G124" s="85"/>
      <c r="I124" s="150"/>
      <c r="J124" s="3"/>
    </row>
    <row r="125">
      <c r="B125" s="85"/>
      <c r="C125" s="85"/>
      <c r="D125" s="85"/>
      <c r="E125" s="85"/>
      <c r="F125" s="85"/>
      <c r="G125" s="85"/>
      <c r="I125" s="150"/>
      <c r="J125" s="3"/>
    </row>
    <row r="126">
      <c r="B126" s="85"/>
      <c r="C126" s="85"/>
      <c r="D126" s="85"/>
      <c r="E126" s="85"/>
      <c r="F126" s="85"/>
      <c r="G126" s="85"/>
      <c r="I126" s="82" t="s">
        <v>226</v>
      </c>
      <c r="J126" s="83"/>
      <c r="K126" s="83"/>
      <c r="L126" s="83"/>
      <c r="M126" s="84"/>
    </row>
    <row r="127">
      <c r="B127" s="85"/>
      <c r="C127" s="85"/>
      <c r="D127" s="85"/>
      <c r="E127" s="85"/>
      <c r="F127" s="85"/>
      <c r="G127" s="85"/>
      <c r="I127" s="141" t="s">
        <v>248</v>
      </c>
      <c r="J127" s="25"/>
      <c r="K127" s="25"/>
      <c r="L127" s="25"/>
      <c r="M127" s="26"/>
    </row>
    <row r="128">
      <c r="B128" s="142"/>
      <c r="C128" s="85"/>
      <c r="D128" s="85"/>
      <c r="E128" s="85"/>
      <c r="F128" s="85"/>
      <c r="G128" s="94"/>
      <c r="I128" s="107" t="s">
        <v>229</v>
      </c>
      <c r="J128" s="96">
        <v>70.0</v>
      </c>
      <c r="K128" s="96" t="s">
        <v>230</v>
      </c>
      <c r="L128" s="5">
        <f t="shared" ref="L128:L130" si="11">convert(J128,K128,M128)</f>
        <v>21.11111111</v>
      </c>
      <c r="M128" s="33" t="s">
        <v>94</v>
      </c>
    </row>
    <row r="129">
      <c r="B129" s="94"/>
      <c r="C129" s="85"/>
      <c r="D129" s="94"/>
      <c r="E129" s="85"/>
      <c r="F129" s="85"/>
      <c r="G129" s="85"/>
      <c r="I129" s="95" t="s">
        <v>232</v>
      </c>
      <c r="J129" s="96">
        <v>0.0</v>
      </c>
      <c r="K129" s="96" t="s">
        <v>230</v>
      </c>
      <c r="L129" s="5">
        <f t="shared" si="11"/>
        <v>-17.77777778</v>
      </c>
      <c r="M129" s="33" t="s">
        <v>94</v>
      </c>
    </row>
    <row r="130">
      <c r="B130" s="94"/>
      <c r="C130" s="85"/>
      <c r="D130" s="94"/>
      <c r="E130" s="85"/>
      <c r="F130" s="85"/>
      <c r="G130" s="85"/>
      <c r="I130" s="95" t="s">
        <v>234</v>
      </c>
      <c r="J130" s="96">
        <v>1760.0</v>
      </c>
      <c r="K130" s="96" t="s">
        <v>93</v>
      </c>
      <c r="L130" s="5">
        <f t="shared" si="11"/>
        <v>1486.85</v>
      </c>
      <c r="M130" s="33" t="s">
        <v>94</v>
      </c>
    </row>
    <row r="131">
      <c r="B131" s="94"/>
      <c r="C131" s="85"/>
      <c r="D131" s="85"/>
      <c r="E131" s="85"/>
      <c r="F131" s="85"/>
      <c r="I131" s="53" t="s">
        <v>236</v>
      </c>
      <c r="J131" s="4">
        <v>355.0</v>
      </c>
      <c r="K131" s="4" t="s">
        <v>237</v>
      </c>
      <c r="M131" s="48"/>
    </row>
    <row r="132">
      <c r="B132" s="85"/>
      <c r="C132" s="85"/>
      <c r="D132" s="85"/>
      <c r="E132" s="85"/>
      <c r="F132" s="85"/>
      <c r="I132" s="53" t="s">
        <v>238</v>
      </c>
      <c r="J132" s="5">
        <f>13.9*10^-6</f>
        <v>0.0000139</v>
      </c>
      <c r="K132" s="4" t="s">
        <v>239</v>
      </c>
      <c r="L132" s="5">
        <f>2.358*10^-5</f>
        <v>0.00002358</v>
      </c>
      <c r="M132" s="33" t="s">
        <v>240</v>
      </c>
    </row>
    <row r="133">
      <c r="B133" s="85"/>
      <c r="C133" s="85"/>
      <c r="D133" s="85"/>
      <c r="E133" s="85"/>
      <c r="F133" s="85"/>
      <c r="G133" s="85"/>
      <c r="I133" s="53" t="s">
        <v>241</v>
      </c>
      <c r="J133" s="94">
        <v>385.2</v>
      </c>
      <c r="K133" s="94" t="s">
        <v>242</v>
      </c>
      <c r="L133" s="85"/>
      <c r="M133" s="101"/>
    </row>
    <row r="134">
      <c r="B134" s="85"/>
      <c r="C134" s="85"/>
      <c r="D134" s="85"/>
      <c r="E134" s="85"/>
      <c r="F134" s="85"/>
      <c r="I134" s="49"/>
      <c r="J134" s="85"/>
      <c r="K134" s="85"/>
      <c r="L134" s="85"/>
      <c r="M134" s="101"/>
    </row>
    <row r="135">
      <c r="B135" s="142"/>
      <c r="I135" s="100" t="s">
        <v>243</v>
      </c>
      <c r="J135" s="85">
        <f>$C$30*$C$107*(J129-$C$103)</f>
        <v>0</v>
      </c>
      <c r="K135" s="94" t="s">
        <v>79</v>
      </c>
      <c r="L135" s="85"/>
      <c r="M135" s="101"/>
    </row>
    <row r="136">
      <c r="H136" s="151"/>
      <c r="I136" s="54" t="s">
        <v>244</v>
      </c>
      <c r="J136" s="55">
        <f>J135/$C$30</f>
        <v>0</v>
      </c>
      <c r="K136" s="56" t="s">
        <v>41</v>
      </c>
      <c r="L136" s="144">
        <f>convert(J136,K136,M136)</f>
        <v>0</v>
      </c>
      <c r="M136" s="145" t="s">
        <v>245</v>
      </c>
    </row>
    <row r="137">
      <c r="C137" s="114"/>
      <c r="H137" s="3"/>
      <c r="I137" s="100" t="s">
        <v>246</v>
      </c>
      <c r="J137" s="85">
        <f>C112*J132*(1439-J128)</f>
        <v>0</v>
      </c>
      <c r="K137" s="94" t="s">
        <v>79</v>
      </c>
      <c r="L137" s="85"/>
      <c r="M137" s="101"/>
    </row>
    <row r="138">
      <c r="H138" s="3"/>
      <c r="I138" s="146" t="s">
        <v>247</v>
      </c>
      <c r="J138" s="43" t="str">
        <f>J137/C112</f>
        <v>#DIV/0!</v>
      </c>
      <c r="K138" s="147" t="s">
        <v>41</v>
      </c>
      <c r="L138" s="148" t="str">
        <f>convert(J138,K138,M138)</f>
        <v>#DIV/0!</v>
      </c>
      <c r="M138" s="149" t="s">
        <v>245</v>
      </c>
    </row>
    <row r="139">
      <c r="H139" s="3"/>
    </row>
    <row r="140">
      <c r="H140" s="3"/>
    </row>
    <row r="141">
      <c r="H141" s="3"/>
    </row>
    <row r="142">
      <c r="H142" s="151"/>
    </row>
    <row r="143">
      <c r="B143" s="138"/>
      <c r="C143" s="138"/>
      <c r="D143" s="138"/>
      <c r="E143" s="138"/>
      <c r="F143" s="138"/>
      <c r="H143" s="151"/>
    </row>
    <row r="144">
      <c r="B144" s="142"/>
      <c r="H144" s="151"/>
    </row>
    <row r="145">
      <c r="B145" s="94"/>
      <c r="C145" s="4"/>
      <c r="D145" s="4"/>
      <c r="F145" s="4"/>
      <c r="H145" s="151"/>
    </row>
    <row r="146">
      <c r="B146" s="4"/>
      <c r="C146" s="4"/>
      <c r="D146" s="4"/>
      <c r="F146" s="4"/>
      <c r="H146" s="3"/>
    </row>
    <row r="147">
      <c r="B147" s="4"/>
      <c r="C147" s="4"/>
      <c r="D147" s="4"/>
      <c r="F147" s="4"/>
      <c r="H147" s="3"/>
    </row>
    <row r="148">
      <c r="B148" s="4"/>
    </row>
    <row r="149">
      <c r="B149" s="4"/>
      <c r="F149" s="4"/>
    </row>
    <row r="150">
      <c r="B150" s="4"/>
      <c r="C150" s="94"/>
      <c r="D150" s="94"/>
      <c r="E150" s="85"/>
      <c r="F150" s="85"/>
    </row>
    <row r="151">
      <c r="C151" s="85"/>
      <c r="D151" s="85"/>
      <c r="E151" s="85"/>
      <c r="F151" s="85"/>
    </row>
    <row r="152">
      <c r="B152" s="94"/>
      <c r="C152" s="85"/>
      <c r="D152" s="94"/>
      <c r="E152" s="85"/>
      <c r="F152" s="85"/>
    </row>
    <row r="153">
      <c r="B153" s="152"/>
      <c r="C153" s="153"/>
      <c r="D153" s="152"/>
      <c r="E153" s="154"/>
      <c r="F153" s="138"/>
    </row>
    <row r="154">
      <c r="B154" s="94"/>
      <c r="C154" s="85"/>
      <c r="D154" s="94"/>
      <c r="E154" s="85"/>
      <c r="F154" s="85"/>
    </row>
    <row r="155">
      <c r="B155" s="138"/>
      <c r="C155" s="153"/>
      <c r="D155" s="138"/>
      <c r="E155" s="154"/>
      <c r="F155" s="138"/>
    </row>
  </sheetData>
  <conditionalFormatting sqref="C113 C118 C123 C131">
    <cfRule type="cellIs" dxfId="0" priority="1" operator="greaterThan">
      <formula>3</formula>
    </cfRule>
  </conditionalFormatting>
  <conditionalFormatting sqref="C113 C118 C123 C131">
    <cfRule type="cellIs" dxfId="1" priority="2" operator="lessThan">
      <formula>1.5</formula>
    </cfRule>
  </conditionalFormatting>
  <conditionalFormatting sqref="C113 C118 C123 C131">
    <cfRule type="cellIs" dxfId="2" priority="3" operator="between">
      <formula>1.5</formula>
      <formula>3</formula>
    </cfRule>
  </conditionalFormatting>
  <hyperlinks>
    <hyperlink r:id="rId1" ref="S26"/>
    <hyperlink r:id="rId2" ref="D70"/>
    <hyperlink r:id="rId3" ref="U70"/>
    <hyperlink r:id="rId4" ref="N78"/>
    <hyperlink r:id="rId5" ref="N84"/>
    <hyperlink r:id="rId6" ref="N85"/>
    <hyperlink r:id="rId7" ref="C86"/>
    <hyperlink r:id="rId8" ref="S86"/>
    <hyperlink r:id="rId9" ref="N117"/>
    <hyperlink r:id="rId10" ref="N120"/>
    <hyperlink r:id="rId11" ref="N121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63"/>
    <col customWidth="1" min="5" max="5" width="13.5"/>
    <col customWidth="1" min="6" max="6" width="15.63"/>
    <col customWidth="1" min="7" max="7" width="17.5"/>
    <col customWidth="1" min="11" max="11" width="18.5"/>
  </cols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>
      <c r="A3" s="85"/>
      <c r="B3" s="155" t="s">
        <v>249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>
      <c r="A4" s="85"/>
      <c r="B4" s="156" t="s">
        <v>250</v>
      </c>
      <c r="C4" s="85"/>
      <c r="D4" s="85"/>
      <c r="E4" s="85"/>
      <c r="F4" s="94" t="s">
        <v>251</v>
      </c>
      <c r="G4" s="143" t="s">
        <v>252</v>
      </c>
      <c r="H4" s="85"/>
      <c r="I4" s="85"/>
      <c r="J4" s="85"/>
      <c r="K4" s="94"/>
      <c r="L4" s="157"/>
      <c r="M4" s="94" t="s">
        <v>154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>
      <c r="A5" s="85"/>
      <c r="B5" s="158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>
      <c r="A6" s="85"/>
      <c r="B6" s="159" t="s">
        <v>15</v>
      </c>
      <c r="C6" s="85"/>
      <c r="D6" s="85"/>
      <c r="E6" s="85"/>
      <c r="F6" s="85"/>
      <c r="G6" s="85"/>
      <c r="H6" s="85"/>
      <c r="I6" s="85"/>
      <c r="J6" s="103"/>
      <c r="K6" s="94"/>
      <c r="L6" s="94"/>
      <c r="M6" s="94" t="s">
        <v>154</v>
      </c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>
      <c r="A7" s="85"/>
      <c r="B7" s="160" t="s">
        <v>20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>
      <c r="A8" s="85"/>
      <c r="B8" s="161" t="s">
        <v>21</v>
      </c>
      <c r="C8" s="85"/>
      <c r="D8" s="85"/>
      <c r="E8" s="85"/>
      <c r="F8" s="85"/>
      <c r="G8" s="85"/>
      <c r="H8" s="85"/>
      <c r="I8" s="85"/>
      <c r="J8" s="85"/>
      <c r="K8" s="94"/>
      <c r="L8" s="94"/>
      <c r="M8" s="94" t="s">
        <v>154</v>
      </c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>
      <c r="A10" s="85"/>
      <c r="B10" s="162" t="s">
        <v>28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94" t="s">
        <v>154</v>
      </c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>
      <c r="A11" s="85"/>
      <c r="B11" s="163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>
      <c r="A12" s="85"/>
      <c r="B12" s="3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>
      <c r="A13" s="85"/>
      <c r="B13" s="162" t="s">
        <v>30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>
      <c r="A14" s="85"/>
      <c r="B14" s="163" t="s">
        <v>253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>
      <c r="A15" s="85"/>
      <c r="B15" s="3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>
      <c r="A16" s="85"/>
      <c r="B16" s="162" t="s">
        <v>32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>
      <c r="A17" s="85"/>
      <c r="B17" s="163" t="s">
        <v>254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>
      <c r="A19" s="85"/>
      <c r="B19" s="120" t="s">
        <v>255</v>
      </c>
      <c r="C19" s="121"/>
      <c r="D19" s="121"/>
      <c r="E19" s="121"/>
      <c r="F19" s="122"/>
      <c r="G19" s="164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>
      <c r="A20" s="85"/>
      <c r="B20" s="126" t="s">
        <v>256</v>
      </c>
      <c r="C20" s="165" t="s">
        <v>257</v>
      </c>
      <c r="D20" s="128" t="s">
        <v>258</v>
      </c>
      <c r="E20" s="85"/>
      <c r="F20" s="104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>
      <c r="A21" s="85"/>
      <c r="B21" s="130" t="s">
        <v>259</v>
      </c>
      <c r="C21" s="165" t="s">
        <v>260</v>
      </c>
      <c r="D21" s="131" t="s">
        <v>230</v>
      </c>
      <c r="E21" s="85"/>
      <c r="F21" s="104"/>
      <c r="G21" s="85"/>
      <c r="H21" s="94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>
      <c r="A22" s="85"/>
      <c r="B22" s="107" t="s">
        <v>261</v>
      </c>
      <c r="C22" s="108">
        <v>4.0</v>
      </c>
      <c r="D22" s="108" t="s">
        <v>41</v>
      </c>
      <c r="E22" s="85">
        <f t="shared" ref="E22:E25" si="1">CONVERT(C22,D22,F22)</f>
        <v>0.1016</v>
      </c>
      <c r="F22" s="104" t="s">
        <v>42</v>
      </c>
      <c r="G22" s="85"/>
      <c r="H22" s="85"/>
      <c r="I22" s="85"/>
      <c r="J22" s="85"/>
      <c r="K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>
      <c r="A23" s="85"/>
      <c r="B23" s="107" t="s">
        <v>262</v>
      </c>
      <c r="C23" s="96">
        <v>3.5</v>
      </c>
      <c r="D23" s="108" t="s">
        <v>41</v>
      </c>
      <c r="E23" s="85">
        <f t="shared" si="1"/>
        <v>0.0889</v>
      </c>
      <c r="F23" s="104" t="s">
        <v>42</v>
      </c>
      <c r="G23" s="85"/>
      <c r="H23" s="85"/>
      <c r="I23" s="85"/>
      <c r="J23" s="85"/>
      <c r="K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>
      <c r="A24" s="85"/>
      <c r="B24" s="130" t="s">
        <v>193</v>
      </c>
      <c r="C24" s="131">
        <f>(C22-C23)/2</f>
        <v>0.25</v>
      </c>
      <c r="D24" s="131" t="s">
        <v>41</v>
      </c>
      <c r="E24" s="85">
        <f t="shared" si="1"/>
        <v>0.00635</v>
      </c>
      <c r="F24" s="104" t="s">
        <v>42</v>
      </c>
      <c r="G24" s="85"/>
      <c r="H24" s="85"/>
      <c r="I24" s="85"/>
      <c r="J24" s="85"/>
      <c r="K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>
      <c r="A25" s="85"/>
      <c r="B25" s="107" t="s">
        <v>195</v>
      </c>
      <c r="C25" s="108">
        <v>22.0</v>
      </c>
      <c r="D25" s="108" t="s">
        <v>41</v>
      </c>
      <c r="E25" s="85">
        <f t="shared" si="1"/>
        <v>0.5588</v>
      </c>
      <c r="F25" s="104" t="s">
        <v>42</v>
      </c>
      <c r="G25" s="85"/>
      <c r="H25" s="85"/>
      <c r="I25" s="85"/>
      <c r="J25" s="85"/>
      <c r="K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>
      <c r="A26" s="85"/>
      <c r="B26" s="132" t="s">
        <v>263</v>
      </c>
      <c r="C26" s="133">
        <v>50.0</v>
      </c>
      <c r="D26" s="133"/>
      <c r="E26" s="85"/>
      <c r="F26" s="104"/>
      <c r="G26" s="85"/>
      <c r="H26" s="94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>
      <c r="A27" s="85"/>
      <c r="B27" s="132" t="s">
        <v>264</v>
      </c>
      <c r="C27" s="133">
        <f>40000*(C26/100)</f>
        <v>20000</v>
      </c>
      <c r="D27" s="133" t="s">
        <v>79</v>
      </c>
      <c r="E27" s="85">
        <f t="shared" ref="E27:E32" si="2">CONVERT(C27,D27,F27)</f>
        <v>137.8951459</v>
      </c>
      <c r="F27" s="104" t="s">
        <v>166</v>
      </c>
      <c r="G27" s="85"/>
      <c r="H27" s="94" t="s">
        <v>265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>
      <c r="A28" s="85"/>
      <c r="B28" s="130" t="s">
        <v>266</v>
      </c>
      <c r="C28" s="131">
        <f>50000*(C26/100)</f>
        <v>25000</v>
      </c>
      <c r="D28" s="131" t="s">
        <v>79</v>
      </c>
      <c r="E28" s="85">
        <f t="shared" si="2"/>
        <v>172.3689323</v>
      </c>
      <c r="F28" s="104" t="s">
        <v>166</v>
      </c>
      <c r="G28" s="143" t="s">
        <v>128</v>
      </c>
      <c r="H28" s="94" t="s">
        <v>265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>
      <c r="A29" s="85"/>
      <c r="B29" s="130" t="s">
        <v>267</v>
      </c>
      <c r="C29" s="131">
        <f>56000*(C26/100)</f>
        <v>28000</v>
      </c>
      <c r="D29" s="131" t="s">
        <v>79</v>
      </c>
      <c r="E29" s="85">
        <f t="shared" si="2"/>
        <v>193.0532042</v>
      </c>
      <c r="F29" s="104" t="s">
        <v>166</v>
      </c>
      <c r="G29" s="143" t="s">
        <v>128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>
      <c r="A30" s="85"/>
      <c r="B30" s="100" t="s">
        <v>268</v>
      </c>
      <c r="C30" s="94">
        <f>30000*(C26/100)</f>
        <v>15000</v>
      </c>
      <c r="D30" s="94" t="s">
        <v>79</v>
      </c>
      <c r="E30" s="85">
        <f t="shared" si="2"/>
        <v>103.4213594</v>
      </c>
      <c r="F30" s="104" t="s">
        <v>166</v>
      </c>
      <c r="G30" s="143" t="s">
        <v>128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>
      <c r="A31" s="85"/>
      <c r="B31" s="100" t="s">
        <v>205</v>
      </c>
      <c r="C31" s="94">
        <f>(10000*10^3) *(C26/100)</f>
        <v>5000000</v>
      </c>
      <c r="D31" s="94" t="s">
        <v>79</v>
      </c>
      <c r="E31" s="85">
        <f t="shared" si="2"/>
        <v>34473.78647</v>
      </c>
      <c r="F31" s="104" t="s">
        <v>166</v>
      </c>
      <c r="G31" s="143" t="s">
        <v>128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>
      <c r="A32" s="85"/>
      <c r="B32" s="135" t="s">
        <v>269</v>
      </c>
      <c r="C32" s="136">
        <f>14000 * (C26/100)</f>
        <v>7000</v>
      </c>
      <c r="D32" s="136" t="s">
        <v>79</v>
      </c>
      <c r="E32" s="111">
        <f t="shared" si="2"/>
        <v>48.26330105</v>
      </c>
      <c r="F32" s="112" t="s">
        <v>166</v>
      </c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>
      <c r="A35" s="85"/>
      <c r="B35" s="82" t="s">
        <v>121</v>
      </c>
      <c r="C35" s="83"/>
      <c r="D35" s="83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>
      <c r="A36" s="85"/>
      <c r="B36" s="89" t="s">
        <v>123</v>
      </c>
      <c r="C36" s="91" t="s">
        <v>270</v>
      </c>
      <c r="D36" s="90" t="s">
        <v>154</v>
      </c>
      <c r="E36" s="92" t="s">
        <v>125</v>
      </c>
      <c r="F36" s="93">
        <v>12.16</v>
      </c>
      <c r="G36" s="94" t="s">
        <v>271</v>
      </c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>
      <c r="A37" s="85"/>
      <c r="B37" s="100" t="s">
        <v>130</v>
      </c>
      <c r="C37" s="94" t="s">
        <v>272</v>
      </c>
      <c r="D37" s="85"/>
      <c r="E37" s="85"/>
      <c r="F37" s="101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>
      <c r="A38" s="85"/>
      <c r="B38" s="100" t="s">
        <v>134</v>
      </c>
      <c r="C38" s="103" t="s">
        <v>273</v>
      </c>
      <c r="D38" s="85"/>
      <c r="E38" s="85"/>
      <c r="F38" s="101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>
      <c r="A39" s="85"/>
      <c r="B39" s="53" t="s">
        <v>138</v>
      </c>
      <c r="C39" s="4">
        <v>0.199</v>
      </c>
      <c r="D39" s="94" t="s">
        <v>41</v>
      </c>
      <c r="E39" s="85">
        <f t="shared" ref="E39:E40" si="3">CONVERT(C39,D39,F39)</f>
        <v>0.0050546</v>
      </c>
      <c r="F39" s="104" t="s">
        <v>42</v>
      </c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>
      <c r="A40" s="85"/>
      <c r="B40" s="53" t="s">
        <v>140</v>
      </c>
      <c r="C40" s="4">
        <v>0.656</v>
      </c>
      <c r="D40" s="4" t="s">
        <v>41</v>
      </c>
      <c r="E40" s="85">
        <f t="shared" si="3"/>
        <v>0.0166624</v>
      </c>
      <c r="F40" s="104" t="s">
        <v>42</v>
      </c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>
      <c r="A41" s="85"/>
      <c r="B41" s="100" t="s">
        <v>143</v>
      </c>
      <c r="C41" s="103" t="s">
        <v>274</v>
      </c>
      <c r="D41" s="94" t="s">
        <v>41</v>
      </c>
      <c r="E41" s="94"/>
      <c r="F41" s="101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>
      <c r="A42" s="85"/>
      <c r="B42" s="100" t="s">
        <v>147</v>
      </c>
      <c r="C42" s="103" t="s">
        <v>275</v>
      </c>
      <c r="D42" s="85"/>
      <c r="E42" s="85"/>
      <c r="F42" s="101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>
      <c r="A43" s="85"/>
      <c r="B43" s="100" t="s">
        <v>151</v>
      </c>
      <c r="C43" s="103" t="s">
        <v>152</v>
      </c>
      <c r="D43" s="85"/>
      <c r="E43" s="85"/>
      <c r="F43" s="101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>
      <c r="A44" s="85"/>
      <c r="B44" s="49"/>
      <c r="F44" s="48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>
      <c r="A45" s="85"/>
      <c r="B45" s="95" t="s">
        <v>155</v>
      </c>
      <c r="C45" s="96">
        <v>0.375</v>
      </c>
      <c r="D45" s="96" t="s">
        <v>41</v>
      </c>
      <c r="E45" s="85">
        <f t="shared" ref="E45:E47" si="4">CONVERT(C45,D45,F45)</f>
        <v>0.009525</v>
      </c>
      <c r="F45" s="104" t="s">
        <v>42</v>
      </c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>
      <c r="A46" s="85"/>
      <c r="B46" s="95" t="s">
        <v>158</v>
      </c>
      <c r="C46" s="96">
        <v>0.3254</v>
      </c>
      <c r="D46" s="96" t="s">
        <v>41</v>
      </c>
      <c r="E46" s="85">
        <f t="shared" si="4"/>
        <v>0.00826516</v>
      </c>
      <c r="F46" s="104" t="s">
        <v>42</v>
      </c>
      <c r="G46" s="94" t="s">
        <v>276</v>
      </c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>
      <c r="A47" s="85"/>
      <c r="B47" s="107" t="s">
        <v>162</v>
      </c>
      <c r="C47" s="108">
        <v>0.75</v>
      </c>
      <c r="D47" s="108" t="s">
        <v>41</v>
      </c>
      <c r="E47" s="85">
        <f t="shared" si="4"/>
        <v>0.01905</v>
      </c>
      <c r="F47" s="104" t="s">
        <v>42</v>
      </c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>
      <c r="A48" s="85"/>
      <c r="B48" s="132" t="s">
        <v>263</v>
      </c>
      <c r="C48" s="133">
        <v>40.0</v>
      </c>
      <c r="D48" s="133"/>
      <c r="E48" s="85"/>
      <c r="F48" s="104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>
      <c r="A49" s="85"/>
      <c r="B49" s="109" t="s">
        <v>165</v>
      </c>
      <c r="C49" s="110">
        <f>120000*(C48/100)</f>
        <v>48000</v>
      </c>
      <c r="D49" s="110" t="s">
        <v>79</v>
      </c>
      <c r="E49" s="111">
        <f>CONVERT(C49,D49,F49)</f>
        <v>330.9483501</v>
      </c>
      <c r="F49" s="112" t="s">
        <v>166</v>
      </c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>
      <c r="A52" s="85"/>
      <c r="B52" s="82" t="s">
        <v>277</v>
      </c>
      <c r="C52" s="83"/>
      <c r="D52" s="83"/>
      <c r="E52" s="83"/>
      <c r="F52" s="84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>
      <c r="A53" s="85"/>
      <c r="B53" s="141" t="s">
        <v>278</v>
      </c>
      <c r="C53" s="166"/>
      <c r="D53" s="166"/>
      <c r="E53" s="166"/>
      <c r="F53" s="167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>
      <c r="A54" s="85"/>
      <c r="B54" s="107" t="s">
        <v>279</v>
      </c>
      <c r="C54" s="108">
        <v>6.0</v>
      </c>
      <c r="D54" s="168"/>
      <c r="E54" s="85"/>
      <c r="F54" s="101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>
      <c r="A55" s="85"/>
      <c r="B55" s="107" t="s">
        <v>280</v>
      </c>
      <c r="C55" s="108">
        <v>0.397</v>
      </c>
      <c r="D55" s="108" t="s">
        <v>41</v>
      </c>
      <c r="E55" s="85">
        <f t="shared" ref="E55:E57" si="5">CONVERT(C55,D55,F55)</f>
        <v>0.0100838</v>
      </c>
      <c r="F55" s="104" t="s">
        <v>42</v>
      </c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>
      <c r="A56" s="85"/>
      <c r="B56" s="107" t="s">
        <v>281</v>
      </c>
      <c r="C56" s="108">
        <v>1.5515</v>
      </c>
      <c r="D56" s="108" t="s">
        <v>41</v>
      </c>
      <c r="E56" s="85">
        <f t="shared" si="5"/>
        <v>0.0394081</v>
      </c>
      <c r="F56" s="104" t="s">
        <v>42</v>
      </c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>
      <c r="A57" s="85"/>
      <c r="B57" s="100" t="s">
        <v>282</v>
      </c>
      <c r="C57" s="85">
        <f>C56-(C55/2)</f>
        <v>1.353</v>
      </c>
      <c r="D57" s="94" t="s">
        <v>41</v>
      </c>
      <c r="E57" s="85">
        <f t="shared" si="5"/>
        <v>0.0343662</v>
      </c>
      <c r="F57" s="104" t="s">
        <v>42</v>
      </c>
      <c r="G57" s="94" t="s">
        <v>283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>
      <c r="A58" s="85"/>
      <c r="B58" s="100"/>
      <c r="C58" s="85"/>
      <c r="D58" s="94"/>
      <c r="E58" s="85"/>
      <c r="F58" s="104"/>
      <c r="G58" s="94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>
      <c r="A59" s="85"/>
      <c r="B59" s="132" t="s">
        <v>284</v>
      </c>
      <c r="C59" s="133">
        <v>300.0</v>
      </c>
      <c r="D59" s="133" t="s">
        <v>79</v>
      </c>
      <c r="E59" s="85">
        <f>CONVERT(C59,D59,F59)</f>
        <v>2.068427188</v>
      </c>
      <c r="F59" s="104" t="s">
        <v>166</v>
      </c>
      <c r="G59" s="94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>
      <c r="A60" s="85"/>
      <c r="B60" s="100" t="s">
        <v>285</v>
      </c>
      <c r="C60" s="94">
        <f>(1- (C59/C61) )*100</f>
        <v>60</v>
      </c>
      <c r="D60" s="94" t="s">
        <v>27</v>
      </c>
      <c r="E60" s="85"/>
      <c r="F60" s="101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>
      <c r="A61" s="85"/>
      <c r="B61" s="107" t="s">
        <v>286</v>
      </c>
      <c r="C61" s="108">
        <v>750.0</v>
      </c>
      <c r="D61" s="108" t="s">
        <v>79</v>
      </c>
      <c r="E61" s="85">
        <f>CONVERT(C61,D61,F61)</f>
        <v>5.17106797</v>
      </c>
      <c r="F61" s="104" t="s">
        <v>166</v>
      </c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>
      <c r="A62" s="85"/>
      <c r="B62" s="169"/>
      <c r="C62" s="111"/>
      <c r="D62" s="111"/>
      <c r="E62" s="111"/>
      <c r="F62" s="170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>
      <c r="A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>
      <c r="A64" s="85"/>
      <c r="B64" s="82" t="s">
        <v>287</v>
      </c>
      <c r="C64" s="83"/>
      <c r="D64" s="83"/>
      <c r="E64" s="83"/>
      <c r="F64" s="83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>
      <c r="A65" s="85"/>
      <c r="B65" s="141" t="s">
        <v>288</v>
      </c>
      <c r="C65" s="166"/>
      <c r="D65" s="166"/>
      <c r="E65" s="166"/>
      <c r="F65" s="167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>
      <c r="A66" s="85"/>
      <c r="B66" s="100" t="s">
        <v>289</v>
      </c>
      <c r="C66" s="85">
        <f>(C61*(C23/2))/C24</f>
        <v>5250</v>
      </c>
      <c r="D66" s="94" t="s">
        <v>79</v>
      </c>
      <c r="F66" s="101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>
      <c r="A67" s="85"/>
      <c r="B67" s="100" t="s">
        <v>290</v>
      </c>
      <c r="C67" s="85">
        <f>C27/C66</f>
        <v>3.80952381</v>
      </c>
      <c r="D67" s="85"/>
      <c r="F67" s="101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>
      <c r="A68" s="85"/>
      <c r="B68" s="171"/>
      <c r="C68" s="85"/>
      <c r="D68" s="85"/>
      <c r="E68" s="85"/>
      <c r="F68" s="101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>
      <c r="A69" s="85"/>
      <c r="B69" s="169"/>
      <c r="C69" s="111"/>
      <c r="D69" s="38"/>
      <c r="E69" s="111"/>
      <c r="F69" s="170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>
      <c r="A70" s="85"/>
      <c r="B70" s="141" t="s">
        <v>291</v>
      </c>
      <c r="C70" s="166"/>
      <c r="D70" s="166"/>
      <c r="E70" s="166"/>
      <c r="F70" s="167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>
      <c r="A71" s="85"/>
      <c r="B71" s="100" t="s">
        <v>292</v>
      </c>
      <c r="C71" s="85">
        <f>(C61*C23)/(4*C24)</f>
        <v>2625</v>
      </c>
      <c r="D71" s="94" t="s">
        <v>79</v>
      </c>
      <c r="F71" s="101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>
      <c r="A72" s="85"/>
      <c r="B72" s="100" t="s">
        <v>290</v>
      </c>
      <c r="C72" s="85">
        <f>C27/C71</f>
        <v>7.619047619</v>
      </c>
      <c r="D72" s="85"/>
      <c r="F72" s="101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>
      <c r="A73" s="85"/>
      <c r="B73" s="171"/>
      <c r="C73" s="85"/>
      <c r="D73" s="85"/>
      <c r="E73" s="85"/>
      <c r="F73" s="101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>
      <c r="A74" s="85"/>
      <c r="B74" s="169"/>
      <c r="C74" s="111"/>
      <c r="D74" s="111"/>
      <c r="E74" s="111"/>
      <c r="F74" s="170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>
      <c r="A75" s="85"/>
      <c r="B75" s="141" t="s">
        <v>293</v>
      </c>
      <c r="C75" s="166"/>
      <c r="D75" s="166"/>
      <c r="E75" s="166"/>
      <c r="F75" s="167"/>
      <c r="G75" s="85"/>
      <c r="H75" s="94">
        <f>(((pi()/4)*C23^2) * C61)</f>
        <v>7215.845626</v>
      </c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>
      <c r="A76" s="85"/>
      <c r="B76" s="100" t="s">
        <v>294</v>
      </c>
      <c r="C76" s="85">
        <f> (((pi()/4)*C23^2) * C61) / ( ( ((C22-C24) *pi()) - (C54*C55)) * C24)</f>
        <v>3070.908299</v>
      </c>
      <c r="D76" s="94" t="s">
        <v>79</v>
      </c>
      <c r="E76" s="85"/>
      <c r="F76" s="101"/>
      <c r="G76" s="85"/>
      <c r="H76" s="85">
        <f>( ( ((C22-C24) *pi()) - (C54*C55)) * C24)</f>
        <v>2.349743113</v>
      </c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>
      <c r="A77" s="85"/>
      <c r="B77" s="100" t="s">
        <v>290</v>
      </c>
      <c r="C77" s="85">
        <f>C28/C76</f>
        <v>8.140913881</v>
      </c>
      <c r="D77" s="85"/>
      <c r="E77" s="85"/>
      <c r="F77" s="101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>
      <c r="A78" s="85"/>
      <c r="B78" s="171"/>
      <c r="C78" s="85"/>
      <c r="D78" s="85"/>
      <c r="E78" s="85"/>
      <c r="F78" s="101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>
      <c r="A79" s="85"/>
      <c r="B79" s="171"/>
      <c r="C79" s="85"/>
      <c r="D79" s="85"/>
      <c r="E79" s="85"/>
      <c r="F79" s="101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>
      <c r="A80" s="85"/>
      <c r="B80" s="169"/>
      <c r="C80" s="111"/>
      <c r="D80" s="111"/>
      <c r="E80" s="111"/>
      <c r="F80" s="170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>
      <c r="A81" s="85"/>
      <c r="B81" s="141" t="s">
        <v>295</v>
      </c>
      <c r="C81" s="166"/>
      <c r="D81" s="166"/>
      <c r="E81" s="166"/>
      <c r="F81" s="167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>
      <c r="A82" s="85"/>
      <c r="B82" s="100" t="s">
        <v>296</v>
      </c>
      <c r="C82" s="85">
        <f>(((pi()/4)*C23^2)*C61)/(C54*(pi()/4)*C46^2)</f>
        <v>14461.42217</v>
      </c>
      <c r="D82" s="4" t="s">
        <v>79</v>
      </c>
      <c r="E82" s="85"/>
      <c r="F82" s="101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>
      <c r="A83" s="85"/>
      <c r="B83" s="100" t="s">
        <v>290</v>
      </c>
      <c r="C83" s="85">
        <f>(0.75*C49)/C82</f>
        <v>2.489381721</v>
      </c>
      <c r="E83" s="85"/>
      <c r="F83" s="101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>
      <c r="A84" s="85"/>
      <c r="B84" s="100"/>
      <c r="C84" s="85"/>
      <c r="E84" s="85"/>
      <c r="F84" s="101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>
      <c r="A85" s="85"/>
      <c r="B85" s="171"/>
      <c r="C85" s="85"/>
      <c r="D85" s="85"/>
      <c r="E85" s="85"/>
      <c r="F85" s="101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>
      <c r="A86" s="85"/>
      <c r="B86" s="171"/>
      <c r="C86" s="85"/>
      <c r="D86" s="85"/>
      <c r="E86" s="85"/>
      <c r="F86" s="101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>
      <c r="A87" s="85"/>
      <c r="B87" s="169"/>
      <c r="C87" s="111"/>
      <c r="D87" s="111"/>
      <c r="E87" s="111"/>
      <c r="F87" s="170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>
      <c r="A88" s="85"/>
      <c r="B88" s="141" t="s">
        <v>297</v>
      </c>
      <c r="C88" s="166"/>
      <c r="D88" s="166"/>
      <c r="E88" s="166"/>
      <c r="F88" s="167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>
      <c r="A89" s="85"/>
      <c r="B89" s="100" t="s">
        <v>298</v>
      </c>
      <c r="C89" s="85">
        <f>(((pi()/4)*C23^2)*C61)/C54</f>
        <v>1202.640938</v>
      </c>
      <c r="D89" s="94" t="s">
        <v>53</v>
      </c>
      <c r="E89" s="85"/>
      <c r="F89" s="101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>
      <c r="A90" s="85"/>
      <c r="B90" s="100" t="s">
        <v>299</v>
      </c>
      <c r="C90" s="85">
        <f>C89/(C57* (2*C24))</f>
        <v>1777.739745</v>
      </c>
      <c r="D90" s="94" t="s">
        <v>79</v>
      </c>
      <c r="E90" s="85"/>
      <c r="F90" s="101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>
      <c r="A91" s="85"/>
      <c r="B91" s="100" t="s">
        <v>290</v>
      </c>
      <c r="C91" s="85">
        <f>C30/C90</f>
        <v>8.43768051</v>
      </c>
      <c r="D91" s="85"/>
      <c r="E91" s="85"/>
      <c r="F91" s="101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>
      <c r="A92" s="85"/>
      <c r="B92" s="171"/>
      <c r="C92" s="85"/>
      <c r="D92" s="85"/>
      <c r="E92" s="85"/>
      <c r="F92" s="101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>
      <c r="A93" s="85"/>
      <c r="B93" s="171"/>
      <c r="C93" s="85"/>
      <c r="D93" s="85"/>
      <c r="E93" s="85"/>
      <c r="F93" s="101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>
      <c r="A94" s="85"/>
      <c r="B94" s="169"/>
      <c r="C94" s="111"/>
      <c r="D94" s="111"/>
      <c r="E94" s="111"/>
      <c r="F94" s="170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>
      <c r="A95" s="85"/>
      <c r="B95" s="141" t="s">
        <v>300</v>
      </c>
      <c r="C95" s="25"/>
      <c r="D95" s="25"/>
      <c r="E95" s="25"/>
      <c r="F95" s="26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>
      <c r="A96" s="85"/>
      <c r="B96" s="100" t="s">
        <v>301</v>
      </c>
      <c r="C96" s="5">
        <f>C89/(C45*C24)</f>
        <v>12828.17</v>
      </c>
      <c r="D96" s="4" t="s">
        <v>79</v>
      </c>
      <c r="F96" s="48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>
      <c r="A97" s="85"/>
      <c r="B97" s="53" t="s">
        <v>290</v>
      </c>
      <c r="C97" s="5">
        <f>C29/C96</f>
        <v>2.182696362</v>
      </c>
      <c r="F97" s="48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>
      <c r="A98" s="85"/>
      <c r="B98" s="49"/>
      <c r="F98" s="48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>
      <c r="A99" s="85"/>
      <c r="B99" s="172"/>
      <c r="C99" s="38"/>
      <c r="D99" s="38"/>
      <c r="E99" s="38"/>
      <c r="F99" s="63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>
      <c r="A101" s="85"/>
      <c r="B101" s="82" t="s">
        <v>302</v>
      </c>
      <c r="C101" s="83"/>
      <c r="D101" s="83"/>
      <c r="E101" s="83"/>
      <c r="F101" s="84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>
      <c r="A102" s="85"/>
      <c r="B102" s="141" t="s">
        <v>227</v>
      </c>
      <c r="C102" s="25"/>
      <c r="D102" s="25"/>
      <c r="E102" s="25"/>
      <c r="F102" s="26"/>
      <c r="G102" s="94" t="s">
        <v>228</v>
      </c>
      <c r="H102" s="143" t="s">
        <v>128</v>
      </c>
      <c r="I102" s="94" t="s">
        <v>154</v>
      </c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>
      <c r="A103" s="85"/>
      <c r="B103" s="107" t="s">
        <v>229</v>
      </c>
      <c r="C103" s="96">
        <v>70.0</v>
      </c>
      <c r="D103" s="96" t="s">
        <v>230</v>
      </c>
      <c r="E103" s="5">
        <f t="shared" ref="E103:E105" si="6">convert(C103,D103,F103)</f>
        <v>21.11111111</v>
      </c>
      <c r="F103" s="33" t="s">
        <v>94</v>
      </c>
      <c r="G103" s="94" t="s">
        <v>231</v>
      </c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>
      <c r="A104" s="85"/>
      <c r="B104" s="95" t="s">
        <v>232</v>
      </c>
      <c r="C104" s="96">
        <v>0.0</v>
      </c>
      <c r="D104" s="96" t="s">
        <v>230</v>
      </c>
      <c r="E104" s="5">
        <f t="shared" si="6"/>
        <v>-17.77777778</v>
      </c>
      <c r="F104" s="33" t="s">
        <v>94</v>
      </c>
      <c r="G104" s="94" t="s">
        <v>233</v>
      </c>
      <c r="H104" s="94"/>
      <c r="I104" s="94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>
      <c r="A105" s="94" t="s">
        <v>303</v>
      </c>
      <c r="B105" s="95" t="s">
        <v>234</v>
      </c>
      <c r="C105" s="96">
        <v>2955.59</v>
      </c>
      <c r="D105" s="96" t="s">
        <v>93</v>
      </c>
      <c r="E105" s="5">
        <f t="shared" si="6"/>
        <v>2682.44</v>
      </c>
      <c r="F105" s="33" t="s">
        <v>94</v>
      </c>
      <c r="G105" s="94" t="s">
        <v>235</v>
      </c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>
      <c r="A106" s="85"/>
      <c r="B106" s="53" t="s">
        <v>236</v>
      </c>
      <c r="C106" s="4">
        <v>51.9</v>
      </c>
      <c r="D106" s="4" t="s">
        <v>237</v>
      </c>
      <c r="F106" s="48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>
      <c r="A107" s="85"/>
      <c r="B107" s="53" t="s">
        <v>238</v>
      </c>
      <c r="C107" s="5">
        <f>13.9*10^-6</f>
        <v>0.0000139</v>
      </c>
      <c r="D107" s="4" t="s">
        <v>239</v>
      </c>
      <c r="E107" s="5">
        <f>2.358*10^-5</f>
        <v>0.00002358</v>
      </c>
      <c r="F107" s="33" t="s">
        <v>240</v>
      </c>
      <c r="G107" s="143" t="s">
        <v>128</v>
      </c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>
      <c r="A108" s="85"/>
      <c r="B108" s="53" t="s">
        <v>241</v>
      </c>
      <c r="C108" s="94">
        <v>486.0</v>
      </c>
      <c r="D108" s="94" t="s">
        <v>242</v>
      </c>
      <c r="E108" s="85"/>
      <c r="F108" s="101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>
      <c r="A109" s="85"/>
      <c r="B109" s="53" t="s">
        <v>205</v>
      </c>
      <c r="C109" s="94">
        <f>29000*10^3</f>
        <v>29000000</v>
      </c>
      <c r="D109" s="94" t="s">
        <v>79</v>
      </c>
      <c r="E109" s="85"/>
      <c r="F109" s="101"/>
      <c r="G109" s="143" t="s">
        <v>128</v>
      </c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>
      <c r="A110" s="85"/>
      <c r="B110" s="49"/>
      <c r="C110" s="85"/>
      <c r="D110" s="85"/>
      <c r="E110" s="85"/>
      <c r="F110" s="101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>
      <c r="A111" s="85"/>
      <c r="B111" s="100" t="s">
        <v>243</v>
      </c>
      <c r="C111" s="85">
        <f>$C$109*$C$107*(C104-$C$103)</f>
        <v>-28217</v>
      </c>
      <c r="D111" s="94" t="s">
        <v>79</v>
      </c>
      <c r="E111" s="85"/>
      <c r="F111" s="101"/>
      <c r="G111" s="143" t="s">
        <v>128</v>
      </c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>
      <c r="A112" s="85"/>
      <c r="B112" s="54" t="s">
        <v>244</v>
      </c>
      <c r="C112" s="55">
        <f>C111/$C$31</f>
        <v>-0.0056434</v>
      </c>
      <c r="D112" s="56" t="s">
        <v>41</v>
      </c>
      <c r="E112" s="144">
        <f>convert(C112,D112,F112)</f>
        <v>-0.14334236</v>
      </c>
      <c r="F112" s="145" t="s">
        <v>245</v>
      </c>
      <c r="G112" s="143" t="s">
        <v>128</v>
      </c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>
      <c r="A113" s="85"/>
      <c r="B113" s="100" t="s">
        <v>246</v>
      </c>
      <c r="C113" s="85">
        <f>$C$109*$C$107*(C105-$C$103)</f>
        <v>1163181.329</v>
      </c>
      <c r="D113" s="94" t="s">
        <v>79</v>
      </c>
      <c r="E113" s="85"/>
      <c r="F113" s="101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>
      <c r="A114" s="94" t="s">
        <v>304</v>
      </c>
      <c r="B114" s="146" t="s">
        <v>247</v>
      </c>
      <c r="C114" s="43">
        <f>C113/$C$31</f>
        <v>0.2326362658</v>
      </c>
      <c r="D114" s="147" t="s">
        <v>41</v>
      </c>
      <c r="E114" s="148">
        <f>convert(C114,D114,F114)</f>
        <v>5.908961151</v>
      </c>
      <c r="F114" s="149" t="s">
        <v>245</v>
      </c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>
      <c r="A116" s="85"/>
      <c r="B116" s="82" t="s">
        <v>305</v>
      </c>
      <c r="C116" s="83"/>
      <c r="D116" s="83"/>
      <c r="E116" s="83"/>
      <c r="F116" s="84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>
      <c r="A117" s="85"/>
      <c r="B117" s="141" t="s">
        <v>306</v>
      </c>
      <c r="C117" s="25"/>
      <c r="D117" s="25"/>
      <c r="E117" s="25"/>
      <c r="F117" s="26"/>
      <c r="G117" s="94" t="s">
        <v>228</v>
      </c>
      <c r="H117" s="143" t="s">
        <v>128</v>
      </c>
      <c r="I117" s="94" t="s">
        <v>154</v>
      </c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>
      <c r="A118" s="85"/>
      <c r="B118" s="107" t="s">
        <v>229</v>
      </c>
      <c r="C118" s="96">
        <v>70.0</v>
      </c>
      <c r="D118" s="96" t="s">
        <v>230</v>
      </c>
      <c r="E118" s="5">
        <f t="shared" ref="E118:E120" si="7">convert(C118,D118,F118)</f>
        <v>21.11111111</v>
      </c>
      <c r="F118" s="33" t="s">
        <v>94</v>
      </c>
      <c r="G118" s="94" t="s">
        <v>231</v>
      </c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>
      <c r="A119" s="85"/>
      <c r="B119" s="95" t="s">
        <v>232</v>
      </c>
      <c r="C119" s="96">
        <v>0.0</v>
      </c>
      <c r="D119" s="96" t="s">
        <v>230</v>
      </c>
      <c r="E119" s="5">
        <f t="shared" si="7"/>
        <v>-17.77777778</v>
      </c>
      <c r="F119" s="33" t="s">
        <v>94</v>
      </c>
      <c r="G119" s="94" t="s">
        <v>233</v>
      </c>
      <c r="H119" s="94"/>
      <c r="I119" s="94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>
      <c r="A120" s="94" t="s">
        <v>303</v>
      </c>
      <c r="B120" s="95" t="s">
        <v>234</v>
      </c>
      <c r="C120" s="96">
        <v>2955.59</v>
      </c>
      <c r="D120" s="96" t="s">
        <v>93</v>
      </c>
      <c r="E120" s="5">
        <f t="shared" si="7"/>
        <v>2682.44</v>
      </c>
      <c r="F120" s="33" t="s">
        <v>94</v>
      </c>
      <c r="G120" s="94" t="s">
        <v>235</v>
      </c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>
      <c r="A121" s="85"/>
      <c r="B121" s="53" t="s">
        <v>236</v>
      </c>
      <c r="C121" s="4">
        <v>24.0</v>
      </c>
      <c r="D121" s="4" t="s">
        <v>237</v>
      </c>
      <c r="F121" s="48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>
      <c r="A122" s="85"/>
      <c r="B122" s="53" t="s">
        <v>238</v>
      </c>
      <c r="C122" s="5">
        <f>4.3*10^-6</f>
        <v>0.0000043</v>
      </c>
      <c r="D122" s="4" t="s">
        <v>239</v>
      </c>
      <c r="E122" s="5">
        <f>2.358*10^-5</f>
        <v>0.00002358</v>
      </c>
      <c r="F122" s="33" t="s">
        <v>240</v>
      </c>
      <c r="G122" s="143" t="s">
        <v>128</v>
      </c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>
      <c r="A123" s="85"/>
      <c r="B123" s="53" t="s">
        <v>241</v>
      </c>
      <c r="C123" s="94">
        <v>707.7</v>
      </c>
      <c r="D123" s="94" t="s">
        <v>242</v>
      </c>
      <c r="E123" s="85"/>
      <c r="F123" s="101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>
      <c r="A124" s="85"/>
      <c r="B124" s="53" t="s">
        <v>205</v>
      </c>
      <c r="C124" s="94">
        <f>696*10^3</f>
        <v>696000</v>
      </c>
      <c r="D124" s="94" t="s">
        <v>79</v>
      </c>
      <c r="E124" s="85"/>
      <c r="F124" s="101"/>
      <c r="G124" s="143" t="s">
        <v>128</v>
      </c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>
      <c r="A125" s="85"/>
      <c r="B125" s="49"/>
      <c r="C125" s="85"/>
      <c r="D125" s="85"/>
      <c r="E125" s="85"/>
      <c r="F125" s="101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>
      <c r="A126" s="85"/>
      <c r="B126" s="100" t="s">
        <v>243</v>
      </c>
      <c r="C126" s="85">
        <f>$C$124*$C$122*(C119-$C$118)</f>
        <v>-209.496</v>
      </c>
      <c r="D126" s="94" t="s">
        <v>79</v>
      </c>
      <c r="E126" s="85"/>
      <c r="F126" s="101"/>
      <c r="G126" s="143" t="s">
        <v>128</v>
      </c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>
      <c r="A127" s="85"/>
      <c r="B127" s="54" t="s">
        <v>244</v>
      </c>
      <c r="C127" s="55">
        <f>C126/$C$31</f>
        <v>-0.0000418992</v>
      </c>
      <c r="D127" s="56" t="s">
        <v>41</v>
      </c>
      <c r="E127" s="144">
        <f>convert(C127,D127,F127)</f>
        <v>-0.00106423968</v>
      </c>
      <c r="F127" s="145" t="s">
        <v>245</v>
      </c>
      <c r="G127" s="143" t="s">
        <v>128</v>
      </c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>
      <c r="A128" s="85"/>
      <c r="B128" s="100" t="s">
        <v>246</v>
      </c>
      <c r="C128" s="85">
        <f>$C$124*$C$122*(C120-$C$118)</f>
        <v>8635.993752</v>
      </c>
      <c r="D128" s="94" t="s">
        <v>79</v>
      </c>
      <c r="E128" s="85"/>
      <c r="F128" s="101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>
      <c r="A129" s="94" t="s">
        <v>307</v>
      </c>
      <c r="B129" s="146" t="s">
        <v>247</v>
      </c>
      <c r="C129" s="43">
        <f>C128/$C$31</f>
        <v>0.00172719875</v>
      </c>
      <c r="D129" s="147" t="s">
        <v>41</v>
      </c>
      <c r="E129" s="148">
        <f>convert(C129,D129,F129)</f>
        <v>0.04387084826</v>
      </c>
      <c r="F129" s="149" t="s">
        <v>245</v>
      </c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>
      <c r="A130" s="85"/>
      <c r="B130" s="94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  <row r="100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</row>
    <row r="1002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</row>
    <row r="1003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</row>
    <row r="1004">
      <c r="A1004" s="85"/>
      <c r="B1004" s="85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</row>
    <row r="1005">
      <c r="A1005" s="85"/>
      <c r="B1005" s="85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</row>
    <row r="1006">
      <c r="A1006" s="85"/>
      <c r="B1006" s="85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</row>
    <row r="1007">
      <c r="A1007" s="85"/>
      <c r="B1007" s="85"/>
      <c r="C1007" s="85"/>
      <c r="D1007" s="85"/>
      <c r="E1007" s="85"/>
      <c r="F1007" s="85"/>
      <c r="G1007" s="85"/>
      <c r="H1007" s="85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5"/>
      <c r="T1007" s="85"/>
      <c r="U1007" s="85"/>
      <c r="V1007" s="85"/>
      <c r="W1007" s="85"/>
      <c r="X1007" s="85"/>
      <c r="Y1007" s="85"/>
      <c r="Z1007" s="85"/>
      <c r="AA1007" s="85"/>
    </row>
    <row r="1008">
      <c r="A1008" s="85"/>
      <c r="B1008" s="85"/>
      <c r="C1008" s="85"/>
      <c r="D1008" s="85"/>
      <c r="E1008" s="85"/>
      <c r="F1008" s="85"/>
      <c r="G1008" s="85"/>
      <c r="H1008" s="85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5"/>
      <c r="T1008" s="85"/>
      <c r="U1008" s="85"/>
      <c r="V1008" s="85"/>
      <c r="W1008" s="85"/>
      <c r="X1008" s="85"/>
      <c r="Y1008" s="85"/>
      <c r="Z1008" s="85"/>
      <c r="AA1008" s="85"/>
    </row>
    <row r="1009">
      <c r="A1009" s="85"/>
      <c r="B1009" s="85"/>
      <c r="C1009" s="85"/>
      <c r="D1009" s="85"/>
      <c r="E1009" s="85"/>
      <c r="F1009" s="85"/>
      <c r="G1009" s="85"/>
      <c r="H1009" s="85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5"/>
      <c r="T1009" s="85"/>
      <c r="U1009" s="85"/>
      <c r="V1009" s="85"/>
      <c r="W1009" s="85"/>
      <c r="X1009" s="85"/>
      <c r="Y1009" s="85"/>
      <c r="Z1009" s="85"/>
      <c r="AA1009" s="85"/>
    </row>
    <row r="1010">
      <c r="A1010" s="85"/>
      <c r="B1010" s="85"/>
      <c r="C1010" s="85"/>
      <c r="D1010" s="85"/>
      <c r="E1010" s="85"/>
      <c r="F1010" s="85"/>
      <c r="G1010" s="85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5"/>
      <c r="T1010" s="85"/>
      <c r="U1010" s="85"/>
      <c r="V1010" s="85"/>
      <c r="W1010" s="85"/>
      <c r="X1010" s="85"/>
      <c r="Y1010" s="85"/>
      <c r="Z1010" s="85"/>
      <c r="AA1010" s="85"/>
    </row>
    <row r="1011">
      <c r="A1011" s="85"/>
      <c r="B1011" s="85"/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W1011" s="85"/>
      <c r="X1011" s="85"/>
      <c r="Y1011" s="85"/>
      <c r="Z1011" s="85"/>
      <c r="AA1011" s="85"/>
    </row>
    <row r="1012">
      <c r="A1012" s="85"/>
      <c r="B1012" s="85"/>
      <c r="C1012" s="85"/>
      <c r="D1012" s="85"/>
      <c r="E1012" s="85"/>
      <c r="F1012" s="85"/>
      <c r="G1012" s="85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5"/>
      <c r="S1012" s="85"/>
      <c r="T1012" s="85"/>
      <c r="U1012" s="85"/>
      <c r="V1012" s="85"/>
      <c r="W1012" s="85"/>
      <c r="X1012" s="85"/>
      <c r="Y1012" s="85"/>
      <c r="Z1012" s="85"/>
      <c r="AA1012" s="85"/>
    </row>
    <row r="1013">
      <c r="A1013" s="85"/>
      <c r="B1013" s="85"/>
      <c r="C1013" s="85"/>
      <c r="D1013" s="85"/>
      <c r="E1013" s="85"/>
      <c r="F1013" s="85"/>
      <c r="G1013" s="85"/>
      <c r="H1013" s="85"/>
      <c r="I1013" s="85"/>
      <c r="J1013" s="85"/>
      <c r="K1013" s="85"/>
      <c r="L1013" s="85"/>
      <c r="M1013" s="85"/>
      <c r="N1013" s="85"/>
      <c r="O1013" s="85"/>
      <c r="P1013" s="85"/>
      <c r="Q1013" s="85"/>
      <c r="R1013" s="85"/>
      <c r="S1013" s="85"/>
      <c r="T1013" s="85"/>
      <c r="U1013" s="85"/>
      <c r="V1013" s="85"/>
      <c r="W1013" s="85"/>
      <c r="X1013" s="85"/>
      <c r="Y1013" s="85"/>
      <c r="Z1013" s="85"/>
      <c r="AA1013" s="85"/>
    </row>
    <row r="1014">
      <c r="A1014" s="85"/>
      <c r="B1014" s="85"/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T1014" s="85"/>
      <c r="U1014" s="85"/>
      <c r="V1014" s="85"/>
      <c r="W1014" s="85"/>
      <c r="X1014" s="85"/>
      <c r="Y1014" s="85"/>
      <c r="Z1014" s="85"/>
      <c r="AA1014" s="85"/>
    </row>
    <row r="1015">
      <c r="A1015" s="85"/>
      <c r="B1015" s="85"/>
      <c r="C1015" s="85"/>
      <c r="D1015" s="85"/>
      <c r="E1015" s="85"/>
      <c r="F1015" s="85"/>
      <c r="G1015" s="85"/>
      <c r="H1015" s="85"/>
      <c r="I1015" s="85"/>
      <c r="J1015" s="85"/>
      <c r="K1015" s="85"/>
      <c r="L1015" s="85"/>
      <c r="M1015" s="85"/>
      <c r="N1015" s="85"/>
      <c r="O1015" s="85"/>
      <c r="P1015" s="85"/>
      <c r="Q1015" s="85"/>
      <c r="R1015" s="85"/>
      <c r="S1015" s="85"/>
      <c r="T1015" s="85"/>
      <c r="U1015" s="85"/>
      <c r="V1015" s="85"/>
      <c r="W1015" s="85"/>
      <c r="X1015" s="85"/>
      <c r="Y1015" s="85"/>
      <c r="Z1015" s="85"/>
      <c r="AA1015" s="85"/>
    </row>
    <row r="1016">
      <c r="A1016" s="85"/>
      <c r="B1016" s="85"/>
      <c r="C1016" s="85"/>
      <c r="D1016" s="85"/>
      <c r="E1016" s="85"/>
      <c r="F1016" s="85"/>
      <c r="G1016" s="85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5"/>
      <c r="S1016" s="85"/>
      <c r="T1016" s="85"/>
      <c r="U1016" s="85"/>
      <c r="V1016" s="85"/>
      <c r="W1016" s="85"/>
      <c r="X1016" s="85"/>
      <c r="Y1016" s="85"/>
      <c r="Z1016" s="85"/>
      <c r="AA1016" s="85"/>
    </row>
    <row r="1017">
      <c r="A1017" s="85"/>
      <c r="B1017" s="85"/>
      <c r="C1017" s="85"/>
      <c r="D1017" s="85"/>
      <c r="E1017" s="85"/>
      <c r="F1017" s="85"/>
      <c r="G1017" s="85"/>
      <c r="H1017" s="85"/>
      <c r="I1017" s="85"/>
      <c r="J1017" s="85"/>
      <c r="K1017" s="85"/>
      <c r="L1017" s="85"/>
      <c r="M1017" s="85"/>
      <c r="N1017" s="85"/>
      <c r="O1017" s="85"/>
      <c r="P1017" s="85"/>
      <c r="Q1017" s="85"/>
      <c r="R1017" s="85"/>
      <c r="S1017" s="85"/>
      <c r="T1017" s="85"/>
      <c r="U1017" s="85"/>
      <c r="V1017" s="85"/>
      <c r="W1017" s="85"/>
      <c r="X1017" s="85"/>
      <c r="Y1017" s="85"/>
      <c r="Z1017" s="85"/>
      <c r="AA1017" s="85"/>
    </row>
    <row r="1018">
      <c r="A1018" s="85"/>
      <c r="B1018" s="85"/>
      <c r="C1018" s="85"/>
      <c r="D1018" s="85"/>
      <c r="E1018" s="85"/>
      <c r="F1018" s="85"/>
      <c r="G1018" s="85"/>
      <c r="H1018" s="85"/>
      <c r="I1018" s="85"/>
      <c r="J1018" s="85"/>
      <c r="K1018" s="85"/>
      <c r="L1018" s="85"/>
      <c r="M1018" s="85"/>
      <c r="N1018" s="85"/>
      <c r="O1018" s="85"/>
      <c r="P1018" s="85"/>
      <c r="Q1018" s="85"/>
      <c r="R1018" s="85"/>
      <c r="S1018" s="85"/>
      <c r="T1018" s="85"/>
      <c r="U1018" s="85"/>
      <c r="V1018" s="85"/>
      <c r="W1018" s="85"/>
      <c r="X1018" s="85"/>
      <c r="Y1018" s="85"/>
      <c r="Z1018" s="85"/>
      <c r="AA1018" s="85"/>
    </row>
    <row r="1019">
      <c r="A1019" s="85"/>
      <c r="B1019" s="85"/>
      <c r="C1019" s="85"/>
      <c r="D1019" s="85"/>
      <c r="E1019" s="85"/>
      <c r="F1019" s="85"/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/>
      <c r="Z1019" s="85"/>
      <c r="AA1019" s="85"/>
    </row>
    <row r="1020">
      <c r="A1020" s="85"/>
      <c r="B1020" s="85"/>
      <c r="C1020" s="85"/>
      <c r="D1020" s="85"/>
      <c r="E1020" s="85"/>
      <c r="F1020" s="85"/>
      <c r="G1020" s="85"/>
      <c r="H1020" s="85"/>
      <c r="I1020" s="85"/>
      <c r="J1020" s="85"/>
      <c r="K1020" s="85"/>
      <c r="L1020" s="85"/>
      <c r="M1020" s="85"/>
      <c r="N1020" s="85"/>
      <c r="O1020" s="85"/>
      <c r="P1020" s="85"/>
      <c r="Q1020" s="85"/>
      <c r="R1020" s="85"/>
      <c r="S1020" s="85"/>
      <c r="T1020" s="85"/>
      <c r="U1020" s="85"/>
      <c r="V1020" s="85"/>
      <c r="W1020" s="85"/>
      <c r="X1020" s="85"/>
      <c r="Y1020" s="85"/>
      <c r="Z1020" s="85"/>
      <c r="AA1020" s="85"/>
    </row>
    <row r="1021">
      <c r="A1021" s="85"/>
      <c r="B1021" s="85"/>
      <c r="C1021" s="85"/>
      <c r="D1021" s="85"/>
      <c r="E1021" s="85"/>
      <c r="F1021" s="85"/>
      <c r="G1021" s="85"/>
      <c r="H1021" s="85"/>
      <c r="I1021" s="85"/>
      <c r="J1021" s="85"/>
      <c r="K1021" s="85"/>
      <c r="L1021" s="85"/>
      <c r="M1021" s="85"/>
      <c r="N1021" s="85"/>
      <c r="O1021" s="85"/>
      <c r="P1021" s="85"/>
      <c r="Q1021" s="85"/>
      <c r="R1021" s="85"/>
      <c r="S1021" s="85"/>
      <c r="T1021" s="85"/>
      <c r="U1021" s="85"/>
      <c r="V1021" s="85"/>
      <c r="W1021" s="85"/>
      <c r="X1021" s="85"/>
      <c r="Y1021" s="85"/>
      <c r="Z1021" s="85"/>
      <c r="AA1021" s="85"/>
    </row>
    <row r="1022">
      <c r="A1022" s="85"/>
      <c r="B1022" s="85"/>
      <c r="C1022" s="85"/>
      <c r="D1022" s="85"/>
      <c r="E1022" s="85"/>
      <c r="F1022" s="85"/>
      <c r="G1022" s="85"/>
      <c r="H1022" s="85"/>
      <c r="I1022" s="85"/>
      <c r="J1022" s="85"/>
      <c r="K1022" s="85"/>
      <c r="L1022" s="85"/>
      <c r="M1022" s="85"/>
      <c r="N1022" s="85"/>
      <c r="O1022" s="85"/>
      <c r="P1022" s="85"/>
      <c r="Q1022" s="85"/>
      <c r="R1022" s="85"/>
      <c r="S1022" s="85"/>
      <c r="T1022" s="85"/>
      <c r="U1022" s="85"/>
      <c r="V1022" s="85"/>
      <c r="W1022" s="85"/>
      <c r="X1022" s="85"/>
      <c r="Y1022" s="85"/>
      <c r="Z1022" s="85"/>
      <c r="AA1022" s="85"/>
    </row>
    <row r="1023">
      <c r="A1023" s="85"/>
      <c r="B1023" s="85"/>
      <c r="C1023" s="85"/>
      <c r="D1023" s="85"/>
      <c r="E1023" s="85"/>
      <c r="F1023" s="85"/>
      <c r="G1023" s="85"/>
      <c r="H1023" s="85"/>
      <c r="I1023" s="85"/>
      <c r="J1023" s="85"/>
      <c r="K1023" s="85"/>
      <c r="L1023" s="85"/>
      <c r="M1023" s="85"/>
      <c r="N1023" s="85"/>
      <c r="O1023" s="85"/>
      <c r="P1023" s="85"/>
      <c r="Q1023" s="85"/>
      <c r="R1023" s="85"/>
      <c r="S1023" s="85"/>
      <c r="T1023" s="85"/>
      <c r="U1023" s="85"/>
      <c r="V1023" s="85"/>
      <c r="W1023" s="85"/>
      <c r="X1023" s="85"/>
      <c r="Y1023" s="85"/>
      <c r="Z1023" s="85"/>
      <c r="AA1023" s="85"/>
    </row>
    <row r="1024">
      <c r="A1024" s="85"/>
      <c r="B1024" s="85"/>
      <c r="C1024" s="85"/>
      <c r="D1024" s="85"/>
      <c r="E1024" s="85"/>
      <c r="F1024" s="85"/>
      <c r="G1024" s="85"/>
      <c r="H1024" s="85"/>
      <c r="I1024" s="85"/>
      <c r="J1024" s="85"/>
      <c r="K1024" s="85"/>
      <c r="L1024" s="85"/>
      <c r="M1024" s="85"/>
      <c r="N1024" s="85"/>
      <c r="O1024" s="85"/>
      <c r="P1024" s="85"/>
      <c r="Q1024" s="85"/>
      <c r="R1024" s="85"/>
      <c r="S1024" s="85"/>
      <c r="T1024" s="85"/>
      <c r="U1024" s="85"/>
      <c r="V1024" s="85"/>
      <c r="W1024" s="85"/>
      <c r="X1024" s="85"/>
      <c r="Y1024" s="85"/>
      <c r="Z1024" s="85"/>
      <c r="AA1024" s="85"/>
    </row>
    <row r="1025">
      <c r="A1025" s="85"/>
      <c r="B1025" s="85"/>
      <c r="C1025" s="85"/>
      <c r="D1025" s="85"/>
      <c r="E1025" s="85"/>
      <c r="F1025" s="85"/>
      <c r="G1025" s="85"/>
      <c r="H1025" s="85"/>
      <c r="I1025" s="85"/>
      <c r="J1025" s="85"/>
      <c r="K1025" s="85"/>
      <c r="L1025" s="85"/>
      <c r="M1025" s="85"/>
      <c r="N1025" s="85"/>
      <c r="O1025" s="85"/>
      <c r="P1025" s="85"/>
      <c r="Q1025" s="85"/>
      <c r="R1025" s="85"/>
      <c r="S1025" s="85"/>
      <c r="T1025" s="85"/>
      <c r="U1025" s="85"/>
      <c r="V1025" s="85"/>
      <c r="W1025" s="85"/>
      <c r="X1025" s="85"/>
      <c r="Y1025" s="85"/>
      <c r="Z1025" s="85"/>
      <c r="AA1025" s="85"/>
    </row>
    <row r="1026">
      <c r="A1026" s="85"/>
      <c r="B1026" s="85"/>
      <c r="C1026" s="85"/>
      <c r="D1026" s="85"/>
      <c r="E1026" s="85"/>
      <c r="F1026" s="85"/>
      <c r="G1026" s="85"/>
      <c r="H1026" s="85"/>
      <c r="I1026" s="85"/>
      <c r="J1026" s="85"/>
      <c r="K1026" s="85"/>
      <c r="L1026" s="85"/>
      <c r="M1026" s="85"/>
      <c r="N1026" s="85"/>
      <c r="O1026" s="85"/>
      <c r="P1026" s="85"/>
      <c r="Q1026" s="85"/>
      <c r="R1026" s="85"/>
      <c r="S1026" s="85"/>
      <c r="T1026" s="85"/>
      <c r="U1026" s="85"/>
      <c r="V1026" s="85"/>
      <c r="W1026" s="85"/>
      <c r="X1026" s="85"/>
      <c r="Y1026" s="85"/>
      <c r="Z1026" s="85"/>
      <c r="AA1026" s="85"/>
    </row>
    <row r="1027">
      <c r="A1027" s="85"/>
      <c r="B1027" s="85"/>
      <c r="C1027" s="85"/>
      <c r="D1027" s="85"/>
      <c r="E1027" s="85"/>
      <c r="F1027" s="85"/>
      <c r="G1027" s="85"/>
      <c r="H1027" s="85"/>
      <c r="I1027" s="85"/>
      <c r="J1027" s="85"/>
      <c r="K1027" s="85"/>
      <c r="L1027" s="85"/>
      <c r="M1027" s="85"/>
      <c r="N1027" s="85"/>
      <c r="O1027" s="85"/>
      <c r="P1027" s="85"/>
      <c r="Q1027" s="85"/>
      <c r="R1027" s="85"/>
      <c r="S1027" s="85"/>
      <c r="T1027" s="85"/>
      <c r="U1027" s="85"/>
      <c r="V1027" s="85"/>
      <c r="W1027" s="85"/>
      <c r="X1027" s="85"/>
      <c r="Y1027" s="85"/>
      <c r="Z1027" s="85"/>
      <c r="AA1027" s="85"/>
    </row>
    <row r="1028">
      <c r="A1028" s="85"/>
      <c r="B1028" s="85"/>
      <c r="C1028" s="85"/>
      <c r="D1028" s="85"/>
      <c r="E1028" s="85"/>
      <c r="F1028" s="85"/>
      <c r="G1028" s="85"/>
      <c r="H1028" s="85"/>
      <c r="I1028" s="85"/>
      <c r="J1028" s="85"/>
      <c r="K1028" s="85"/>
      <c r="L1028" s="85"/>
      <c r="M1028" s="85"/>
      <c r="N1028" s="85"/>
      <c r="O1028" s="85"/>
      <c r="P1028" s="85"/>
      <c r="Q1028" s="85"/>
      <c r="R1028" s="85"/>
      <c r="S1028" s="85"/>
      <c r="T1028" s="85"/>
      <c r="U1028" s="85"/>
      <c r="V1028" s="85"/>
      <c r="W1028" s="85"/>
      <c r="X1028" s="85"/>
      <c r="Y1028" s="85"/>
      <c r="Z1028" s="85"/>
      <c r="AA1028" s="85"/>
    </row>
  </sheetData>
  <conditionalFormatting sqref="C67 C72 C77 C83 C91 C97">
    <cfRule type="cellIs" dxfId="0" priority="1" operator="greaterThan">
      <formula>3</formula>
    </cfRule>
  </conditionalFormatting>
  <conditionalFormatting sqref="C67 C72 C77 C83 C91 C97">
    <cfRule type="cellIs" dxfId="1" priority="2" operator="lessThan">
      <formula>1.5</formula>
    </cfRule>
  </conditionalFormatting>
  <conditionalFormatting sqref="C67 C72 C77 C83 C91 C97">
    <cfRule type="cellIs" dxfId="2" priority="3" operator="between">
      <formula>1.5</formula>
      <formula>3</formula>
    </cfRule>
  </conditionalFormatting>
  <hyperlinks>
    <hyperlink r:id="rId1" ref="G4"/>
    <hyperlink r:id="rId2" ref="G28"/>
    <hyperlink r:id="rId3" ref="G29"/>
    <hyperlink r:id="rId4" ref="G30"/>
    <hyperlink r:id="rId5" ref="G31"/>
    <hyperlink r:id="rId6" ref="C36"/>
    <hyperlink r:id="rId7" ref="H102"/>
    <hyperlink r:id="rId8" ref="G107"/>
    <hyperlink r:id="rId9" ref="G109"/>
    <hyperlink r:id="rId10" ref="G111"/>
    <hyperlink r:id="rId11" ref="G112"/>
    <hyperlink r:id="rId12" ref="H117"/>
    <hyperlink r:id="rId13" ref="G122"/>
    <hyperlink r:id="rId14" ref="G124"/>
    <hyperlink r:id="rId15" ref="G126"/>
    <hyperlink r:id="rId16" ref="G127"/>
  </hyperlinks>
  <printOptions horizontalCentered="1"/>
  <pageMargins bottom="0.75" footer="0.0" header="0.0" left="0.7" right="0.7" top="0.75"/>
  <pageSetup fitToHeight="0" cellComments="atEnd" orientation="portrait" pageOrder="overThenDown"/>
  <drawing r:id="rId17"/>
</worksheet>
</file>